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2.xml" ContentType="application/vnd.openxmlformats-officedocument.spreadsheetml.comments+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HREE\Desktop\"/>
    </mc:Choice>
  </mc:AlternateContent>
  <xr:revisionPtr revIDLastSave="0" documentId="13_ncr:1_{0685ED05-AB05-4C0D-9754-9F6B3CE8FA7A}" xr6:coauthVersionLast="47" xr6:coauthVersionMax="47" xr10:uidLastSave="{00000000-0000-0000-0000-000000000000}"/>
  <bookViews>
    <workbookView xWindow="-120" yWindow="-120" windowWidth="20730" windowHeight="11160" xr2:uid="{B0D6DAB2-CE7A-4783-A901-8D2159E3473C}"/>
  </bookViews>
  <sheets>
    <sheet name="Assumption_Sheet" sheetId="6" r:id="rId1"/>
    <sheet name="P&amp;L_Input" sheetId="1" r:id="rId2"/>
    <sheet name="BS_Input" sheetId="2" r:id="rId3"/>
    <sheet name="Common_Sizing" sheetId="3" r:id="rId4"/>
    <sheet name="Revenue Build Up" sheetId="5" r:id="rId5"/>
    <sheet name="Cost_Buildup" sheetId="11" r:id="rId6"/>
    <sheet name="FAS" sheetId="8" r:id="rId7"/>
    <sheet name="BS_Item" sheetId="14" r:id="rId8"/>
    <sheet name="Working_Capital" sheetId="9" r:id="rId9"/>
    <sheet name="Income Statement" sheetId="15" r:id="rId10"/>
    <sheet name="Balance_Sheet" sheetId="17" r:id="rId11"/>
    <sheet name="Cash_ Flow_Statement" sheetId="18" r:id="rId12"/>
    <sheet name="Ratio_Analysis" sheetId="20" r:id="rId13"/>
    <sheet name="chart" sheetId="25" r:id="rId14"/>
    <sheet name="Equity Beta" sheetId="27" r:id="rId15"/>
    <sheet name="Market Data" sheetId="26" r:id="rId16"/>
    <sheet name="DCF_Analysis" sheetId="28" r:id="rId17"/>
  </sheets>
  <definedNames>
    <definedName name="_xlnm._FilterDatabase" localSheetId="6" hidden="1">FAS!$L$98:$L$98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2" i="28" l="1"/>
  <c r="C23" i="28"/>
  <c r="C22" i="28"/>
  <c r="G10" i="26"/>
  <c r="G9" i="26"/>
  <c r="F4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10" i="27"/>
  <c r="D41" i="27"/>
  <c r="D42" i="27"/>
  <c r="D11" i="27"/>
  <c r="D12" i="27"/>
  <c r="D13" i="27"/>
  <c r="D14" i="27"/>
  <c r="D15" i="27"/>
  <c r="D16" i="27"/>
  <c r="D17" i="27"/>
  <c r="D18" i="27"/>
  <c r="D19" i="27"/>
  <c r="D20" i="27"/>
  <c r="D21" i="27"/>
  <c r="D22" i="27"/>
  <c r="D23" i="27"/>
  <c r="D24" i="27"/>
  <c r="D25" i="27"/>
  <c r="D26" i="27"/>
  <c r="D27" i="27"/>
  <c r="D28" i="27"/>
  <c r="D29" i="27"/>
  <c r="D30" i="27"/>
  <c r="D31" i="27"/>
  <c r="D32" i="27"/>
  <c r="D33" i="27"/>
  <c r="D34" i="27"/>
  <c r="D35" i="27"/>
  <c r="D36" i="27"/>
  <c r="D37" i="27"/>
  <c r="D38" i="27"/>
  <c r="D39" i="27"/>
  <c r="D40" i="27"/>
  <c r="D10" i="27"/>
  <c r="I10" i="27" s="1"/>
  <c r="F258" i="27"/>
  <c r="D258" i="27"/>
  <c r="F257" i="27"/>
  <c r="D257" i="27"/>
  <c r="F256" i="27"/>
  <c r="D256" i="27"/>
  <c r="F255" i="27"/>
  <c r="D255" i="27"/>
  <c r="F254" i="27"/>
  <c r="D254" i="27"/>
  <c r="F253" i="27"/>
  <c r="D253" i="27"/>
  <c r="F252" i="27"/>
  <c r="D252" i="27"/>
  <c r="F251" i="27"/>
  <c r="D251" i="27"/>
  <c r="F250" i="27"/>
  <c r="D250" i="27"/>
  <c r="F249" i="27"/>
  <c r="D249" i="27"/>
  <c r="F248" i="27"/>
  <c r="D248" i="27"/>
  <c r="F247" i="27"/>
  <c r="D247" i="27"/>
  <c r="F246" i="27"/>
  <c r="D246" i="27"/>
  <c r="F245" i="27"/>
  <c r="D245" i="27"/>
  <c r="F244" i="27"/>
  <c r="D244" i="27"/>
  <c r="F243" i="27"/>
  <c r="D243" i="27"/>
  <c r="F242" i="27"/>
  <c r="D242" i="27"/>
  <c r="F241" i="27"/>
  <c r="D241" i="27"/>
  <c r="F240" i="27"/>
  <c r="D240" i="27"/>
  <c r="F239" i="27"/>
  <c r="D239" i="27"/>
  <c r="F238" i="27"/>
  <c r="D238" i="27"/>
  <c r="F237" i="27"/>
  <c r="D237" i="27"/>
  <c r="F236" i="27"/>
  <c r="D236" i="27"/>
  <c r="F235" i="27"/>
  <c r="D235" i="27"/>
  <c r="F234" i="27"/>
  <c r="D234" i="27"/>
  <c r="F233" i="27"/>
  <c r="D233" i="27"/>
  <c r="F232" i="27"/>
  <c r="D232" i="27"/>
  <c r="F231" i="27"/>
  <c r="D231" i="27"/>
  <c r="F230" i="27"/>
  <c r="D230" i="27"/>
  <c r="F229" i="27"/>
  <c r="D229" i="27"/>
  <c r="F228" i="27"/>
  <c r="D228" i="27"/>
  <c r="F227" i="27"/>
  <c r="D227" i="27"/>
  <c r="F226" i="27"/>
  <c r="D226" i="27"/>
  <c r="F225" i="27"/>
  <c r="D225" i="27"/>
  <c r="F224" i="27"/>
  <c r="D224" i="27"/>
  <c r="F223" i="27"/>
  <c r="D223" i="27"/>
  <c r="F222" i="27"/>
  <c r="D222" i="27"/>
  <c r="F221" i="27"/>
  <c r="D221" i="27"/>
  <c r="F220" i="27"/>
  <c r="D220" i="27"/>
  <c r="F219" i="27"/>
  <c r="D219" i="27"/>
  <c r="F218" i="27"/>
  <c r="D218" i="27"/>
  <c r="F217" i="27"/>
  <c r="D217" i="27"/>
  <c r="F216" i="27"/>
  <c r="D216" i="27"/>
  <c r="F215" i="27"/>
  <c r="D215" i="27"/>
  <c r="F214" i="27"/>
  <c r="D214" i="27"/>
  <c r="F213" i="27"/>
  <c r="D213" i="27"/>
  <c r="F212" i="27"/>
  <c r="D212" i="27"/>
  <c r="F211" i="27"/>
  <c r="D211" i="27"/>
  <c r="F210" i="27"/>
  <c r="D210" i="27"/>
  <c r="F209" i="27"/>
  <c r="D209" i="27"/>
  <c r="F208" i="27"/>
  <c r="D208" i="27"/>
  <c r="F207" i="27"/>
  <c r="D207" i="27"/>
  <c r="F206" i="27"/>
  <c r="D206" i="27"/>
  <c r="F205" i="27"/>
  <c r="D205" i="27"/>
  <c r="F204" i="27"/>
  <c r="D204" i="27"/>
  <c r="F203" i="27"/>
  <c r="D203" i="27"/>
  <c r="F202" i="27"/>
  <c r="D202" i="27"/>
  <c r="F201" i="27"/>
  <c r="D201" i="27"/>
  <c r="F200" i="27"/>
  <c r="D200" i="27"/>
  <c r="F199" i="27"/>
  <c r="D199" i="27"/>
  <c r="F198" i="27"/>
  <c r="D198" i="27"/>
  <c r="F197" i="27"/>
  <c r="D197" i="27"/>
  <c r="F196" i="27"/>
  <c r="D196" i="27"/>
  <c r="F195" i="27"/>
  <c r="D195" i="27"/>
  <c r="F194" i="27"/>
  <c r="D194" i="27"/>
  <c r="F193" i="27"/>
  <c r="D193" i="27"/>
  <c r="F192" i="27"/>
  <c r="D192" i="27"/>
  <c r="F191" i="27"/>
  <c r="D191" i="27"/>
  <c r="F190" i="27"/>
  <c r="D190" i="27"/>
  <c r="F189" i="27"/>
  <c r="D189" i="27"/>
  <c r="F188" i="27"/>
  <c r="D188" i="27"/>
  <c r="F187" i="27"/>
  <c r="D187" i="27"/>
  <c r="F186" i="27"/>
  <c r="D186" i="27"/>
  <c r="F185" i="27"/>
  <c r="D185" i="27"/>
  <c r="F184" i="27"/>
  <c r="D184" i="27"/>
  <c r="F183" i="27"/>
  <c r="D183" i="27"/>
  <c r="F182" i="27"/>
  <c r="D182" i="27"/>
  <c r="F181" i="27"/>
  <c r="D181" i="27"/>
  <c r="F180" i="27"/>
  <c r="D180" i="27"/>
  <c r="F179" i="27"/>
  <c r="D179" i="27"/>
  <c r="F178" i="27"/>
  <c r="D178" i="27"/>
  <c r="F177" i="27"/>
  <c r="D177" i="27"/>
  <c r="F176" i="27"/>
  <c r="D176" i="27"/>
  <c r="F175" i="27"/>
  <c r="D175" i="27"/>
  <c r="F174" i="27"/>
  <c r="D174" i="27"/>
  <c r="F173" i="27"/>
  <c r="D173" i="27"/>
  <c r="F172" i="27"/>
  <c r="D172" i="27"/>
  <c r="F171" i="27"/>
  <c r="D171" i="27"/>
  <c r="F170" i="27"/>
  <c r="D170" i="27"/>
  <c r="F169" i="27"/>
  <c r="D169" i="27"/>
  <c r="F168" i="27"/>
  <c r="D168" i="27"/>
  <c r="F167" i="27"/>
  <c r="D167" i="27"/>
  <c r="F166" i="27"/>
  <c r="D166" i="27"/>
  <c r="F165" i="27"/>
  <c r="D165" i="27"/>
  <c r="F164" i="27"/>
  <c r="D164" i="27"/>
  <c r="F163" i="27"/>
  <c r="D163" i="27"/>
  <c r="F162" i="27"/>
  <c r="D162" i="27"/>
  <c r="F161" i="27"/>
  <c r="D161" i="27"/>
  <c r="F160" i="27"/>
  <c r="D160" i="27"/>
  <c r="F159" i="27"/>
  <c r="D159" i="27"/>
  <c r="F158" i="27"/>
  <c r="D158" i="27"/>
  <c r="F157" i="27"/>
  <c r="D157" i="27"/>
  <c r="F156" i="27"/>
  <c r="D156" i="27"/>
  <c r="F155" i="27"/>
  <c r="D155" i="27"/>
  <c r="F154" i="27"/>
  <c r="D154" i="27"/>
  <c r="F153" i="27"/>
  <c r="D153" i="27"/>
  <c r="F152" i="27"/>
  <c r="D152" i="27"/>
  <c r="F151" i="27"/>
  <c r="D151" i="27"/>
  <c r="F150" i="27"/>
  <c r="D150" i="27"/>
  <c r="F149" i="27"/>
  <c r="D149" i="27"/>
  <c r="F148" i="27"/>
  <c r="D148" i="27"/>
  <c r="F147" i="27"/>
  <c r="D147" i="27"/>
  <c r="F146" i="27"/>
  <c r="D146" i="27"/>
  <c r="F145" i="27"/>
  <c r="D145" i="27"/>
  <c r="F144" i="27"/>
  <c r="D144" i="27"/>
  <c r="F143" i="27"/>
  <c r="D143" i="27"/>
  <c r="F142" i="27"/>
  <c r="D142" i="27"/>
  <c r="F141" i="27"/>
  <c r="D141" i="27"/>
  <c r="F140" i="27"/>
  <c r="D140" i="27"/>
  <c r="F139" i="27"/>
  <c r="D139" i="27"/>
  <c r="F138" i="27"/>
  <c r="D138" i="27"/>
  <c r="F137" i="27"/>
  <c r="D137" i="27"/>
  <c r="F136" i="27"/>
  <c r="D136" i="27"/>
  <c r="F135" i="27"/>
  <c r="D135" i="27"/>
  <c r="F134" i="27"/>
  <c r="D134" i="27"/>
  <c r="F133" i="27"/>
  <c r="D133" i="27"/>
  <c r="F132" i="27"/>
  <c r="D132" i="27"/>
  <c r="F131" i="27"/>
  <c r="D131" i="27"/>
  <c r="F130" i="27"/>
  <c r="D130" i="27"/>
  <c r="F129" i="27"/>
  <c r="D129" i="27"/>
  <c r="F128" i="27"/>
  <c r="D128" i="27"/>
  <c r="F127" i="27"/>
  <c r="D127" i="27"/>
  <c r="F126" i="27"/>
  <c r="D126" i="27"/>
  <c r="F125" i="27"/>
  <c r="D125" i="27"/>
  <c r="F124" i="27"/>
  <c r="D124" i="27"/>
  <c r="F123" i="27"/>
  <c r="D123" i="27"/>
  <c r="F122" i="27"/>
  <c r="D122" i="27"/>
  <c r="F121" i="27"/>
  <c r="D121" i="27"/>
  <c r="F120" i="27"/>
  <c r="D120" i="27"/>
  <c r="F119" i="27"/>
  <c r="D119" i="27"/>
  <c r="F118" i="27"/>
  <c r="D118" i="27"/>
  <c r="F117" i="27"/>
  <c r="D117" i="27"/>
  <c r="F116" i="27"/>
  <c r="D116" i="27"/>
  <c r="F115" i="27"/>
  <c r="D115" i="27"/>
  <c r="F114" i="27"/>
  <c r="D114" i="27"/>
  <c r="F113" i="27"/>
  <c r="D113" i="27"/>
  <c r="F112" i="27"/>
  <c r="D112" i="27"/>
  <c r="F111" i="27"/>
  <c r="D111" i="27"/>
  <c r="F110" i="27"/>
  <c r="D110" i="27"/>
  <c r="F109" i="27"/>
  <c r="D109" i="27"/>
  <c r="F108" i="27"/>
  <c r="D108" i="27"/>
  <c r="F107" i="27"/>
  <c r="D107" i="27"/>
  <c r="F106" i="27"/>
  <c r="D106" i="27"/>
  <c r="F105" i="27"/>
  <c r="D105" i="27"/>
  <c r="F104" i="27"/>
  <c r="D104" i="27"/>
  <c r="F103" i="27"/>
  <c r="D103" i="27"/>
  <c r="F102" i="27"/>
  <c r="D102" i="27"/>
  <c r="F101" i="27"/>
  <c r="D101" i="27"/>
  <c r="F100" i="27"/>
  <c r="D100" i="27"/>
  <c r="F99" i="27"/>
  <c r="D99" i="27"/>
  <c r="F98" i="27"/>
  <c r="D98" i="27"/>
  <c r="F97" i="27"/>
  <c r="D97" i="27"/>
  <c r="F96" i="27"/>
  <c r="D96" i="27"/>
  <c r="F95" i="27"/>
  <c r="D95" i="27"/>
  <c r="F94" i="27"/>
  <c r="D94" i="27"/>
  <c r="F93" i="27"/>
  <c r="D93" i="27"/>
  <c r="F92" i="27"/>
  <c r="D92" i="27"/>
  <c r="F91" i="27"/>
  <c r="D91" i="27"/>
  <c r="F90" i="27"/>
  <c r="D90" i="27"/>
  <c r="F89" i="27"/>
  <c r="D89" i="27"/>
  <c r="F88" i="27"/>
  <c r="D88" i="27"/>
  <c r="F87" i="27"/>
  <c r="D87" i="27"/>
  <c r="F86" i="27"/>
  <c r="D86" i="27"/>
  <c r="F85" i="27"/>
  <c r="D85" i="27"/>
  <c r="F84" i="27"/>
  <c r="D84" i="27"/>
  <c r="F83" i="27"/>
  <c r="D83" i="27"/>
  <c r="F82" i="27"/>
  <c r="D82" i="27"/>
  <c r="F81" i="27"/>
  <c r="D81" i="27"/>
  <c r="F80" i="27"/>
  <c r="D80" i="27"/>
  <c r="F79" i="27"/>
  <c r="D79" i="27"/>
  <c r="F78" i="27"/>
  <c r="D78" i="27"/>
  <c r="F77" i="27"/>
  <c r="D77" i="27"/>
  <c r="F76" i="27"/>
  <c r="D76" i="27"/>
  <c r="F75" i="27"/>
  <c r="D75" i="27"/>
  <c r="F74" i="27"/>
  <c r="D74" i="27"/>
  <c r="F73" i="27"/>
  <c r="D73" i="27"/>
  <c r="F72" i="27"/>
  <c r="D72" i="27"/>
  <c r="F71" i="27"/>
  <c r="D71" i="27"/>
  <c r="F70" i="27"/>
  <c r="D70" i="27"/>
  <c r="F69" i="27"/>
  <c r="D69" i="27"/>
  <c r="F68" i="27"/>
  <c r="D68" i="27"/>
  <c r="K39" i="27" s="1"/>
  <c r="F67" i="27"/>
  <c r="D67" i="27"/>
  <c r="F66" i="27"/>
  <c r="D66" i="27"/>
  <c r="F65" i="27"/>
  <c r="D65" i="27"/>
  <c r="F64" i="27"/>
  <c r="D64" i="27"/>
  <c r="F63" i="27"/>
  <c r="D63" i="27"/>
  <c r="F62" i="27"/>
  <c r="D62" i="27"/>
  <c r="F61" i="27"/>
  <c r="D61" i="27"/>
  <c r="F60" i="27"/>
  <c r="D60" i="27"/>
  <c r="F59" i="27"/>
  <c r="D59" i="27"/>
  <c r="F58" i="27"/>
  <c r="D58" i="27"/>
  <c r="F57" i="27"/>
  <c r="D57" i="27"/>
  <c r="F56" i="27"/>
  <c r="D56" i="27"/>
  <c r="F55" i="27"/>
  <c r="D55" i="27"/>
  <c r="F54" i="27"/>
  <c r="D54" i="27"/>
  <c r="F53" i="27"/>
  <c r="D53" i="27"/>
  <c r="F52" i="27"/>
  <c r="D52" i="27"/>
  <c r="F51" i="27"/>
  <c r="D51" i="27"/>
  <c r="F50" i="27"/>
  <c r="D50" i="27"/>
  <c r="F49" i="27"/>
  <c r="D49" i="27"/>
  <c r="F48" i="27"/>
  <c r="D48" i="27"/>
  <c r="F47" i="27"/>
  <c r="D47" i="27"/>
  <c r="F46" i="27"/>
  <c r="D46" i="27"/>
  <c r="F45" i="27"/>
  <c r="D45" i="27"/>
  <c r="F44" i="27"/>
  <c r="D44" i="27"/>
  <c r="F43" i="27"/>
  <c r="D43" i="27"/>
  <c r="F42" i="27"/>
  <c r="F41" i="27"/>
  <c r="H42" i="5"/>
  <c r="H40" i="5"/>
  <c r="H34" i="5"/>
  <c r="H32" i="5"/>
  <c r="H19" i="9" l="1"/>
  <c r="H20" i="9"/>
  <c r="E15" i="28" l="1"/>
  <c r="F15" i="28"/>
  <c r="G15" i="28"/>
  <c r="D15" i="28"/>
  <c r="J316" i="8"/>
  <c r="K316" i="8" s="1"/>
  <c r="L316" i="8" s="1"/>
  <c r="M316" i="8" s="1"/>
  <c r="N316" i="8" s="1"/>
  <c r="O316" i="8" s="1"/>
  <c r="P316" i="8" s="1"/>
  <c r="Q316" i="8" s="1"/>
  <c r="I316" i="8"/>
  <c r="H304" i="8"/>
  <c r="I304" i="8" s="1"/>
  <c r="J304" i="8" s="1"/>
  <c r="K304" i="8" s="1"/>
  <c r="L304" i="8" s="1"/>
  <c r="M304" i="8" s="1"/>
  <c r="N304" i="8" s="1"/>
  <c r="O304" i="8" s="1"/>
  <c r="P304" i="8" s="1"/>
  <c r="Q304" i="8" s="1"/>
  <c r="H303" i="8"/>
  <c r="I303" i="8" s="1"/>
  <c r="J303" i="8" s="1"/>
  <c r="K303" i="8" s="1"/>
  <c r="L303" i="8" s="1"/>
  <c r="M303" i="8" s="1"/>
  <c r="N303" i="8" s="1"/>
  <c r="O303" i="8" s="1"/>
  <c r="P303" i="8" s="1"/>
  <c r="Q303" i="8" s="1"/>
  <c r="H302" i="8"/>
  <c r="I302" i="8" s="1"/>
  <c r="J302" i="8" s="1"/>
  <c r="K302" i="8" s="1"/>
  <c r="L302" i="8" s="1"/>
  <c r="M302" i="8" s="1"/>
  <c r="N302" i="8" s="1"/>
  <c r="O302" i="8" s="1"/>
  <c r="P302" i="8" s="1"/>
  <c r="Q302" i="8" s="1"/>
  <c r="H301" i="8"/>
  <c r="I301" i="8" s="1"/>
  <c r="J301" i="8" s="1"/>
  <c r="K301" i="8" s="1"/>
  <c r="L301" i="8" s="1"/>
  <c r="M301" i="8" s="1"/>
  <c r="N301" i="8" s="1"/>
  <c r="O301" i="8" s="1"/>
  <c r="P301" i="8" s="1"/>
  <c r="Q301" i="8" s="1"/>
  <c r="H298" i="8"/>
  <c r="I298" i="8" s="1"/>
  <c r="J298" i="8" s="1"/>
  <c r="K298" i="8" s="1"/>
  <c r="L298" i="8" s="1"/>
  <c r="M298" i="8" s="1"/>
  <c r="N298" i="8" s="1"/>
  <c r="O298" i="8" s="1"/>
  <c r="P298" i="8" s="1"/>
  <c r="Q298" i="8" s="1"/>
  <c r="H297" i="8"/>
  <c r="I297" i="8" s="1"/>
  <c r="J297" i="8" s="1"/>
  <c r="K297" i="8" s="1"/>
  <c r="L297" i="8" s="1"/>
  <c r="M297" i="8" s="1"/>
  <c r="N297" i="8" s="1"/>
  <c r="O297" i="8" s="1"/>
  <c r="P297" i="8" s="1"/>
  <c r="Q297" i="8" s="1"/>
  <c r="H296" i="8"/>
  <c r="I296" i="8" s="1"/>
  <c r="J296" i="8" s="1"/>
  <c r="K296" i="8" s="1"/>
  <c r="L296" i="8" s="1"/>
  <c r="M296" i="8" s="1"/>
  <c r="N296" i="8" s="1"/>
  <c r="O296" i="8" s="1"/>
  <c r="P296" i="8" s="1"/>
  <c r="Q296" i="8" s="1"/>
  <c r="H295" i="8"/>
  <c r="I295" i="8" s="1"/>
  <c r="J295" i="8" s="1"/>
  <c r="K295" i="8" s="1"/>
  <c r="L295" i="8" s="1"/>
  <c r="M295" i="8" s="1"/>
  <c r="N295" i="8" s="1"/>
  <c r="O295" i="8" s="1"/>
  <c r="P295" i="8" s="1"/>
  <c r="Q295" i="8" s="1"/>
  <c r="J294" i="8"/>
  <c r="K294" i="8" s="1"/>
  <c r="L294" i="8" s="1"/>
  <c r="M294" i="8" s="1"/>
  <c r="N294" i="8" s="1"/>
  <c r="O294" i="8" s="1"/>
  <c r="P294" i="8" s="1"/>
  <c r="Q294" i="8" s="1"/>
  <c r="I294" i="8"/>
  <c r="H284" i="8"/>
  <c r="I284" i="8" s="1"/>
  <c r="J284" i="8" s="1"/>
  <c r="K284" i="8" s="1"/>
  <c r="L284" i="8" s="1"/>
  <c r="M284" i="8" s="1"/>
  <c r="N284" i="8" s="1"/>
  <c r="O284" i="8" s="1"/>
  <c r="P284" i="8" s="1"/>
  <c r="Q284" i="8" s="1"/>
  <c r="H283" i="8"/>
  <c r="I283" i="8" s="1"/>
  <c r="J283" i="8" s="1"/>
  <c r="K283" i="8" s="1"/>
  <c r="L283" i="8" s="1"/>
  <c r="M283" i="8" s="1"/>
  <c r="N283" i="8" s="1"/>
  <c r="O283" i="8" s="1"/>
  <c r="P283" i="8" s="1"/>
  <c r="Q283" i="8" s="1"/>
  <c r="H282" i="8"/>
  <c r="I282" i="8" s="1"/>
  <c r="J282" i="8" s="1"/>
  <c r="K282" i="8" s="1"/>
  <c r="L282" i="8" s="1"/>
  <c r="M282" i="8" s="1"/>
  <c r="N282" i="8" s="1"/>
  <c r="O282" i="8" s="1"/>
  <c r="P282" i="8" s="1"/>
  <c r="Q282" i="8" s="1"/>
  <c r="H281" i="8"/>
  <c r="I281" i="8" s="1"/>
  <c r="J281" i="8" s="1"/>
  <c r="K281" i="8" s="1"/>
  <c r="L281" i="8" s="1"/>
  <c r="M281" i="8" s="1"/>
  <c r="N281" i="8" s="1"/>
  <c r="O281" i="8" s="1"/>
  <c r="P281" i="8" s="1"/>
  <c r="Q281" i="8" s="1"/>
  <c r="J278" i="8"/>
  <c r="K278" i="8" s="1"/>
  <c r="L278" i="8" s="1"/>
  <c r="M278" i="8" s="1"/>
  <c r="N278" i="8" s="1"/>
  <c r="O278" i="8" s="1"/>
  <c r="P278" i="8" s="1"/>
  <c r="Q278" i="8" s="1"/>
  <c r="H278" i="8"/>
  <c r="I278" i="8" s="1"/>
  <c r="J277" i="8"/>
  <c r="K277" i="8" s="1"/>
  <c r="L277" i="8" s="1"/>
  <c r="M277" i="8" s="1"/>
  <c r="N277" i="8" s="1"/>
  <c r="O277" i="8" s="1"/>
  <c r="P277" i="8" s="1"/>
  <c r="Q277" i="8" s="1"/>
  <c r="I277" i="8"/>
  <c r="H277" i="8"/>
  <c r="H276" i="8"/>
  <c r="I276" i="8" s="1"/>
  <c r="J276" i="8" s="1"/>
  <c r="K276" i="8" s="1"/>
  <c r="L276" i="8" s="1"/>
  <c r="M276" i="8" s="1"/>
  <c r="N276" i="8" s="1"/>
  <c r="O276" i="8" s="1"/>
  <c r="P276" i="8" s="1"/>
  <c r="Q276" i="8" s="1"/>
  <c r="H275" i="8"/>
  <c r="I275" i="8" s="1"/>
  <c r="J275" i="8" s="1"/>
  <c r="K275" i="8" s="1"/>
  <c r="L275" i="8" s="1"/>
  <c r="M275" i="8" s="1"/>
  <c r="N275" i="8" s="1"/>
  <c r="O275" i="8" s="1"/>
  <c r="P275" i="8" s="1"/>
  <c r="Q275" i="8" s="1"/>
  <c r="L274" i="8"/>
  <c r="M274" i="8" s="1"/>
  <c r="N274" i="8" s="1"/>
  <c r="O274" i="8" s="1"/>
  <c r="P274" i="8" s="1"/>
  <c r="Q274" i="8" s="1"/>
  <c r="H274" i="8"/>
  <c r="I274" i="8" s="1"/>
  <c r="J274" i="8" s="1"/>
  <c r="K274" i="8" s="1"/>
  <c r="L269" i="8"/>
  <c r="M269" i="8" s="1"/>
  <c r="N269" i="8" s="1"/>
  <c r="O269" i="8" s="1"/>
  <c r="P269" i="8" s="1"/>
  <c r="Q269" i="8" s="1"/>
  <c r="H269" i="8"/>
  <c r="I269" i="8" s="1"/>
  <c r="J269" i="8" s="1"/>
  <c r="K269" i="8" s="1"/>
  <c r="K268" i="8"/>
  <c r="L268" i="8" s="1"/>
  <c r="M268" i="8" s="1"/>
  <c r="N268" i="8" s="1"/>
  <c r="O268" i="8" s="1"/>
  <c r="P268" i="8" s="1"/>
  <c r="Q268" i="8" s="1"/>
  <c r="H268" i="8"/>
  <c r="I268" i="8" s="1"/>
  <c r="J268" i="8" s="1"/>
  <c r="H267" i="8"/>
  <c r="I267" i="8" s="1"/>
  <c r="J267" i="8" s="1"/>
  <c r="K267" i="8" s="1"/>
  <c r="L267" i="8" s="1"/>
  <c r="M267" i="8" s="1"/>
  <c r="N267" i="8" s="1"/>
  <c r="O267" i="8" s="1"/>
  <c r="P267" i="8" s="1"/>
  <c r="Q267" i="8" s="1"/>
  <c r="J266" i="8"/>
  <c r="K266" i="8" s="1"/>
  <c r="L266" i="8" s="1"/>
  <c r="M266" i="8" s="1"/>
  <c r="N266" i="8" s="1"/>
  <c r="O266" i="8" s="1"/>
  <c r="P266" i="8" s="1"/>
  <c r="Q266" i="8" s="1"/>
  <c r="H266" i="8"/>
  <c r="I266" i="8" s="1"/>
  <c r="I263" i="8"/>
  <c r="J263" i="8" s="1"/>
  <c r="K263" i="8" s="1"/>
  <c r="L263" i="8" s="1"/>
  <c r="M263" i="8" s="1"/>
  <c r="N263" i="8" s="1"/>
  <c r="O263" i="8" s="1"/>
  <c r="P263" i="8" s="1"/>
  <c r="Q263" i="8" s="1"/>
  <c r="H263" i="8"/>
  <c r="H262" i="8"/>
  <c r="I262" i="8" s="1"/>
  <c r="J262" i="8" s="1"/>
  <c r="K262" i="8" s="1"/>
  <c r="L262" i="8" s="1"/>
  <c r="M262" i="8" s="1"/>
  <c r="N262" i="8" s="1"/>
  <c r="O262" i="8" s="1"/>
  <c r="P262" i="8" s="1"/>
  <c r="Q262" i="8" s="1"/>
  <c r="H261" i="8"/>
  <c r="I261" i="8" s="1"/>
  <c r="J261" i="8" s="1"/>
  <c r="K261" i="8" s="1"/>
  <c r="L261" i="8" s="1"/>
  <c r="M261" i="8" s="1"/>
  <c r="N261" i="8" s="1"/>
  <c r="O261" i="8" s="1"/>
  <c r="P261" i="8" s="1"/>
  <c r="Q261" i="8" s="1"/>
  <c r="H260" i="8"/>
  <c r="I260" i="8" s="1"/>
  <c r="J260" i="8" s="1"/>
  <c r="K260" i="8" s="1"/>
  <c r="L260" i="8" s="1"/>
  <c r="M260" i="8" s="1"/>
  <c r="N260" i="8" s="1"/>
  <c r="O260" i="8" s="1"/>
  <c r="P260" i="8" s="1"/>
  <c r="Q260" i="8" s="1"/>
  <c r="H259" i="8"/>
  <c r="I259" i="8" s="1"/>
  <c r="J259" i="8" s="1"/>
  <c r="K259" i="8" s="1"/>
  <c r="L259" i="8" s="1"/>
  <c r="M259" i="8" s="1"/>
  <c r="N259" i="8" s="1"/>
  <c r="O259" i="8" s="1"/>
  <c r="P259" i="8" s="1"/>
  <c r="Q259" i="8" s="1"/>
  <c r="H254" i="8"/>
  <c r="I254" i="8" s="1"/>
  <c r="J254" i="8" s="1"/>
  <c r="K254" i="8" s="1"/>
  <c r="L254" i="8" s="1"/>
  <c r="M254" i="8" s="1"/>
  <c r="N254" i="8" s="1"/>
  <c r="O254" i="8" s="1"/>
  <c r="P254" i="8" s="1"/>
  <c r="Q254" i="8" s="1"/>
  <c r="H253" i="8"/>
  <c r="I253" i="8" s="1"/>
  <c r="J253" i="8" s="1"/>
  <c r="K253" i="8" s="1"/>
  <c r="L253" i="8" s="1"/>
  <c r="M253" i="8" s="1"/>
  <c r="N253" i="8" s="1"/>
  <c r="O253" i="8" s="1"/>
  <c r="P253" i="8" s="1"/>
  <c r="Q253" i="8" s="1"/>
  <c r="J252" i="8"/>
  <c r="K252" i="8" s="1"/>
  <c r="L252" i="8" s="1"/>
  <c r="M252" i="8" s="1"/>
  <c r="N252" i="8" s="1"/>
  <c r="O252" i="8" s="1"/>
  <c r="P252" i="8" s="1"/>
  <c r="Q252" i="8" s="1"/>
  <c r="H252" i="8"/>
  <c r="I252" i="8" s="1"/>
  <c r="J251" i="8"/>
  <c r="K251" i="8" s="1"/>
  <c r="L251" i="8" s="1"/>
  <c r="M251" i="8" s="1"/>
  <c r="N251" i="8" s="1"/>
  <c r="O251" i="8" s="1"/>
  <c r="P251" i="8" s="1"/>
  <c r="Q251" i="8" s="1"/>
  <c r="I251" i="8"/>
  <c r="H251" i="8"/>
  <c r="H248" i="8"/>
  <c r="I248" i="8" s="1"/>
  <c r="J248" i="8" s="1"/>
  <c r="K248" i="8" s="1"/>
  <c r="L248" i="8" s="1"/>
  <c r="M248" i="8" s="1"/>
  <c r="N248" i="8" s="1"/>
  <c r="O248" i="8" s="1"/>
  <c r="P248" i="8" s="1"/>
  <c r="Q248" i="8" s="1"/>
  <c r="H247" i="8"/>
  <c r="I247" i="8" s="1"/>
  <c r="J247" i="8" s="1"/>
  <c r="K247" i="8" s="1"/>
  <c r="L247" i="8" s="1"/>
  <c r="M247" i="8" s="1"/>
  <c r="N247" i="8" s="1"/>
  <c r="O247" i="8" s="1"/>
  <c r="P247" i="8" s="1"/>
  <c r="Q247" i="8" s="1"/>
  <c r="L246" i="8"/>
  <c r="M246" i="8" s="1"/>
  <c r="N246" i="8" s="1"/>
  <c r="O246" i="8" s="1"/>
  <c r="P246" i="8" s="1"/>
  <c r="Q246" i="8" s="1"/>
  <c r="H246" i="8"/>
  <c r="I246" i="8" s="1"/>
  <c r="J246" i="8" s="1"/>
  <c r="K246" i="8" s="1"/>
  <c r="L245" i="8"/>
  <c r="M245" i="8" s="1"/>
  <c r="N245" i="8" s="1"/>
  <c r="O245" i="8" s="1"/>
  <c r="P245" i="8" s="1"/>
  <c r="Q245" i="8" s="1"/>
  <c r="H245" i="8"/>
  <c r="I245" i="8" s="1"/>
  <c r="J245" i="8" s="1"/>
  <c r="K245" i="8" s="1"/>
  <c r="K244" i="8"/>
  <c r="L244" i="8" s="1"/>
  <c r="M244" i="8" s="1"/>
  <c r="N244" i="8" s="1"/>
  <c r="O244" i="8" s="1"/>
  <c r="P244" i="8" s="1"/>
  <c r="Q244" i="8" s="1"/>
  <c r="H244" i="8"/>
  <c r="I244" i="8" s="1"/>
  <c r="J244" i="8" s="1"/>
  <c r="H239" i="8"/>
  <c r="I239" i="8" s="1"/>
  <c r="J239" i="8" s="1"/>
  <c r="K239" i="8" s="1"/>
  <c r="L239" i="8" s="1"/>
  <c r="M239" i="8" s="1"/>
  <c r="N239" i="8" s="1"/>
  <c r="O239" i="8" s="1"/>
  <c r="P239" i="8" s="1"/>
  <c r="Q239" i="8" s="1"/>
  <c r="J238" i="8"/>
  <c r="K238" i="8" s="1"/>
  <c r="L238" i="8" s="1"/>
  <c r="M238" i="8" s="1"/>
  <c r="N238" i="8" s="1"/>
  <c r="O238" i="8" s="1"/>
  <c r="P238" i="8" s="1"/>
  <c r="Q238" i="8" s="1"/>
  <c r="H238" i="8"/>
  <c r="I238" i="8" s="1"/>
  <c r="I237" i="8"/>
  <c r="J237" i="8" s="1"/>
  <c r="K237" i="8" s="1"/>
  <c r="L237" i="8" s="1"/>
  <c r="M237" i="8" s="1"/>
  <c r="N237" i="8" s="1"/>
  <c r="O237" i="8" s="1"/>
  <c r="P237" i="8" s="1"/>
  <c r="Q237" i="8" s="1"/>
  <c r="H237" i="8"/>
  <c r="H236" i="8"/>
  <c r="I236" i="8" s="1"/>
  <c r="J236" i="8" s="1"/>
  <c r="K236" i="8" s="1"/>
  <c r="L236" i="8" s="1"/>
  <c r="M236" i="8" s="1"/>
  <c r="N236" i="8" s="1"/>
  <c r="O236" i="8" s="1"/>
  <c r="P236" i="8" s="1"/>
  <c r="Q236" i="8" s="1"/>
  <c r="H233" i="8"/>
  <c r="I233" i="8" s="1"/>
  <c r="J233" i="8" s="1"/>
  <c r="K233" i="8" s="1"/>
  <c r="L233" i="8" s="1"/>
  <c r="M233" i="8" s="1"/>
  <c r="N233" i="8" s="1"/>
  <c r="O233" i="8" s="1"/>
  <c r="P233" i="8" s="1"/>
  <c r="Q233" i="8" s="1"/>
  <c r="H232" i="8"/>
  <c r="I232" i="8" s="1"/>
  <c r="J232" i="8" s="1"/>
  <c r="K232" i="8" s="1"/>
  <c r="L232" i="8" s="1"/>
  <c r="M232" i="8" s="1"/>
  <c r="N232" i="8" s="1"/>
  <c r="O232" i="8" s="1"/>
  <c r="P232" i="8" s="1"/>
  <c r="Q232" i="8" s="1"/>
  <c r="H231" i="8"/>
  <c r="I231" i="8" s="1"/>
  <c r="J231" i="8" s="1"/>
  <c r="K231" i="8" s="1"/>
  <c r="L231" i="8" s="1"/>
  <c r="M231" i="8" s="1"/>
  <c r="N231" i="8" s="1"/>
  <c r="O231" i="8" s="1"/>
  <c r="P231" i="8" s="1"/>
  <c r="Q231" i="8" s="1"/>
  <c r="I230" i="8"/>
  <c r="J230" i="8" s="1"/>
  <c r="K230" i="8" s="1"/>
  <c r="L230" i="8" s="1"/>
  <c r="M230" i="8" s="1"/>
  <c r="N230" i="8" s="1"/>
  <c r="O230" i="8" s="1"/>
  <c r="P230" i="8" s="1"/>
  <c r="Q230" i="8" s="1"/>
  <c r="H230" i="8"/>
  <c r="H229" i="8"/>
  <c r="I229" i="8" s="1"/>
  <c r="J229" i="8" s="1"/>
  <c r="K229" i="8" s="1"/>
  <c r="L229" i="8" s="1"/>
  <c r="M229" i="8" s="1"/>
  <c r="N229" i="8" s="1"/>
  <c r="O229" i="8" s="1"/>
  <c r="P229" i="8" s="1"/>
  <c r="Q229" i="8" s="1"/>
  <c r="I223" i="8"/>
  <c r="J223" i="8" s="1"/>
  <c r="K223" i="8" s="1"/>
  <c r="L223" i="8" s="1"/>
  <c r="M223" i="8" s="1"/>
  <c r="N223" i="8" s="1"/>
  <c r="O223" i="8" s="1"/>
  <c r="P223" i="8" s="1"/>
  <c r="Q223" i="8" s="1"/>
  <c r="H223" i="8"/>
  <c r="K222" i="8"/>
  <c r="L222" i="8" s="1"/>
  <c r="M222" i="8" s="1"/>
  <c r="N222" i="8" s="1"/>
  <c r="O222" i="8" s="1"/>
  <c r="P222" i="8" s="1"/>
  <c r="Q222" i="8" s="1"/>
  <c r="H222" i="8"/>
  <c r="I222" i="8" s="1"/>
  <c r="J222" i="8" s="1"/>
  <c r="I221" i="8"/>
  <c r="J221" i="8" s="1"/>
  <c r="K221" i="8" s="1"/>
  <c r="L221" i="8" s="1"/>
  <c r="M221" i="8" s="1"/>
  <c r="N221" i="8" s="1"/>
  <c r="O221" i="8" s="1"/>
  <c r="P221" i="8" s="1"/>
  <c r="Q221" i="8" s="1"/>
  <c r="H221" i="8"/>
  <c r="H220" i="8"/>
  <c r="I220" i="8" s="1"/>
  <c r="J220" i="8" s="1"/>
  <c r="K220" i="8" s="1"/>
  <c r="L220" i="8" s="1"/>
  <c r="M220" i="8" s="1"/>
  <c r="N220" i="8" s="1"/>
  <c r="O220" i="8" s="1"/>
  <c r="P220" i="8" s="1"/>
  <c r="Q220" i="8" s="1"/>
  <c r="J217" i="8"/>
  <c r="K217" i="8" s="1"/>
  <c r="L217" i="8" s="1"/>
  <c r="M217" i="8" s="1"/>
  <c r="N217" i="8" s="1"/>
  <c r="O217" i="8" s="1"/>
  <c r="P217" i="8" s="1"/>
  <c r="Q217" i="8" s="1"/>
  <c r="I217" i="8"/>
  <c r="H217" i="8"/>
  <c r="I216" i="8"/>
  <c r="J216" i="8" s="1"/>
  <c r="K216" i="8" s="1"/>
  <c r="L216" i="8" s="1"/>
  <c r="M216" i="8" s="1"/>
  <c r="N216" i="8" s="1"/>
  <c r="O216" i="8" s="1"/>
  <c r="P216" i="8" s="1"/>
  <c r="Q216" i="8" s="1"/>
  <c r="H216" i="8"/>
  <c r="I215" i="8"/>
  <c r="J215" i="8" s="1"/>
  <c r="K215" i="8" s="1"/>
  <c r="L215" i="8" s="1"/>
  <c r="M215" i="8" s="1"/>
  <c r="N215" i="8" s="1"/>
  <c r="O215" i="8" s="1"/>
  <c r="P215" i="8" s="1"/>
  <c r="Q215" i="8" s="1"/>
  <c r="H215" i="8"/>
  <c r="I214" i="8"/>
  <c r="J214" i="8" s="1"/>
  <c r="K214" i="8" s="1"/>
  <c r="L214" i="8" s="1"/>
  <c r="M214" i="8" s="1"/>
  <c r="N214" i="8" s="1"/>
  <c r="O214" i="8" s="1"/>
  <c r="P214" i="8" s="1"/>
  <c r="Q214" i="8" s="1"/>
  <c r="H214" i="8"/>
  <c r="I213" i="8"/>
  <c r="J213" i="8" s="1"/>
  <c r="K213" i="8" s="1"/>
  <c r="L213" i="8" s="1"/>
  <c r="M213" i="8" s="1"/>
  <c r="N213" i="8" s="1"/>
  <c r="O213" i="8" s="1"/>
  <c r="P213" i="8" s="1"/>
  <c r="Q213" i="8" s="1"/>
  <c r="H213" i="8"/>
  <c r="I208" i="8"/>
  <c r="J208" i="8" s="1"/>
  <c r="K208" i="8" s="1"/>
  <c r="L208" i="8" s="1"/>
  <c r="M208" i="8" s="1"/>
  <c r="N208" i="8" s="1"/>
  <c r="O208" i="8" s="1"/>
  <c r="P208" i="8" s="1"/>
  <c r="Q208" i="8" s="1"/>
  <c r="H208" i="8"/>
  <c r="I207" i="8"/>
  <c r="J207" i="8" s="1"/>
  <c r="K207" i="8" s="1"/>
  <c r="L207" i="8" s="1"/>
  <c r="M207" i="8" s="1"/>
  <c r="N207" i="8" s="1"/>
  <c r="O207" i="8" s="1"/>
  <c r="P207" i="8" s="1"/>
  <c r="Q207" i="8" s="1"/>
  <c r="H207" i="8"/>
  <c r="I206" i="8"/>
  <c r="J206" i="8" s="1"/>
  <c r="K206" i="8" s="1"/>
  <c r="L206" i="8" s="1"/>
  <c r="M206" i="8" s="1"/>
  <c r="N206" i="8" s="1"/>
  <c r="O206" i="8" s="1"/>
  <c r="P206" i="8" s="1"/>
  <c r="Q206" i="8" s="1"/>
  <c r="H206" i="8"/>
  <c r="I205" i="8"/>
  <c r="J205" i="8" s="1"/>
  <c r="K205" i="8" s="1"/>
  <c r="L205" i="8" s="1"/>
  <c r="M205" i="8" s="1"/>
  <c r="N205" i="8" s="1"/>
  <c r="O205" i="8" s="1"/>
  <c r="P205" i="8" s="1"/>
  <c r="Q205" i="8" s="1"/>
  <c r="H205" i="8"/>
  <c r="I202" i="8"/>
  <c r="J202" i="8" s="1"/>
  <c r="K202" i="8" s="1"/>
  <c r="L202" i="8" s="1"/>
  <c r="M202" i="8" s="1"/>
  <c r="N202" i="8" s="1"/>
  <c r="O202" i="8" s="1"/>
  <c r="P202" i="8" s="1"/>
  <c r="Q202" i="8" s="1"/>
  <c r="H202" i="8"/>
  <c r="I201" i="8"/>
  <c r="J201" i="8" s="1"/>
  <c r="K201" i="8" s="1"/>
  <c r="L201" i="8" s="1"/>
  <c r="M201" i="8" s="1"/>
  <c r="N201" i="8" s="1"/>
  <c r="O201" i="8" s="1"/>
  <c r="P201" i="8" s="1"/>
  <c r="Q201" i="8" s="1"/>
  <c r="H201" i="8"/>
  <c r="I200" i="8"/>
  <c r="J200" i="8" s="1"/>
  <c r="K200" i="8" s="1"/>
  <c r="L200" i="8" s="1"/>
  <c r="M200" i="8" s="1"/>
  <c r="N200" i="8" s="1"/>
  <c r="O200" i="8" s="1"/>
  <c r="P200" i="8" s="1"/>
  <c r="Q200" i="8" s="1"/>
  <c r="H200" i="8"/>
  <c r="I199" i="8"/>
  <c r="J199" i="8" s="1"/>
  <c r="K199" i="8" s="1"/>
  <c r="L199" i="8" s="1"/>
  <c r="M199" i="8" s="1"/>
  <c r="N199" i="8" s="1"/>
  <c r="O199" i="8" s="1"/>
  <c r="P199" i="8" s="1"/>
  <c r="Q199" i="8" s="1"/>
  <c r="H199" i="8"/>
  <c r="I198" i="8"/>
  <c r="J198" i="8" s="1"/>
  <c r="K198" i="8" s="1"/>
  <c r="L198" i="8" s="1"/>
  <c r="M198" i="8" s="1"/>
  <c r="N198" i="8" s="1"/>
  <c r="O198" i="8" s="1"/>
  <c r="P198" i="8" s="1"/>
  <c r="Q198" i="8" s="1"/>
  <c r="J186" i="8"/>
  <c r="K186" i="8" s="1"/>
  <c r="L186" i="8" s="1"/>
  <c r="M186" i="8" s="1"/>
  <c r="N186" i="8" s="1"/>
  <c r="O186" i="8" s="1"/>
  <c r="P186" i="8" s="1"/>
  <c r="Q186" i="8" s="1"/>
  <c r="H186" i="8"/>
  <c r="I186" i="8" s="1"/>
  <c r="H185" i="8"/>
  <c r="I185" i="8" s="1"/>
  <c r="J185" i="8" s="1"/>
  <c r="K185" i="8" s="1"/>
  <c r="L185" i="8" s="1"/>
  <c r="M185" i="8" s="1"/>
  <c r="N185" i="8" s="1"/>
  <c r="O185" i="8" s="1"/>
  <c r="P185" i="8" s="1"/>
  <c r="Q185" i="8" s="1"/>
  <c r="J184" i="8"/>
  <c r="K184" i="8" s="1"/>
  <c r="L184" i="8" s="1"/>
  <c r="M184" i="8" s="1"/>
  <c r="N184" i="8" s="1"/>
  <c r="O184" i="8" s="1"/>
  <c r="P184" i="8" s="1"/>
  <c r="Q184" i="8" s="1"/>
  <c r="I184" i="8"/>
  <c r="H184" i="8"/>
  <c r="H183" i="8"/>
  <c r="I183" i="8" s="1"/>
  <c r="J183" i="8" s="1"/>
  <c r="K183" i="8" s="1"/>
  <c r="L183" i="8" s="1"/>
  <c r="M183" i="8" s="1"/>
  <c r="N183" i="8" s="1"/>
  <c r="O183" i="8" s="1"/>
  <c r="P183" i="8" s="1"/>
  <c r="Q183" i="8" s="1"/>
  <c r="J180" i="8"/>
  <c r="K180" i="8" s="1"/>
  <c r="L180" i="8" s="1"/>
  <c r="M180" i="8" s="1"/>
  <c r="N180" i="8" s="1"/>
  <c r="O180" i="8" s="1"/>
  <c r="P180" i="8" s="1"/>
  <c r="Q180" i="8" s="1"/>
  <c r="I180" i="8"/>
  <c r="H180" i="8"/>
  <c r="H179" i="8"/>
  <c r="I179" i="8" s="1"/>
  <c r="J179" i="8" s="1"/>
  <c r="K179" i="8" s="1"/>
  <c r="L179" i="8" s="1"/>
  <c r="M179" i="8" s="1"/>
  <c r="N179" i="8" s="1"/>
  <c r="O179" i="8" s="1"/>
  <c r="P179" i="8" s="1"/>
  <c r="Q179" i="8" s="1"/>
  <c r="J178" i="8"/>
  <c r="K178" i="8" s="1"/>
  <c r="L178" i="8" s="1"/>
  <c r="M178" i="8" s="1"/>
  <c r="N178" i="8" s="1"/>
  <c r="O178" i="8" s="1"/>
  <c r="P178" i="8" s="1"/>
  <c r="Q178" i="8" s="1"/>
  <c r="I178" i="8"/>
  <c r="H178" i="8"/>
  <c r="H177" i="8"/>
  <c r="I177" i="8" s="1"/>
  <c r="J177" i="8" s="1"/>
  <c r="K177" i="8" s="1"/>
  <c r="L177" i="8" s="1"/>
  <c r="M177" i="8" s="1"/>
  <c r="N177" i="8" s="1"/>
  <c r="O177" i="8" s="1"/>
  <c r="P177" i="8" s="1"/>
  <c r="Q177" i="8" s="1"/>
  <c r="O176" i="8"/>
  <c r="P176" i="8" s="1"/>
  <c r="Q176" i="8" s="1"/>
  <c r="J176" i="8"/>
  <c r="K176" i="8" s="1"/>
  <c r="L176" i="8" s="1"/>
  <c r="M176" i="8" s="1"/>
  <c r="N176" i="8" s="1"/>
  <c r="I176" i="8"/>
  <c r="H176" i="8"/>
  <c r="M168" i="8"/>
  <c r="N168" i="8" s="1"/>
  <c r="O168" i="8" s="1"/>
  <c r="P168" i="8" s="1"/>
  <c r="Q168" i="8" s="1"/>
  <c r="H168" i="8"/>
  <c r="I168" i="8" s="1"/>
  <c r="J168" i="8" s="1"/>
  <c r="K168" i="8" s="1"/>
  <c r="L168" i="8" s="1"/>
  <c r="J167" i="8"/>
  <c r="K167" i="8" s="1"/>
  <c r="L167" i="8" s="1"/>
  <c r="M167" i="8" s="1"/>
  <c r="N167" i="8" s="1"/>
  <c r="O167" i="8" s="1"/>
  <c r="P167" i="8" s="1"/>
  <c r="Q167" i="8" s="1"/>
  <c r="I167" i="8"/>
  <c r="H167" i="8"/>
  <c r="H166" i="8"/>
  <c r="I166" i="8" s="1"/>
  <c r="J166" i="8" s="1"/>
  <c r="K166" i="8" s="1"/>
  <c r="L166" i="8" s="1"/>
  <c r="M166" i="8" s="1"/>
  <c r="N166" i="8" s="1"/>
  <c r="O166" i="8" s="1"/>
  <c r="P166" i="8" s="1"/>
  <c r="Q166" i="8" s="1"/>
  <c r="O165" i="8"/>
  <c r="P165" i="8" s="1"/>
  <c r="Q165" i="8" s="1"/>
  <c r="J165" i="8"/>
  <c r="K165" i="8" s="1"/>
  <c r="L165" i="8" s="1"/>
  <c r="M165" i="8" s="1"/>
  <c r="N165" i="8" s="1"/>
  <c r="I165" i="8"/>
  <c r="H165" i="8"/>
  <c r="M162" i="8"/>
  <c r="N162" i="8" s="1"/>
  <c r="O162" i="8" s="1"/>
  <c r="P162" i="8" s="1"/>
  <c r="Q162" i="8" s="1"/>
  <c r="H162" i="8"/>
  <c r="I162" i="8" s="1"/>
  <c r="J162" i="8" s="1"/>
  <c r="K162" i="8" s="1"/>
  <c r="L162" i="8" s="1"/>
  <c r="J161" i="8"/>
  <c r="K161" i="8" s="1"/>
  <c r="L161" i="8" s="1"/>
  <c r="M161" i="8" s="1"/>
  <c r="N161" i="8" s="1"/>
  <c r="O161" i="8" s="1"/>
  <c r="P161" i="8" s="1"/>
  <c r="Q161" i="8" s="1"/>
  <c r="I161" i="8"/>
  <c r="H161" i="8"/>
  <c r="H160" i="8"/>
  <c r="I160" i="8" s="1"/>
  <c r="J160" i="8" s="1"/>
  <c r="K160" i="8" s="1"/>
  <c r="L160" i="8" s="1"/>
  <c r="M160" i="8" s="1"/>
  <c r="N160" i="8" s="1"/>
  <c r="O160" i="8" s="1"/>
  <c r="P160" i="8" s="1"/>
  <c r="Q160" i="8" s="1"/>
  <c r="O159" i="8"/>
  <c r="P159" i="8" s="1"/>
  <c r="Q159" i="8" s="1"/>
  <c r="J159" i="8"/>
  <c r="K159" i="8" s="1"/>
  <c r="L159" i="8" s="1"/>
  <c r="M159" i="8" s="1"/>
  <c r="N159" i="8" s="1"/>
  <c r="I159" i="8"/>
  <c r="H159" i="8"/>
  <c r="M158" i="8"/>
  <c r="N158" i="8" s="1"/>
  <c r="O158" i="8" s="1"/>
  <c r="P158" i="8" s="1"/>
  <c r="Q158" i="8" s="1"/>
  <c r="H158" i="8"/>
  <c r="I158" i="8" s="1"/>
  <c r="J158" i="8" s="1"/>
  <c r="K158" i="8" s="1"/>
  <c r="L158" i="8" s="1"/>
  <c r="J153" i="8"/>
  <c r="K153" i="8" s="1"/>
  <c r="L153" i="8" s="1"/>
  <c r="M153" i="8" s="1"/>
  <c r="N153" i="8" s="1"/>
  <c r="O153" i="8" s="1"/>
  <c r="P153" i="8" s="1"/>
  <c r="Q153" i="8" s="1"/>
  <c r="I153" i="8"/>
  <c r="H153" i="8"/>
  <c r="H152" i="8"/>
  <c r="I152" i="8" s="1"/>
  <c r="J152" i="8" s="1"/>
  <c r="K152" i="8" s="1"/>
  <c r="L152" i="8" s="1"/>
  <c r="M152" i="8" s="1"/>
  <c r="N152" i="8" s="1"/>
  <c r="O152" i="8" s="1"/>
  <c r="P152" i="8" s="1"/>
  <c r="Q152" i="8" s="1"/>
  <c r="O151" i="8"/>
  <c r="P151" i="8" s="1"/>
  <c r="Q151" i="8" s="1"/>
  <c r="J151" i="8"/>
  <c r="K151" i="8" s="1"/>
  <c r="L151" i="8" s="1"/>
  <c r="M151" i="8" s="1"/>
  <c r="N151" i="8" s="1"/>
  <c r="I151" i="8"/>
  <c r="H151" i="8"/>
  <c r="M150" i="8"/>
  <c r="N150" i="8" s="1"/>
  <c r="O150" i="8" s="1"/>
  <c r="P150" i="8" s="1"/>
  <c r="Q150" i="8" s="1"/>
  <c r="H150" i="8"/>
  <c r="I150" i="8" s="1"/>
  <c r="J150" i="8" s="1"/>
  <c r="K150" i="8" s="1"/>
  <c r="L150" i="8" s="1"/>
  <c r="H147" i="8"/>
  <c r="I147" i="8" s="1"/>
  <c r="J147" i="8" s="1"/>
  <c r="K147" i="8" s="1"/>
  <c r="L147" i="8" s="1"/>
  <c r="M147" i="8" s="1"/>
  <c r="N147" i="8" s="1"/>
  <c r="O147" i="8" s="1"/>
  <c r="P147" i="8" s="1"/>
  <c r="Q147" i="8" s="1"/>
  <c r="L146" i="8"/>
  <c r="M146" i="8" s="1"/>
  <c r="N146" i="8" s="1"/>
  <c r="O146" i="8" s="1"/>
  <c r="P146" i="8" s="1"/>
  <c r="Q146" i="8" s="1"/>
  <c r="H146" i="8"/>
  <c r="I146" i="8" s="1"/>
  <c r="J146" i="8" s="1"/>
  <c r="K146" i="8" s="1"/>
  <c r="J145" i="8"/>
  <c r="K145" i="8" s="1"/>
  <c r="L145" i="8" s="1"/>
  <c r="M145" i="8" s="1"/>
  <c r="N145" i="8" s="1"/>
  <c r="O145" i="8" s="1"/>
  <c r="P145" i="8" s="1"/>
  <c r="Q145" i="8" s="1"/>
  <c r="I145" i="8"/>
  <c r="H145" i="8"/>
  <c r="H144" i="8"/>
  <c r="I144" i="8" s="1"/>
  <c r="J144" i="8" s="1"/>
  <c r="K144" i="8" s="1"/>
  <c r="L144" i="8" s="1"/>
  <c r="M144" i="8" s="1"/>
  <c r="N144" i="8" s="1"/>
  <c r="O144" i="8" s="1"/>
  <c r="P144" i="8" s="1"/>
  <c r="Q144" i="8" s="1"/>
  <c r="N143" i="8"/>
  <c r="O143" i="8" s="1"/>
  <c r="P143" i="8" s="1"/>
  <c r="Q143" i="8" s="1"/>
  <c r="H143" i="8"/>
  <c r="I143" i="8" s="1"/>
  <c r="J143" i="8" s="1"/>
  <c r="K143" i="8" s="1"/>
  <c r="L143" i="8" s="1"/>
  <c r="M143" i="8" s="1"/>
  <c r="I138" i="8"/>
  <c r="J138" i="8" s="1"/>
  <c r="K138" i="8" s="1"/>
  <c r="L138" i="8" s="1"/>
  <c r="M138" i="8" s="1"/>
  <c r="N138" i="8" s="1"/>
  <c r="O138" i="8" s="1"/>
  <c r="P138" i="8" s="1"/>
  <c r="Q138" i="8" s="1"/>
  <c r="H138" i="8"/>
  <c r="K137" i="8"/>
  <c r="L137" i="8" s="1"/>
  <c r="M137" i="8" s="1"/>
  <c r="N137" i="8" s="1"/>
  <c r="O137" i="8" s="1"/>
  <c r="P137" i="8" s="1"/>
  <c r="Q137" i="8" s="1"/>
  <c r="J137" i="8"/>
  <c r="I137" i="8"/>
  <c r="H137" i="8"/>
  <c r="I136" i="8"/>
  <c r="J136" i="8" s="1"/>
  <c r="K136" i="8" s="1"/>
  <c r="L136" i="8" s="1"/>
  <c r="M136" i="8" s="1"/>
  <c r="N136" i="8" s="1"/>
  <c r="O136" i="8" s="1"/>
  <c r="P136" i="8" s="1"/>
  <c r="Q136" i="8" s="1"/>
  <c r="H136" i="8"/>
  <c r="K135" i="8"/>
  <c r="L135" i="8" s="1"/>
  <c r="M135" i="8" s="1"/>
  <c r="N135" i="8" s="1"/>
  <c r="O135" i="8" s="1"/>
  <c r="P135" i="8" s="1"/>
  <c r="Q135" i="8" s="1"/>
  <c r="H135" i="8"/>
  <c r="I135" i="8" s="1"/>
  <c r="J135" i="8" s="1"/>
  <c r="H132" i="8"/>
  <c r="I132" i="8" s="1"/>
  <c r="J132" i="8" s="1"/>
  <c r="K132" i="8" s="1"/>
  <c r="L132" i="8" s="1"/>
  <c r="M132" i="8" s="1"/>
  <c r="N132" i="8" s="1"/>
  <c r="O132" i="8" s="1"/>
  <c r="P132" i="8" s="1"/>
  <c r="Q132" i="8" s="1"/>
  <c r="J131" i="8"/>
  <c r="K131" i="8" s="1"/>
  <c r="L131" i="8" s="1"/>
  <c r="M131" i="8" s="1"/>
  <c r="N131" i="8" s="1"/>
  <c r="O131" i="8" s="1"/>
  <c r="P131" i="8" s="1"/>
  <c r="Q131" i="8" s="1"/>
  <c r="H131" i="8"/>
  <c r="I131" i="8" s="1"/>
  <c r="H130" i="8"/>
  <c r="I130" i="8" s="1"/>
  <c r="J130" i="8" s="1"/>
  <c r="K130" i="8" s="1"/>
  <c r="L130" i="8" s="1"/>
  <c r="M130" i="8" s="1"/>
  <c r="N130" i="8" s="1"/>
  <c r="O130" i="8" s="1"/>
  <c r="P130" i="8" s="1"/>
  <c r="Q130" i="8" s="1"/>
  <c r="O129" i="8"/>
  <c r="P129" i="8" s="1"/>
  <c r="Q129" i="8" s="1"/>
  <c r="H129" i="8"/>
  <c r="I129" i="8" s="1"/>
  <c r="J129" i="8" s="1"/>
  <c r="K129" i="8" s="1"/>
  <c r="L129" i="8" s="1"/>
  <c r="M129" i="8" s="1"/>
  <c r="N129" i="8" s="1"/>
  <c r="H128" i="8"/>
  <c r="I128" i="8" s="1"/>
  <c r="J128" i="8" s="1"/>
  <c r="K128" i="8" s="1"/>
  <c r="L128" i="8" s="1"/>
  <c r="M128" i="8" s="1"/>
  <c r="N128" i="8" s="1"/>
  <c r="O128" i="8" s="1"/>
  <c r="P128" i="8" s="1"/>
  <c r="Q128" i="8" s="1"/>
  <c r="N123" i="8"/>
  <c r="O123" i="8" s="1"/>
  <c r="P123" i="8" s="1"/>
  <c r="Q123" i="8" s="1"/>
  <c r="H123" i="8"/>
  <c r="I123" i="8" s="1"/>
  <c r="J123" i="8" s="1"/>
  <c r="K123" i="8" s="1"/>
  <c r="L123" i="8" s="1"/>
  <c r="M123" i="8" s="1"/>
  <c r="I122" i="8"/>
  <c r="J122" i="8" s="1"/>
  <c r="K122" i="8" s="1"/>
  <c r="L122" i="8" s="1"/>
  <c r="M122" i="8" s="1"/>
  <c r="N122" i="8" s="1"/>
  <c r="O122" i="8" s="1"/>
  <c r="P122" i="8" s="1"/>
  <c r="Q122" i="8" s="1"/>
  <c r="H122" i="8"/>
  <c r="I121" i="8"/>
  <c r="J121" i="8" s="1"/>
  <c r="K121" i="8" s="1"/>
  <c r="L121" i="8" s="1"/>
  <c r="M121" i="8" s="1"/>
  <c r="N121" i="8" s="1"/>
  <c r="O121" i="8" s="1"/>
  <c r="P121" i="8" s="1"/>
  <c r="Q121" i="8" s="1"/>
  <c r="H121" i="8"/>
  <c r="I120" i="8"/>
  <c r="J120" i="8" s="1"/>
  <c r="K120" i="8" s="1"/>
  <c r="L120" i="8" s="1"/>
  <c r="M120" i="8" s="1"/>
  <c r="N120" i="8" s="1"/>
  <c r="O120" i="8" s="1"/>
  <c r="P120" i="8" s="1"/>
  <c r="Q120" i="8" s="1"/>
  <c r="H120" i="8"/>
  <c r="H117" i="8"/>
  <c r="I117" i="8" s="1"/>
  <c r="J117" i="8" s="1"/>
  <c r="K117" i="8" s="1"/>
  <c r="L117" i="8" s="1"/>
  <c r="M117" i="8" s="1"/>
  <c r="N117" i="8" s="1"/>
  <c r="O117" i="8" s="1"/>
  <c r="P117" i="8" s="1"/>
  <c r="Q117" i="8" s="1"/>
  <c r="Q116" i="8"/>
  <c r="M116" i="8"/>
  <c r="N116" i="8" s="1"/>
  <c r="O116" i="8" s="1"/>
  <c r="P116" i="8" s="1"/>
  <c r="I116" i="8"/>
  <c r="J116" i="8" s="1"/>
  <c r="K116" i="8" s="1"/>
  <c r="L116" i="8" s="1"/>
  <c r="H116" i="8"/>
  <c r="O115" i="8"/>
  <c r="P115" i="8" s="1"/>
  <c r="Q115" i="8" s="1"/>
  <c r="K115" i="8"/>
  <c r="L115" i="8" s="1"/>
  <c r="M115" i="8" s="1"/>
  <c r="N115" i="8" s="1"/>
  <c r="H115" i="8"/>
  <c r="I115" i="8" s="1"/>
  <c r="J115" i="8" s="1"/>
  <c r="M114" i="8"/>
  <c r="N114" i="8" s="1"/>
  <c r="O114" i="8" s="1"/>
  <c r="P114" i="8" s="1"/>
  <c r="Q114" i="8" s="1"/>
  <c r="I114" i="8"/>
  <c r="J114" i="8" s="1"/>
  <c r="K114" i="8" s="1"/>
  <c r="L114" i="8" s="1"/>
  <c r="H114" i="8"/>
  <c r="K113" i="8"/>
  <c r="L113" i="8" s="1"/>
  <c r="M113" i="8" s="1"/>
  <c r="N113" i="8" s="1"/>
  <c r="O113" i="8" s="1"/>
  <c r="P113" i="8" s="1"/>
  <c r="Q113" i="8" s="1"/>
  <c r="H113" i="8"/>
  <c r="I113" i="8" s="1"/>
  <c r="J113" i="8" s="1"/>
  <c r="I108" i="8"/>
  <c r="J108" i="8" s="1"/>
  <c r="K108" i="8" s="1"/>
  <c r="L108" i="8" s="1"/>
  <c r="M108" i="8" s="1"/>
  <c r="N108" i="8" s="1"/>
  <c r="O108" i="8" s="1"/>
  <c r="P108" i="8" s="1"/>
  <c r="Q108" i="8" s="1"/>
  <c r="H108" i="8"/>
  <c r="H107" i="8"/>
  <c r="I107" i="8" s="1"/>
  <c r="J107" i="8" s="1"/>
  <c r="K107" i="8" s="1"/>
  <c r="L107" i="8" s="1"/>
  <c r="M107" i="8" s="1"/>
  <c r="N107" i="8" s="1"/>
  <c r="O107" i="8" s="1"/>
  <c r="P107" i="8" s="1"/>
  <c r="Q107" i="8" s="1"/>
  <c r="I106" i="8"/>
  <c r="J106" i="8" s="1"/>
  <c r="K106" i="8" s="1"/>
  <c r="L106" i="8" s="1"/>
  <c r="M106" i="8" s="1"/>
  <c r="N106" i="8" s="1"/>
  <c r="O106" i="8" s="1"/>
  <c r="P106" i="8" s="1"/>
  <c r="Q106" i="8" s="1"/>
  <c r="H106" i="8"/>
  <c r="H105" i="8"/>
  <c r="I105" i="8" s="1"/>
  <c r="J105" i="8" s="1"/>
  <c r="K105" i="8" s="1"/>
  <c r="L105" i="8" s="1"/>
  <c r="M105" i="8" s="1"/>
  <c r="N105" i="8" s="1"/>
  <c r="O105" i="8" s="1"/>
  <c r="P105" i="8" s="1"/>
  <c r="Q105" i="8" s="1"/>
  <c r="Q102" i="8"/>
  <c r="M102" i="8"/>
  <c r="N102" i="8" s="1"/>
  <c r="O102" i="8" s="1"/>
  <c r="P102" i="8" s="1"/>
  <c r="I102" i="8"/>
  <c r="J102" i="8" s="1"/>
  <c r="K102" i="8" s="1"/>
  <c r="L102" i="8" s="1"/>
  <c r="H102" i="8"/>
  <c r="O101" i="8"/>
  <c r="P101" i="8" s="1"/>
  <c r="Q101" i="8" s="1"/>
  <c r="K101" i="8"/>
  <c r="L101" i="8" s="1"/>
  <c r="M101" i="8" s="1"/>
  <c r="N101" i="8" s="1"/>
  <c r="H101" i="8"/>
  <c r="I101" i="8" s="1"/>
  <c r="J101" i="8" s="1"/>
  <c r="M100" i="8"/>
  <c r="N100" i="8" s="1"/>
  <c r="O100" i="8" s="1"/>
  <c r="P100" i="8" s="1"/>
  <c r="Q100" i="8" s="1"/>
  <c r="I100" i="8"/>
  <c r="J100" i="8" s="1"/>
  <c r="K100" i="8" s="1"/>
  <c r="L100" i="8" s="1"/>
  <c r="H100" i="8"/>
  <c r="K99" i="8"/>
  <c r="L99" i="8" s="1"/>
  <c r="M99" i="8" s="1"/>
  <c r="N99" i="8" s="1"/>
  <c r="O99" i="8" s="1"/>
  <c r="P99" i="8" s="1"/>
  <c r="Q99" i="8" s="1"/>
  <c r="H99" i="8"/>
  <c r="I99" i="8" s="1"/>
  <c r="J99" i="8" s="1"/>
  <c r="I98" i="8"/>
  <c r="J98" i="8" s="1"/>
  <c r="K98" i="8" s="1"/>
  <c r="L98" i="8" s="1"/>
  <c r="M98" i="8" s="1"/>
  <c r="N98" i="8" s="1"/>
  <c r="O98" i="8" s="1"/>
  <c r="P98" i="8" s="1"/>
  <c r="Q98" i="8" s="1"/>
  <c r="H98" i="8"/>
  <c r="H92" i="8"/>
  <c r="I92" i="8" s="1"/>
  <c r="J92" i="8" s="1"/>
  <c r="K92" i="8" s="1"/>
  <c r="L92" i="8" s="1"/>
  <c r="M92" i="8" s="1"/>
  <c r="N92" i="8" s="1"/>
  <c r="O92" i="8" s="1"/>
  <c r="P92" i="8" s="1"/>
  <c r="Q92" i="8" s="1"/>
  <c r="L91" i="8"/>
  <c r="M91" i="8" s="1"/>
  <c r="N91" i="8" s="1"/>
  <c r="O91" i="8" s="1"/>
  <c r="P91" i="8" s="1"/>
  <c r="Q91" i="8" s="1"/>
  <c r="H91" i="8"/>
  <c r="I91" i="8" s="1"/>
  <c r="J91" i="8" s="1"/>
  <c r="K91" i="8" s="1"/>
  <c r="H90" i="8"/>
  <c r="I90" i="8" s="1"/>
  <c r="J90" i="8" s="1"/>
  <c r="K90" i="8" s="1"/>
  <c r="L90" i="8" s="1"/>
  <c r="M90" i="8" s="1"/>
  <c r="N90" i="8" s="1"/>
  <c r="O90" i="8" s="1"/>
  <c r="P90" i="8" s="1"/>
  <c r="Q90" i="8" s="1"/>
  <c r="H89" i="8"/>
  <c r="I89" i="8" s="1"/>
  <c r="J89" i="8" s="1"/>
  <c r="K89" i="8" s="1"/>
  <c r="L89" i="8" s="1"/>
  <c r="M89" i="8" s="1"/>
  <c r="N89" i="8" s="1"/>
  <c r="O89" i="8" s="1"/>
  <c r="P89" i="8" s="1"/>
  <c r="Q89" i="8" s="1"/>
  <c r="O86" i="8"/>
  <c r="P86" i="8" s="1"/>
  <c r="Q86" i="8" s="1"/>
  <c r="J86" i="8"/>
  <c r="K86" i="8" s="1"/>
  <c r="L86" i="8" s="1"/>
  <c r="M86" i="8" s="1"/>
  <c r="N86" i="8" s="1"/>
  <c r="H86" i="8"/>
  <c r="I86" i="8" s="1"/>
  <c r="I85" i="8"/>
  <c r="J85" i="8" s="1"/>
  <c r="K85" i="8" s="1"/>
  <c r="L85" i="8" s="1"/>
  <c r="M85" i="8" s="1"/>
  <c r="N85" i="8" s="1"/>
  <c r="O85" i="8" s="1"/>
  <c r="P85" i="8" s="1"/>
  <c r="Q85" i="8" s="1"/>
  <c r="H85" i="8"/>
  <c r="H84" i="8"/>
  <c r="I84" i="8" s="1"/>
  <c r="J84" i="8" s="1"/>
  <c r="K84" i="8" s="1"/>
  <c r="L84" i="8" s="1"/>
  <c r="M84" i="8" s="1"/>
  <c r="N84" i="8" s="1"/>
  <c r="O84" i="8" s="1"/>
  <c r="P84" i="8" s="1"/>
  <c r="Q84" i="8" s="1"/>
  <c r="M83" i="8"/>
  <c r="N83" i="8" s="1"/>
  <c r="O83" i="8" s="1"/>
  <c r="P83" i="8" s="1"/>
  <c r="Q83" i="8" s="1"/>
  <c r="H83" i="8"/>
  <c r="I83" i="8" s="1"/>
  <c r="J83" i="8" s="1"/>
  <c r="K83" i="8" s="1"/>
  <c r="L83" i="8" s="1"/>
  <c r="H82" i="8"/>
  <c r="I82" i="8" s="1"/>
  <c r="J82" i="8" s="1"/>
  <c r="K82" i="8" s="1"/>
  <c r="L82" i="8" s="1"/>
  <c r="M82" i="8" s="1"/>
  <c r="N82" i="8" s="1"/>
  <c r="O82" i="8" s="1"/>
  <c r="P82" i="8" s="1"/>
  <c r="Q82" i="8" s="1"/>
  <c r="Q77" i="8"/>
  <c r="L77" i="8"/>
  <c r="M77" i="8" s="1"/>
  <c r="N77" i="8" s="1"/>
  <c r="O77" i="8" s="1"/>
  <c r="P77" i="8" s="1"/>
  <c r="H77" i="8"/>
  <c r="I77" i="8" s="1"/>
  <c r="J77" i="8" s="1"/>
  <c r="K77" i="8" s="1"/>
  <c r="K76" i="8"/>
  <c r="L76" i="8" s="1"/>
  <c r="M76" i="8" s="1"/>
  <c r="N76" i="8" s="1"/>
  <c r="O76" i="8" s="1"/>
  <c r="P76" i="8" s="1"/>
  <c r="Q76" i="8" s="1"/>
  <c r="H76" i="8"/>
  <c r="I76" i="8" s="1"/>
  <c r="J76" i="8" s="1"/>
  <c r="H75" i="8"/>
  <c r="I75" i="8" s="1"/>
  <c r="J75" i="8" s="1"/>
  <c r="K75" i="8" s="1"/>
  <c r="L75" i="8" s="1"/>
  <c r="M75" i="8" s="1"/>
  <c r="N75" i="8" s="1"/>
  <c r="O75" i="8" s="1"/>
  <c r="P75" i="8" s="1"/>
  <c r="Q75" i="8" s="1"/>
  <c r="O74" i="8"/>
  <c r="P74" i="8" s="1"/>
  <c r="Q74" i="8" s="1"/>
  <c r="J74" i="8"/>
  <c r="K74" i="8" s="1"/>
  <c r="L74" i="8" s="1"/>
  <c r="M74" i="8" s="1"/>
  <c r="N74" i="8" s="1"/>
  <c r="H74" i="8"/>
  <c r="I74" i="8" s="1"/>
  <c r="N71" i="8"/>
  <c r="O71" i="8" s="1"/>
  <c r="P71" i="8" s="1"/>
  <c r="Q71" i="8" s="1"/>
  <c r="I71" i="8"/>
  <c r="J71" i="8" s="1"/>
  <c r="K71" i="8" s="1"/>
  <c r="L71" i="8" s="1"/>
  <c r="M71" i="8" s="1"/>
  <c r="H71" i="8"/>
  <c r="H70" i="8"/>
  <c r="I70" i="8" s="1"/>
  <c r="J70" i="8" s="1"/>
  <c r="K70" i="8" s="1"/>
  <c r="L70" i="8" s="1"/>
  <c r="M70" i="8" s="1"/>
  <c r="N70" i="8" s="1"/>
  <c r="O70" i="8" s="1"/>
  <c r="P70" i="8" s="1"/>
  <c r="Q70" i="8" s="1"/>
  <c r="M69" i="8"/>
  <c r="N69" i="8" s="1"/>
  <c r="O69" i="8" s="1"/>
  <c r="P69" i="8" s="1"/>
  <c r="Q69" i="8" s="1"/>
  <c r="H69" i="8"/>
  <c r="I69" i="8" s="1"/>
  <c r="J69" i="8" s="1"/>
  <c r="K69" i="8" s="1"/>
  <c r="L69" i="8" s="1"/>
  <c r="H68" i="8"/>
  <c r="I68" i="8" s="1"/>
  <c r="J68" i="8" s="1"/>
  <c r="K68" i="8" s="1"/>
  <c r="L68" i="8" s="1"/>
  <c r="M68" i="8" s="1"/>
  <c r="N68" i="8" s="1"/>
  <c r="O68" i="8" s="1"/>
  <c r="P68" i="8" s="1"/>
  <c r="Q68" i="8" s="1"/>
  <c r="H67" i="8"/>
  <c r="I67" i="8" s="1"/>
  <c r="J67" i="8" s="1"/>
  <c r="K67" i="8" s="1"/>
  <c r="L67" i="8" s="1"/>
  <c r="M67" i="8" s="1"/>
  <c r="N67" i="8" s="1"/>
  <c r="O67" i="8" s="1"/>
  <c r="P67" i="8" s="1"/>
  <c r="Q67" i="8" s="1"/>
  <c r="P62" i="8"/>
  <c r="Q62" i="8" s="1"/>
  <c r="K62" i="8"/>
  <c r="L62" i="8" s="1"/>
  <c r="M62" i="8" s="1"/>
  <c r="N62" i="8" s="1"/>
  <c r="O62" i="8" s="1"/>
  <c r="H62" i="8"/>
  <c r="I62" i="8" s="1"/>
  <c r="J62" i="8" s="1"/>
  <c r="J61" i="8"/>
  <c r="K61" i="8" s="1"/>
  <c r="L61" i="8" s="1"/>
  <c r="M61" i="8" s="1"/>
  <c r="N61" i="8" s="1"/>
  <c r="O61" i="8" s="1"/>
  <c r="P61" i="8" s="1"/>
  <c r="Q61" i="8" s="1"/>
  <c r="H61" i="8"/>
  <c r="I61" i="8" s="1"/>
  <c r="J60" i="8"/>
  <c r="K60" i="8" s="1"/>
  <c r="L60" i="8" s="1"/>
  <c r="M60" i="8" s="1"/>
  <c r="N60" i="8" s="1"/>
  <c r="O60" i="8" s="1"/>
  <c r="P60" i="8" s="1"/>
  <c r="Q60" i="8" s="1"/>
  <c r="H60" i="8"/>
  <c r="I60" i="8" s="1"/>
  <c r="N59" i="8"/>
  <c r="O59" i="8" s="1"/>
  <c r="P59" i="8" s="1"/>
  <c r="Q59" i="8" s="1"/>
  <c r="I59" i="8"/>
  <c r="J59" i="8" s="1"/>
  <c r="K59" i="8" s="1"/>
  <c r="L59" i="8" s="1"/>
  <c r="M59" i="8" s="1"/>
  <c r="H59" i="8"/>
  <c r="N58" i="8"/>
  <c r="O58" i="8" s="1"/>
  <c r="P58" i="8" s="1"/>
  <c r="Q58" i="8" s="1"/>
  <c r="J58" i="8"/>
  <c r="K58" i="8" s="1"/>
  <c r="L58" i="8" s="1"/>
  <c r="M58" i="8" s="1"/>
  <c r="H58" i="8"/>
  <c r="I58" i="8" s="1"/>
  <c r="M56" i="8"/>
  <c r="N56" i="8" s="1"/>
  <c r="O56" i="8" s="1"/>
  <c r="P56" i="8" s="1"/>
  <c r="Q56" i="8" s="1"/>
  <c r="I56" i="8"/>
  <c r="J56" i="8" s="1"/>
  <c r="K56" i="8" s="1"/>
  <c r="L56" i="8" s="1"/>
  <c r="H56" i="8"/>
  <c r="L55" i="8"/>
  <c r="M55" i="8" s="1"/>
  <c r="N55" i="8" s="1"/>
  <c r="O55" i="8" s="1"/>
  <c r="P55" i="8" s="1"/>
  <c r="Q55" i="8" s="1"/>
  <c r="H55" i="8"/>
  <c r="I55" i="8" s="1"/>
  <c r="J55" i="8" s="1"/>
  <c r="K55" i="8" s="1"/>
  <c r="L54" i="8"/>
  <c r="M54" i="8" s="1"/>
  <c r="N54" i="8" s="1"/>
  <c r="O54" i="8" s="1"/>
  <c r="P54" i="8" s="1"/>
  <c r="Q54" i="8" s="1"/>
  <c r="H54" i="8"/>
  <c r="I54" i="8" s="1"/>
  <c r="J54" i="8" s="1"/>
  <c r="K54" i="8" s="1"/>
  <c r="K53" i="8"/>
  <c r="L53" i="8" s="1"/>
  <c r="M53" i="8" s="1"/>
  <c r="N53" i="8" s="1"/>
  <c r="O53" i="8" s="1"/>
  <c r="P53" i="8" s="1"/>
  <c r="Q53" i="8" s="1"/>
  <c r="H53" i="8"/>
  <c r="I53" i="8" s="1"/>
  <c r="J53" i="8" s="1"/>
  <c r="L52" i="8"/>
  <c r="M52" i="8" s="1"/>
  <c r="N52" i="8" s="1"/>
  <c r="O52" i="8" s="1"/>
  <c r="P52" i="8" s="1"/>
  <c r="Q52" i="8" s="1"/>
  <c r="J52" i="8"/>
  <c r="K52" i="8" s="1"/>
  <c r="H52" i="8"/>
  <c r="I52" i="8" s="1"/>
  <c r="O47" i="8"/>
  <c r="P47" i="8" s="1"/>
  <c r="Q47" i="8" s="1"/>
  <c r="K47" i="8"/>
  <c r="L47" i="8" s="1"/>
  <c r="M47" i="8" s="1"/>
  <c r="N47" i="8" s="1"/>
  <c r="J47" i="8"/>
  <c r="H47" i="8"/>
  <c r="I47" i="8" s="1"/>
  <c r="I46" i="8"/>
  <c r="J46" i="8" s="1"/>
  <c r="K46" i="8" s="1"/>
  <c r="L46" i="8" s="1"/>
  <c r="M46" i="8" s="1"/>
  <c r="N46" i="8" s="1"/>
  <c r="O46" i="8" s="1"/>
  <c r="P46" i="8" s="1"/>
  <c r="Q46" i="8" s="1"/>
  <c r="H46" i="8"/>
  <c r="H45" i="8"/>
  <c r="I45" i="8" s="1"/>
  <c r="J45" i="8" s="1"/>
  <c r="K45" i="8" s="1"/>
  <c r="L45" i="8" s="1"/>
  <c r="M45" i="8" s="1"/>
  <c r="N45" i="8" s="1"/>
  <c r="O45" i="8" s="1"/>
  <c r="P45" i="8" s="1"/>
  <c r="Q45" i="8" s="1"/>
  <c r="H44" i="8"/>
  <c r="I44" i="8" s="1"/>
  <c r="J44" i="8" s="1"/>
  <c r="K44" i="8" s="1"/>
  <c r="L44" i="8" s="1"/>
  <c r="M44" i="8" s="1"/>
  <c r="N44" i="8" s="1"/>
  <c r="O44" i="8" s="1"/>
  <c r="P44" i="8" s="1"/>
  <c r="Q44" i="8" s="1"/>
  <c r="H41" i="8"/>
  <c r="I41" i="8" s="1"/>
  <c r="J41" i="8" s="1"/>
  <c r="K41" i="8" s="1"/>
  <c r="L41" i="8" s="1"/>
  <c r="M41" i="8" s="1"/>
  <c r="N41" i="8" s="1"/>
  <c r="O41" i="8" s="1"/>
  <c r="P41" i="8" s="1"/>
  <c r="Q41" i="8" s="1"/>
  <c r="H40" i="8"/>
  <c r="I40" i="8" s="1"/>
  <c r="J40" i="8" s="1"/>
  <c r="K40" i="8" s="1"/>
  <c r="L40" i="8" s="1"/>
  <c r="M40" i="8" s="1"/>
  <c r="N40" i="8" s="1"/>
  <c r="O40" i="8" s="1"/>
  <c r="P40" i="8" s="1"/>
  <c r="Q40" i="8" s="1"/>
  <c r="I39" i="8"/>
  <c r="J39" i="8" s="1"/>
  <c r="K39" i="8" s="1"/>
  <c r="L39" i="8" s="1"/>
  <c r="M39" i="8" s="1"/>
  <c r="N39" i="8" s="1"/>
  <c r="O39" i="8" s="1"/>
  <c r="P39" i="8" s="1"/>
  <c r="Q39" i="8" s="1"/>
  <c r="H39" i="8"/>
  <c r="L38" i="8"/>
  <c r="M38" i="8" s="1"/>
  <c r="N38" i="8" s="1"/>
  <c r="O38" i="8" s="1"/>
  <c r="P38" i="8" s="1"/>
  <c r="Q38" i="8" s="1"/>
  <c r="K38" i="8"/>
  <c r="H38" i="8"/>
  <c r="I38" i="8" s="1"/>
  <c r="J38" i="8" s="1"/>
  <c r="I37" i="8"/>
  <c r="J37" i="8" s="1"/>
  <c r="K37" i="8" s="1"/>
  <c r="L37" i="8" s="1"/>
  <c r="M37" i="8" s="1"/>
  <c r="N37" i="8" s="1"/>
  <c r="O37" i="8" s="1"/>
  <c r="P37" i="8" s="1"/>
  <c r="Q37" i="8" s="1"/>
  <c r="H32" i="8"/>
  <c r="I32" i="8" s="1"/>
  <c r="J32" i="8" s="1"/>
  <c r="K32" i="8" s="1"/>
  <c r="L32" i="8" s="1"/>
  <c r="M32" i="8" s="1"/>
  <c r="N32" i="8" s="1"/>
  <c r="O32" i="8" s="1"/>
  <c r="P32" i="8" s="1"/>
  <c r="Q32" i="8" s="1"/>
  <c r="H31" i="8"/>
  <c r="I31" i="8" s="1"/>
  <c r="J31" i="8" s="1"/>
  <c r="K31" i="8" s="1"/>
  <c r="L31" i="8" s="1"/>
  <c r="M31" i="8" s="1"/>
  <c r="N31" i="8" s="1"/>
  <c r="O31" i="8" s="1"/>
  <c r="P31" i="8" s="1"/>
  <c r="Q31" i="8" s="1"/>
  <c r="H30" i="8"/>
  <c r="I30" i="8" s="1"/>
  <c r="J30" i="8" s="1"/>
  <c r="K30" i="8" s="1"/>
  <c r="L30" i="8" s="1"/>
  <c r="M30" i="8" s="1"/>
  <c r="N30" i="8" s="1"/>
  <c r="O30" i="8" s="1"/>
  <c r="P30" i="8" s="1"/>
  <c r="Q30" i="8" s="1"/>
  <c r="I29" i="8"/>
  <c r="J29" i="8" s="1"/>
  <c r="K29" i="8" s="1"/>
  <c r="L29" i="8" s="1"/>
  <c r="M29" i="8" s="1"/>
  <c r="N29" i="8" s="1"/>
  <c r="O29" i="8" s="1"/>
  <c r="P29" i="8" s="1"/>
  <c r="Q29" i="8" s="1"/>
  <c r="H26" i="8"/>
  <c r="I26" i="8" s="1"/>
  <c r="J26" i="8" s="1"/>
  <c r="K26" i="8" s="1"/>
  <c r="L26" i="8" s="1"/>
  <c r="M26" i="8" s="1"/>
  <c r="N26" i="8" s="1"/>
  <c r="O26" i="8" s="1"/>
  <c r="P26" i="8" s="1"/>
  <c r="Q26" i="8" s="1"/>
  <c r="H25" i="8"/>
  <c r="I25" i="8" s="1"/>
  <c r="J25" i="8" s="1"/>
  <c r="K25" i="8" s="1"/>
  <c r="L25" i="8" s="1"/>
  <c r="M25" i="8" s="1"/>
  <c r="N25" i="8" s="1"/>
  <c r="O25" i="8" s="1"/>
  <c r="P25" i="8" s="1"/>
  <c r="Q25" i="8" s="1"/>
  <c r="H24" i="8"/>
  <c r="I24" i="8" s="1"/>
  <c r="J24" i="8" s="1"/>
  <c r="K24" i="8" s="1"/>
  <c r="L24" i="8" s="1"/>
  <c r="M24" i="8" s="1"/>
  <c r="N24" i="8" s="1"/>
  <c r="O24" i="8" s="1"/>
  <c r="P24" i="8" s="1"/>
  <c r="Q24" i="8" s="1"/>
  <c r="H23" i="8"/>
  <c r="I23" i="8" s="1"/>
  <c r="J23" i="8" s="1"/>
  <c r="K23" i="8" s="1"/>
  <c r="L23" i="8" s="1"/>
  <c r="M23" i="8" s="1"/>
  <c r="N23" i="8" s="1"/>
  <c r="O23" i="8" s="1"/>
  <c r="P23" i="8" s="1"/>
  <c r="Q23" i="8" s="1"/>
  <c r="J22" i="8"/>
  <c r="K22" i="8" s="1"/>
  <c r="L22" i="8" s="1"/>
  <c r="M22" i="8" s="1"/>
  <c r="N22" i="8" s="1"/>
  <c r="O22" i="8" s="1"/>
  <c r="P22" i="8" s="1"/>
  <c r="Q22" i="8" s="1"/>
  <c r="I22" i="8"/>
  <c r="J13" i="8"/>
  <c r="K13" i="8" s="1"/>
  <c r="L13" i="8" s="1"/>
  <c r="M13" i="8" s="1"/>
  <c r="N13" i="8" s="1"/>
  <c r="O13" i="8" s="1"/>
  <c r="P13" i="8" s="1"/>
  <c r="Q13" i="8" s="1"/>
  <c r="I13" i="8"/>
  <c r="J35" i="11"/>
  <c r="K35" i="11" s="1"/>
  <c r="L35" i="11" s="1"/>
  <c r="M35" i="11" s="1"/>
  <c r="N35" i="11" s="1"/>
  <c r="O35" i="11" s="1"/>
  <c r="P35" i="11" s="1"/>
  <c r="Q35" i="11" s="1"/>
  <c r="I35" i="11"/>
  <c r="H15" i="17" l="1"/>
  <c r="H33" i="11"/>
  <c r="I20" i="9" l="1"/>
  <c r="J20" i="9" s="1"/>
  <c r="K20" i="9" s="1"/>
  <c r="L20" i="9" s="1"/>
  <c r="M20" i="9" s="1"/>
  <c r="N20" i="9" s="1"/>
  <c r="O20" i="9" s="1"/>
  <c r="P20" i="9" s="1"/>
  <c r="Q20" i="9" s="1"/>
  <c r="I19" i="9"/>
  <c r="J19" i="9" s="1"/>
  <c r="K19" i="9" s="1"/>
  <c r="L19" i="9" s="1"/>
  <c r="M19" i="9" s="1"/>
  <c r="N19" i="9" s="1"/>
  <c r="O19" i="9" s="1"/>
  <c r="P19" i="9" s="1"/>
  <c r="Q19" i="9" s="1"/>
  <c r="C15" i="14" l="1"/>
  <c r="D15" i="14"/>
  <c r="E15" i="14"/>
  <c r="F15" i="14"/>
  <c r="G15" i="14"/>
  <c r="C17" i="14"/>
  <c r="D17" i="14"/>
  <c r="E17" i="14"/>
  <c r="F17" i="14"/>
  <c r="G17" i="14"/>
  <c r="C19" i="14"/>
  <c r="D19" i="14"/>
  <c r="E19" i="14"/>
  <c r="F19" i="14"/>
  <c r="G19" i="14"/>
  <c r="C21" i="14"/>
  <c r="D21" i="14"/>
  <c r="E21" i="14"/>
  <c r="F21" i="14"/>
  <c r="G21" i="14"/>
  <c r="C23" i="14"/>
  <c r="D23" i="14"/>
  <c r="E23" i="14"/>
  <c r="F23" i="14"/>
  <c r="G23" i="14"/>
  <c r="C25" i="14"/>
  <c r="D25" i="14"/>
  <c r="E25" i="14"/>
  <c r="F25" i="14"/>
  <c r="G25" i="14"/>
  <c r="C27" i="14"/>
  <c r="D27" i="14"/>
  <c r="E27" i="14"/>
  <c r="F27" i="14"/>
  <c r="G27" i="14"/>
  <c r="C32" i="14"/>
  <c r="D32" i="14"/>
  <c r="E32" i="14"/>
  <c r="F32" i="14"/>
  <c r="G32" i="14"/>
  <c r="C34" i="14"/>
  <c r="D34" i="14"/>
  <c r="E34" i="14"/>
  <c r="F34" i="14"/>
  <c r="G34" i="14"/>
  <c r="C36" i="14"/>
  <c r="D36" i="14"/>
  <c r="E36" i="14"/>
  <c r="F36" i="14"/>
  <c r="G36" i="14"/>
  <c r="C40" i="14"/>
  <c r="D40" i="14"/>
  <c r="E40" i="14"/>
  <c r="F40" i="14"/>
  <c r="G40" i="14"/>
  <c r="C45" i="14"/>
  <c r="D45" i="14"/>
  <c r="E45" i="14"/>
  <c r="F45" i="14"/>
  <c r="G45" i="14"/>
  <c r="C47" i="14"/>
  <c r="D47" i="14"/>
  <c r="E47" i="14"/>
  <c r="F47" i="14"/>
  <c r="G47" i="14"/>
  <c r="C49" i="14"/>
  <c r="D49" i="14"/>
  <c r="E49" i="14"/>
  <c r="F49" i="14"/>
  <c r="G49" i="14"/>
  <c r="C51" i="14"/>
  <c r="D51" i="14"/>
  <c r="E51" i="14"/>
  <c r="F51" i="14"/>
  <c r="G51" i="14"/>
  <c r="C53" i="14"/>
  <c r="D53" i="14"/>
  <c r="E53" i="14"/>
  <c r="F53" i="14"/>
  <c r="G53" i="14"/>
  <c r="C55" i="14"/>
  <c r="D55" i="14"/>
  <c r="E55" i="14"/>
  <c r="F55" i="14"/>
  <c r="G55" i="14"/>
  <c r="C60" i="14"/>
  <c r="D60" i="14"/>
  <c r="E60" i="14"/>
  <c r="F60" i="14"/>
  <c r="G60" i="14"/>
  <c r="C62" i="14"/>
  <c r="D62" i="14"/>
  <c r="E62" i="14"/>
  <c r="F62" i="14"/>
  <c r="G62" i="14"/>
  <c r="C64" i="14"/>
  <c r="D64" i="14"/>
  <c r="E64" i="14"/>
  <c r="F64" i="14"/>
  <c r="G64" i="14"/>
  <c r="C66" i="14"/>
  <c r="D66" i="14"/>
  <c r="E66" i="14"/>
  <c r="F66" i="14"/>
  <c r="G66" i="14"/>
  <c r="C68" i="14"/>
  <c r="D68" i="14"/>
  <c r="E68" i="14"/>
  <c r="F68" i="14"/>
  <c r="G68" i="14"/>
  <c r="C70" i="14"/>
  <c r="D70" i="14"/>
  <c r="E70" i="14"/>
  <c r="F70" i="14"/>
  <c r="G70" i="14"/>
  <c r="H8" i="11"/>
  <c r="I8" i="11" s="1"/>
  <c r="J8" i="11" s="1"/>
  <c r="K8" i="11" s="1"/>
  <c r="L8" i="11" s="1"/>
  <c r="M8" i="11" s="1"/>
  <c r="N8" i="11" s="1"/>
  <c r="O8" i="11" s="1"/>
  <c r="P8" i="11" s="1"/>
  <c r="Q8" i="11" s="1"/>
  <c r="C59" i="28" l="1"/>
  <c r="C56" i="28"/>
  <c r="D28" i="6" l="1"/>
  <c r="C34" i="28" s="1"/>
  <c r="H294" i="8" l="1"/>
  <c r="H198" i="8"/>
  <c r="H37" i="8"/>
  <c r="H29" i="8"/>
  <c r="H22" i="8"/>
  <c r="H17" i="8"/>
  <c r="H13" i="8"/>
  <c r="I8" i="28" l="1"/>
  <c r="J8" i="28" s="1"/>
  <c r="K8" i="28" s="1"/>
  <c r="L8" i="28" s="1"/>
  <c r="M8" i="28" s="1"/>
  <c r="N8" i="28" s="1"/>
  <c r="O8" i="28" s="1"/>
  <c r="P8" i="28" s="1"/>
  <c r="Q8" i="28" s="1"/>
  <c r="H8" i="28"/>
  <c r="C24" i="28"/>
  <c r="C26" i="28" l="1"/>
  <c r="C30" i="28" s="1"/>
  <c r="H8" i="20" l="1"/>
  <c r="I8" i="20" s="1"/>
  <c r="J8" i="20" s="1"/>
  <c r="K8" i="20" s="1"/>
  <c r="L8" i="20" s="1"/>
  <c r="M8" i="20" s="1"/>
  <c r="N8" i="20" s="1"/>
  <c r="O8" i="20" s="1"/>
  <c r="P8" i="20" s="1"/>
  <c r="Q8" i="20" s="1"/>
  <c r="D70" i="17"/>
  <c r="E70" i="17"/>
  <c r="F70" i="17"/>
  <c r="G70" i="17"/>
  <c r="D71" i="17"/>
  <c r="E71" i="17"/>
  <c r="F71" i="17"/>
  <c r="G71" i="17"/>
  <c r="D72" i="17"/>
  <c r="E72" i="17"/>
  <c r="F72" i="17"/>
  <c r="G72" i="17"/>
  <c r="D73" i="17"/>
  <c r="E73" i="17"/>
  <c r="F73" i="17"/>
  <c r="G73" i="17"/>
  <c r="D74" i="17"/>
  <c r="E74" i="17"/>
  <c r="F74" i="17"/>
  <c r="G74" i="17"/>
  <c r="H74" i="17" s="1"/>
  <c r="D75" i="17"/>
  <c r="E75" i="17"/>
  <c r="F75" i="17"/>
  <c r="G75" i="17"/>
  <c r="D76" i="17"/>
  <c r="E76" i="17"/>
  <c r="F76" i="17"/>
  <c r="G76" i="17"/>
  <c r="D77" i="17"/>
  <c r="E77" i="17"/>
  <c r="F77" i="17"/>
  <c r="G77" i="17"/>
  <c r="C77" i="17"/>
  <c r="C76" i="17"/>
  <c r="C75" i="17"/>
  <c r="C74" i="17"/>
  <c r="C73" i="17"/>
  <c r="C72" i="17"/>
  <c r="C71" i="17"/>
  <c r="C70" i="17"/>
  <c r="D58" i="17"/>
  <c r="E58" i="17"/>
  <c r="F58" i="17"/>
  <c r="G58" i="17"/>
  <c r="D59" i="17"/>
  <c r="E59" i="17"/>
  <c r="F59" i="17"/>
  <c r="G59" i="17"/>
  <c r="D60" i="17"/>
  <c r="E60" i="17"/>
  <c r="F60" i="17"/>
  <c r="G60" i="17"/>
  <c r="D61" i="17"/>
  <c r="E61" i="17"/>
  <c r="F61" i="17"/>
  <c r="G61" i="17"/>
  <c r="D62" i="17"/>
  <c r="E62" i="17"/>
  <c r="F62" i="17"/>
  <c r="G62" i="17"/>
  <c r="D63" i="17"/>
  <c r="E63" i="17"/>
  <c r="F63" i="17"/>
  <c r="G63" i="17"/>
  <c r="D64" i="17"/>
  <c r="E64" i="17"/>
  <c r="F64" i="17"/>
  <c r="G64" i="17"/>
  <c r="C64" i="17"/>
  <c r="C62" i="17"/>
  <c r="C61" i="17"/>
  <c r="C60" i="17"/>
  <c r="C59" i="17"/>
  <c r="D73" i="18" s="1"/>
  <c r="C58" i="17"/>
  <c r="D34" i="17"/>
  <c r="E34" i="17"/>
  <c r="F34" i="17"/>
  <c r="G34" i="17"/>
  <c r="C34" i="17"/>
  <c r="D36" i="18" s="1"/>
  <c r="D31" i="17"/>
  <c r="E31" i="17"/>
  <c r="F31" i="17"/>
  <c r="G31" i="17"/>
  <c r="C31" i="17"/>
  <c r="D16" i="17"/>
  <c r="E16" i="17"/>
  <c r="F16" i="17"/>
  <c r="G16" i="17"/>
  <c r="C16" i="17"/>
  <c r="D14" i="17"/>
  <c r="E14" i="17"/>
  <c r="F14" i="17"/>
  <c r="G14" i="17"/>
  <c r="C14" i="17"/>
  <c r="D13" i="17"/>
  <c r="E13" i="17"/>
  <c r="F13" i="17"/>
  <c r="G13" i="17"/>
  <c r="C13" i="17"/>
  <c r="D12" i="17"/>
  <c r="E12" i="17"/>
  <c r="F12" i="17"/>
  <c r="G12" i="17"/>
  <c r="C12" i="17"/>
  <c r="D39" i="15"/>
  <c r="E39" i="15"/>
  <c r="F39" i="15"/>
  <c r="G39" i="15"/>
  <c r="C39" i="15"/>
  <c r="D30" i="15"/>
  <c r="D29" i="18" s="1"/>
  <c r="D49" i="18" s="1"/>
  <c r="E30" i="15"/>
  <c r="E29" i="18" s="1"/>
  <c r="E49" i="18" s="1"/>
  <c r="F30" i="15"/>
  <c r="G30" i="15"/>
  <c r="G29" i="18" s="1"/>
  <c r="G49" i="18" s="1"/>
  <c r="C30" i="15"/>
  <c r="E28" i="15"/>
  <c r="F28" i="15"/>
  <c r="G28" i="15"/>
  <c r="G16" i="18" s="1"/>
  <c r="D28" i="15"/>
  <c r="D84" i="18" s="1"/>
  <c r="C28" i="15"/>
  <c r="G24" i="15"/>
  <c r="G13" i="28" s="1"/>
  <c r="D24" i="15"/>
  <c r="D13" i="28" s="1"/>
  <c r="E24" i="15"/>
  <c r="E13" i="28" s="1"/>
  <c r="F24" i="15"/>
  <c r="F13" i="28" s="1"/>
  <c r="C24" i="15"/>
  <c r="C21" i="1"/>
  <c r="D14" i="15"/>
  <c r="E14" i="15"/>
  <c r="F14" i="15"/>
  <c r="G14" i="15"/>
  <c r="D15" i="15"/>
  <c r="E15" i="15"/>
  <c r="F15" i="15"/>
  <c r="G15" i="15"/>
  <c r="D16" i="15"/>
  <c r="E16" i="15"/>
  <c r="F16" i="15"/>
  <c r="G16" i="15"/>
  <c r="D17" i="15"/>
  <c r="E17" i="15"/>
  <c r="F17" i="15"/>
  <c r="G17" i="15"/>
  <c r="D18" i="15"/>
  <c r="E18" i="15"/>
  <c r="F18" i="15"/>
  <c r="G18" i="15"/>
  <c r="C15" i="15"/>
  <c r="C16" i="15"/>
  <c r="C17" i="15"/>
  <c r="C18" i="15"/>
  <c r="C14" i="15"/>
  <c r="E11" i="15"/>
  <c r="F11" i="15"/>
  <c r="G11" i="15"/>
  <c r="D11" i="15"/>
  <c r="C11" i="15"/>
  <c r="H30" i="18"/>
  <c r="I30" i="18"/>
  <c r="I50" i="18" s="1"/>
  <c r="J30" i="18"/>
  <c r="J50" i="18" s="1"/>
  <c r="K30" i="18"/>
  <c r="K50" i="18" s="1"/>
  <c r="L30" i="18"/>
  <c r="L50" i="18" s="1"/>
  <c r="M30" i="18"/>
  <c r="M50" i="18" s="1"/>
  <c r="N30" i="18"/>
  <c r="N50" i="18" s="1"/>
  <c r="O30" i="18"/>
  <c r="O50" i="18" s="1"/>
  <c r="P30" i="18"/>
  <c r="P50" i="18" s="1"/>
  <c r="Q30" i="18"/>
  <c r="Q50" i="18" s="1"/>
  <c r="I44" i="18"/>
  <c r="J44" i="18"/>
  <c r="K44" i="18"/>
  <c r="L44" i="18"/>
  <c r="M44" i="18"/>
  <c r="N44" i="18"/>
  <c r="O44" i="18"/>
  <c r="P44" i="18"/>
  <c r="Q44" i="18"/>
  <c r="I27" i="18"/>
  <c r="J27" i="18"/>
  <c r="K27" i="18"/>
  <c r="L27" i="18"/>
  <c r="M27" i="18"/>
  <c r="N27" i="18"/>
  <c r="O27" i="18"/>
  <c r="P27" i="18"/>
  <c r="Q27" i="18"/>
  <c r="C35" i="17"/>
  <c r="C90" i="18" s="1"/>
  <c r="C92" i="18" s="1"/>
  <c r="D35" i="17"/>
  <c r="E35" i="17"/>
  <c r="F35" i="17"/>
  <c r="G35" i="17"/>
  <c r="E84" i="18"/>
  <c r="F84" i="18"/>
  <c r="G84" i="18"/>
  <c r="E58" i="18"/>
  <c r="F58" i="18"/>
  <c r="G58" i="18"/>
  <c r="H58" i="18"/>
  <c r="I58" i="18"/>
  <c r="J58" i="18"/>
  <c r="K58" i="18"/>
  <c r="L58" i="18"/>
  <c r="M58" i="18"/>
  <c r="N58" i="18"/>
  <c r="O58" i="18"/>
  <c r="P58" i="18"/>
  <c r="Q58" i="18"/>
  <c r="D58" i="18"/>
  <c r="F29" i="18"/>
  <c r="F49" i="18" s="1"/>
  <c r="E16" i="18"/>
  <c r="F16" i="18"/>
  <c r="F15" i="18"/>
  <c r="G15" i="18"/>
  <c r="H8" i="18"/>
  <c r="I8" i="18" s="1"/>
  <c r="J8" i="18" s="1"/>
  <c r="K8" i="18" s="1"/>
  <c r="L8" i="18" s="1"/>
  <c r="M8" i="18" s="1"/>
  <c r="N8" i="18" s="1"/>
  <c r="O8" i="18" s="1"/>
  <c r="P8" i="18" s="1"/>
  <c r="Q8" i="18" s="1"/>
  <c r="F24" i="17"/>
  <c r="F25" i="17"/>
  <c r="G25" i="17"/>
  <c r="D24" i="17"/>
  <c r="G24" i="17"/>
  <c r="C25" i="17"/>
  <c r="G19" i="18" l="1"/>
  <c r="E34" i="18"/>
  <c r="D15" i="18"/>
  <c r="F76" i="18"/>
  <c r="F72" i="18"/>
  <c r="E77" i="18"/>
  <c r="D76" i="18"/>
  <c r="E75" i="18"/>
  <c r="E74" i="18"/>
  <c r="E73" i="18"/>
  <c r="F26" i="18"/>
  <c r="F25" i="18"/>
  <c r="F24" i="18"/>
  <c r="F22" i="18"/>
  <c r="F20" i="18"/>
  <c r="D24" i="18"/>
  <c r="G34" i="18"/>
  <c r="F78" i="18"/>
  <c r="F77" i="18"/>
  <c r="F75" i="18"/>
  <c r="F74" i="18"/>
  <c r="F73" i="18"/>
  <c r="G26" i="18"/>
  <c r="G25" i="18"/>
  <c r="G24" i="18"/>
  <c r="G22" i="18"/>
  <c r="G21" i="18"/>
  <c r="G20" i="18"/>
  <c r="E15" i="18"/>
  <c r="D16" i="18"/>
  <c r="F34" i="18"/>
  <c r="F55" i="18"/>
  <c r="F36" i="18"/>
  <c r="G78" i="18"/>
  <c r="G77" i="18"/>
  <c r="G76" i="18"/>
  <c r="G75" i="18"/>
  <c r="G74" i="18"/>
  <c r="G73" i="18"/>
  <c r="D23" i="18"/>
  <c r="D22" i="18"/>
  <c r="D20" i="18"/>
  <c r="D75" i="18"/>
  <c r="G55" i="18"/>
  <c r="D26" i="18"/>
  <c r="E26" i="18"/>
  <c r="D19" i="18"/>
  <c r="D55" i="18"/>
  <c r="G36" i="18"/>
  <c r="D34" i="18"/>
  <c r="E24" i="18"/>
  <c r="G23" i="18"/>
  <c r="D78" i="18"/>
  <c r="D21" i="18"/>
  <c r="D25" i="18"/>
  <c r="E23" i="18"/>
  <c r="E22" i="18"/>
  <c r="E21" i="18"/>
  <c r="E20" i="18"/>
  <c r="E19" i="18"/>
  <c r="E25" i="18"/>
  <c r="F23" i="18"/>
  <c r="F21" i="18"/>
  <c r="F19" i="18"/>
  <c r="E36" i="18"/>
  <c r="E78" i="18"/>
  <c r="E76" i="18"/>
  <c r="D72" i="18"/>
  <c r="E55" i="18"/>
  <c r="D74" i="18"/>
  <c r="G72" i="18"/>
  <c r="C35" i="28"/>
  <c r="E72" i="18"/>
  <c r="G54" i="20"/>
  <c r="F54" i="20"/>
  <c r="E54" i="20"/>
  <c r="D54" i="20"/>
  <c r="G63" i="18"/>
  <c r="G64" i="18"/>
  <c r="H23" i="18"/>
  <c r="I74" i="17"/>
  <c r="H63" i="17"/>
  <c r="D89" i="18"/>
  <c r="H50" i="18"/>
  <c r="E25" i="17"/>
  <c r="E24" i="17"/>
  <c r="E63" i="18" s="1"/>
  <c r="D25" i="17"/>
  <c r="D64" i="18" s="1"/>
  <c r="C24" i="17"/>
  <c r="D63" i="18" s="1"/>
  <c r="C50" i="28" l="1"/>
  <c r="C36" i="28"/>
  <c r="E64" i="18"/>
  <c r="F63" i="18"/>
  <c r="F64" i="18"/>
  <c r="J74" i="17"/>
  <c r="I23" i="18"/>
  <c r="I63" i="17"/>
  <c r="H77" i="18"/>
  <c r="D80" i="17"/>
  <c r="E80" i="17"/>
  <c r="F80" i="17"/>
  <c r="G80" i="17"/>
  <c r="C80" i="17"/>
  <c r="C63" i="17"/>
  <c r="D77" i="18" s="1"/>
  <c r="D50" i="17"/>
  <c r="E50" i="17"/>
  <c r="F50" i="17"/>
  <c r="G50" i="17"/>
  <c r="D51" i="17"/>
  <c r="E51" i="17"/>
  <c r="F51" i="17"/>
  <c r="G51" i="17"/>
  <c r="D52" i="17"/>
  <c r="E52" i="17"/>
  <c r="F52" i="17"/>
  <c r="G52" i="17"/>
  <c r="C52" i="17"/>
  <c r="C51" i="17"/>
  <c r="C50" i="17"/>
  <c r="D44" i="17"/>
  <c r="E44" i="17"/>
  <c r="F44" i="17"/>
  <c r="G44" i="17"/>
  <c r="C44" i="17"/>
  <c r="D40" i="17"/>
  <c r="E40" i="17"/>
  <c r="F40" i="17"/>
  <c r="G40" i="17"/>
  <c r="C40" i="17"/>
  <c r="D39" i="17"/>
  <c r="E39" i="17"/>
  <c r="F39" i="17"/>
  <c r="G39" i="17"/>
  <c r="C39" i="17"/>
  <c r="D36" i="17"/>
  <c r="E36" i="17"/>
  <c r="F36" i="17"/>
  <c r="G36" i="17"/>
  <c r="C36" i="17"/>
  <c r="D21" i="17"/>
  <c r="E21" i="17"/>
  <c r="F21" i="17"/>
  <c r="G21" i="17"/>
  <c r="C21" i="17"/>
  <c r="D17" i="17"/>
  <c r="E17" i="17"/>
  <c r="F17" i="17"/>
  <c r="G17" i="17"/>
  <c r="C17" i="17"/>
  <c r="D15" i="17"/>
  <c r="E15" i="17"/>
  <c r="F15" i="17"/>
  <c r="G15" i="17"/>
  <c r="C15" i="17"/>
  <c r="C66" i="20" s="1"/>
  <c r="H8" i="17"/>
  <c r="I8" i="17" s="1"/>
  <c r="J8" i="17" s="1"/>
  <c r="K8" i="17" s="1"/>
  <c r="L8" i="17" s="1"/>
  <c r="M8" i="17" s="1"/>
  <c r="N8" i="17" s="1"/>
  <c r="O8" i="17" s="1"/>
  <c r="P8" i="17" s="1"/>
  <c r="Q8" i="17" s="1"/>
  <c r="F38" i="18" l="1"/>
  <c r="E44" i="18"/>
  <c r="F27" i="18"/>
  <c r="D79" i="18"/>
  <c r="E38" i="18"/>
  <c r="E27" i="18"/>
  <c r="F56" i="18"/>
  <c r="E56" i="18"/>
  <c r="F44" i="18"/>
  <c r="E81" i="18"/>
  <c r="E79" i="18"/>
  <c r="E54" i="18"/>
  <c r="E14" i="28" s="1"/>
  <c r="E66" i="20"/>
  <c r="H27" i="18"/>
  <c r="G27" i="18"/>
  <c r="D56" i="18"/>
  <c r="D38" i="18"/>
  <c r="D44" i="18"/>
  <c r="H52" i="17"/>
  <c r="G81" i="18"/>
  <c r="H50" i="17"/>
  <c r="G79" i="18"/>
  <c r="D31" i="28"/>
  <c r="D30" i="28"/>
  <c r="E30" i="28" s="1"/>
  <c r="D54" i="18"/>
  <c r="D14" i="28" s="1"/>
  <c r="D66" i="20"/>
  <c r="D81" i="18"/>
  <c r="I15" i="17"/>
  <c r="J15" i="17" s="1"/>
  <c r="K15" i="17" s="1"/>
  <c r="L15" i="17" s="1"/>
  <c r="M15" i="17" s="1"/>
  <c r="N15" i="17" s="1"/>
  <c r="O15" i="17" s="1"/>
  <c r="P15" i="17" s="1"/>
  <c r="Q15" i="17" s="1"/>
  <c r="G66" i="20"/>
  <c r="G54" i="18"/>
  <c r="G14" i="28" s="1"/>
  <c r="F66" i="20"/>
  <c r="F54" i="18"/>
  <c r="F14" i="28" s="1"/>
  <c r="H17" i="17"/>
  <c r="G56" i="18"/>
  <c r="G38" i="18"/>
  <c r="H36" i="17"/>
  <c r="E41" i="18"/>
  <c r="F42" i="18"/>
  <c r="H44" i="18"/>
  <c r="G44" i="18"/>
  <c r="F81" i="18"/>
  <c r="F79" i="18"/>
  <c r="D27" i="18"/>
  <c r="D41" i="18"/>
  <c r="E42" i="18"/>
  <c r="G41" i="18"/>
  <c r="H39" i="17"/>
  <c r="D42" i="18"/>
  <c r="F41" i="18"/>
  <c r="G42" i="18"/>
  <c r="H40" i="17"/>
  <c r="K74" i="17"/>
  <c r="J23" i="18"/>
  <c r="J63" i="17"/>
  <c r="I77" i="18"/>
  <c r="C54" i="17"/>
  <c r="D54" i="17"/>
  <c r="F54" i="17"/>
  <c r="E54" i="17"/>
  <c r="G54" i="17"/>
  <c r="D35" i="15"/>
  <c r="E35" i="15"/>
  <c r="F35" i="15"/>
  <c r="G35" i="15"/>
  <c r="D34" i="15"/>
  <c r="D30" i="18" s="1"/>
  <c r="D50" i="18" s="1"/>
  <c r="E34" i="15"/>
  <c r="E30" i="18" s="1"/>
  <c r="E50" i="18" s="1"/>
  <c r="F34" i="15"/>
  <c r="F30" i="18" s="1"/>
  <c r="F50" i="18" s="1"/>
  <c r="G34" i="15"/>
  <c r="G30" i="18" s="1"/>
  <c r="G50" i="18" s="1"/>
  <c r="F20" i="15"/>
  <c r="C35" i="15"/>
  <c r="C34" i="15"/>
  <c r="H8" i="15"/>
  <c r="I8" i="15" s="1"/>
  <c r="J8" i="15" s="1"/>
  <c r="K8" i="15" s="1"/>
  <c r="L8" i="15" s="1"/>
  <c r="M8" i="15" s="1"/>
  <c r="N8" i="15" s="1"/>
  <c r="O8" i="15" s="1"/>
  <c r="P8" i="15" s="1"/>
  <c r="Q8" i="15" s="1"/>
  <c r="D33" i="17"/>
  <c r="E33" i="17"/>
  <c r="F33" i="17"/>
  <c r="G33" i="17"/>
  <c r="D37" i="17"/>
  <c r="E37" i="17"/>
  <c r="F37" i="17"/>
  <c r="D38" i="17"/>
  <c r="E38" i="17"/>
  <c r="F38" i="17"/>
  <c r="D41" i="17"/>
  <c r="E41" i="17"/>
  <c r="F41" i="17"/>
  <c r="C41" i="17"/>
  <c r="C38" i="17"/>
  <c r="C37" i="17"/>
  <c r="C33" i="17"/>
  <c r="F18" i="17"/>
  <c r="G18" i="17"/>
  <c r="D20" i="17"/>
  <c r="G20" i="17"/>
  <c r="F22" i="17"/>
  <c r="G22" i="17"/>
  <c r="E23" i="17"/>
  <c r="F23" i="17"/>
  <c r="D26" i="17"/>
  <c r="E26" i="17"/>
  <c r="C22" i="17"/>
  <c r="C20" i="17"/>
  <c r="H8" i="14"/>
  <c r="I8" i="14" s="1"/>
  <c r="J8" i="14" s="1"/>
  <c r="K8" i="14" s="1"/>
  <c r="L8" i="14" s="1"/>
  <c r="M8" i="14" s="1"/>
  <c r="N8" i="14" s="1"/>
  <c r="O8" i="14" s="1"/>
  <c r="P8" i="14" s="1"/>
  <c r="Q8" i="14" s="1"/>
  <c r="D33" i="11"/>
  <c r="E33" i="11"/>
  <c r="F33" i="11"/>
  <c r="G33" i="11"/>
  <c r="C33" i="11"/>
  <c r="D32" i="11"/>
  <c r="E32" i="11"/>
  <c r="F32" i="11"/>
  <c r="G32" i="11"/>
  <c r="C32" i="11"/>
  <c r="D26" i="11"/>
  <c r="E26" i="11"/>
  <c r="F26" i="11"/>
  <c r="G26" i="11"/>
  <c r="D29" i="11"/>
  <c r="E29" i="11"/>
  <c r="F29" i="11"/>
  <c r="G29" i="11"/>
  <c r="C29" i="11"/>
  <c r="C26" i="11"/>
  <c r="D19" i="11"/>
  <c r="E19" i="11"/>
  <c r="F19" i="11"/>
  <c r="G19" i="11"/>
  <c r="C19" i="11"/>
  <c r="D16" i="11"/>
  <c r="E16" i="11"/>
  <c r="F16" i="11"/>
  <c r="G16" i="11"/>
  <c r="C16" i="11"/>
  <c r="D13" i="11"/>
  <c r="E13" i="11"/>
  <c r="F13" i="11"/>
  <c r="G13" i="11"/>
  <c r="C13" i="11"/>
  <c r="F43" i="18" l="1"/>
  <c r="E40" i="18"/>
  <c r="I52" i="17"/>
  <c r="C51" i="28"/>
  <c r="H81" i="18"/>
  <c r="D51" i="20"/>
  <c r="E65" i="18"/>
  <c r="G61" i="18"/>
  <c r="G51" i="20"/>
  <c r="C51" i="20"/>
  <c r="I17" i="17"/>
  <c r="H56" i="18"/>
  <c r="I50" i="17"/>
  <c r="H79" i="18"/>
  <c r="F51" i="20"/>
  <c r="E51" i="20"/>
  <c r="H38" i="18"/>
  <c r="I36" i="17"/>
  <c r="I40" i="17"/>
  <c r="H42" i="18"/>
  <c r="H41" i="18"/>
  <c r="I39" i="17"/>
  <c r="D39" i="18"/>
  <c r="G57" i="18"/>
  <c r="E43" i="18"/>
  <c r="F62" i="18"/>
  <c r="D35" i="18"/>
  <c r="D59" i="18"/>
  <c r="D40" i="18"/>
  <c r="G35" i="18"/>
  <c r="D43" i="18"/>
  <c r="F39" i="18"/>
  <c r="F35" i="18"/>
  <c r="F40" i="18"/>
  <c r="E39" i="18"/>
  <c r="E35" i="18"/>
  <c r="I33" i="11"/>
  <c r="J33" i="11" s="1"/>
  <c r="K33" i="11" s="1"/>
  <c r="L33" i="11" s="1"/>
  <c r="M33" i="11" s="1"/>
  <c r="N33" i="11" s="1"/>
  <c r="O33" i="11" s="1"/>
  <c r="P33" i="11" s="1"/>
  <c r="Q33" i="11" s="1"/>
  <c r="L74" i="17"/>
  <c r="K23" i="18"/>
  <c r="K63" i="17"/>
  <c r="J77" i="18"/>
  <c r="C79" i="17"/>
  <c r="E66" i="17"/>
  <c r="G79" i="17"/>
  <c r="F79" i="17"/>
  <c r="G66" i="17"/>
  <c r="E79" i="17"/>
  <c r="F66" i="17"/>
  <c r="D79" i="17"/>
  <c r="E43" i="17"/>
  <c r="D43" i="17"/>
  <c r="C43" i="17"/>
  <c r="F43" i="17"/>
  <c r="E20" i="17"/>
  <c r="E59" i="18" s="1"/>
  <c r="C18" i="17"/>
  <c r="C26" i="17"/>
  <c r="D65" i="18" s="1"/>
  <c r="D23" i="17"/>
  <c r="D18" i="17"/>
  <c r="G41" i="17"/>
  <c r="G43" i="18" s="1"/>
  <c r="G38" i="17"/>
  <c r="G40" i="18" s="1"/>
  <c r="G37" i="17"/>
  <c r="G39" i="18" s="1"/>
  <c r="G26" i="17"/>
  <c r="G23" i="17"/>
  <c r="G62" i="18" s="1"/>
  <c r="F26" i="17"/>
  <c r="F65" i="18" s="1"/>
  <c r="F20" i="17"/>
  <c r="C23" i="17"/>
  <c r="E22" i="17"/>
  <c r="E18" i="17"/>
  <c r="C66" i="17"/>
  <c r="D66" i="17"/>
  <c r="D22" i="17"/>
  <c r="D61" i="18" s="1"/>
  <c r="F22" i="15"/>
  <c r="D20" i="15"/>
  <c r="D22" i="15" s="1"/>
  <c r="C20" i="15"/>
  <c r="E20" i="15"/>
  <c r="E22" i="15" s="1"/>
  <c r="G20" i="15"/>
  <c r="G22" i="15" s="1"/>
  <c r="C22" i="11"/>
  <c r="D22" i="11"/>
  <c r="G22" i="11"/>
  <c r="F22" i="11"/>
  <c r="E22" i="11"/>
  <c r="C81" i="17" l="1"/>
  <c r="J17" i="17"/>
  <c r="I56" i="18"/>
  <c r="J50" i="17"/>
  <c r="I79" i="18"/>
  <c r="J36" i="17"/>
  <c r="I38" i="18"/>
  <c r="J52" i="17"/>
  <c r="I81" i="18"/>
  <c r="E26" i="15"/>
  <c r="E14" i="20"/>
  <c r="D26" i="15"/>
  <c r="D14" i="20"/>
  <c r="C22" i="15"/>
  <c r="C14" i="20" s="1"/>
  <c r="G26" i="15"/>
  <c r="G14" i="20"/>
  <c r="F26" i="15"/>
  <c r="F14" i="20"/>
  <c r="J39" i="17"/>
  <c r="I41" i="18"/>
  <c r="J40" i="17"/>
  <c r="I42" i="18"/>
  <c r="F59" i="18"/>
  <c r="D62" i="18"/>
  <c r="E57" i="18"/>
  <c r="F42" i="20"/>
  <c r="F44" i="20"/>
  <c r="C44" i="20"/>
  <c r="C42" i="20"/>
  <c r="E61" i="18"/>
  <c r="D44" i="20"/>
  <c r="D42" i="20"/>
  <c r="F57" i="18"/>
  <c r="E62" i="18"/>
  <c r="G59" i="18"/>
  <c r="G65" i="18"/>
  <c r="D57" i="18"/>
  <c r="E44" i="20"/>
  <c r="E42" i="20"/>
  <c r="F61" i="18"/>
  <c r="D62" i="20"/>
  <c r="D58" i="20"/>
  <c r="F62" i="20"/>
  <c r="F58" i="20"/>
  <c r="E58" i="20"/>
  <c r="E62" i="20"/>
  <c r="G62" i="20"/>
  <c r="G58" i="20"/>
  <c r="M74" i="17"/>
  <c r="L23" i="18"/>
  <c r="L63" i="17"/>
  <c r="K77" i="18"/>
  <c r="D81" i="17"/>
  <c r="F81" i="17"/>
  <c r="E81" i="17"/>
  <c r="G81" i="17"/>
  <c r="G28" i="17"/>
  <c r="E28" i="17"/>
  <c r="E45" i="17" s="1"/>
  <c r="F28" i="17"/>
  <c r="F45" i="17" s="1"/>
  <c r="G43" i="17"/>
  <c r="C28" i="17"/>
  <c r="C45" i="17" s="1"/>
  <c r="E83" i="17" l="1"/>
  <c r="F83" i="17"/>
  <c r="C83" i="17"/>
  <c r="K52" i="17"/>
  <c r="J81" i="18"/>
  <c r="J79" i="18"/>
  <c r="K50" i="17"/>
  <c r="D67" i="18"/>
  <c r="K36" i="17"/>
  <c r="J38" i="18"/>
  <c r="K17" i="17"/>
  <c r="J56" i="18"/>
  <c r="G32" i="15"/>
  <c r="G37" i="15" s="1"/>
  <c r="G11" i="28"/>
  <c r="G37" i="20"/>
  <c r="G16" i="20"/>
  <c r="D32" i="15"/>
  <c r="D37" i="15" s="1"/>
  <c r="D11" i="28"/>
  <c r="D37" i="20"/>
  <c r="D16" i="20"/>
  <c r="F32" i="15"/>
  <c r="F37" i="15" s="1"/>
  <c r="F41" i="15" s="1"/>
  <c r="F11" i="28"/>
  <c r="F16" i="20"/>
  <c r="F37" i="20"/>
  <c r="C26" i="15"/>
  <c r="E32" i="15"/>
  <c r="E37" i="15" s="1"/>
  <c r="E41" i="15" s="1"/>
  <c r="E11" i="28"/>
  <c r="E16" i="20"/>
  <c r="E37" i="20"/>
  <c r="K40" i="17"/>
  <c r="J42" i="18"/>
  <c r="K39" i="17"/>
  <c r="J41" i="18"/>
  <c r="G67" i="18"/>
  <c r="E67" i="18"/>
  <c r="C49" i="20"/>
  <c r="F67" i="18"/>
  <c r="F49" i="20"/>
  <c r="F27" i="20"/>
  <c r="F25" i="20"/>
  <c r="E49" i="20"/>
  <c r="G44" i="20"/>
  <c r="G42" i="20"/>
  <c r="N74" i="17"/>
  <c r="M23" i="18"/>
  <c r="M63" i="17"/>
  <c r="L77" i="18"/>
  <c r="E31" i="18"/>
  <c r="G41" i="15"/>
  <c r="G31" i="18"/>
  <c r="F31" i="18"/>
  <c r="D41" i="15"/>
  <c r="D31" i="18"/>
  <c r="G45" i="17"/>
  <c r="G49" i="20" s="1"/>
  <c r="G83" i="17" l="1"/>
  <c r="L17" i="17"/>
  <c r="K56" i="18"/>
  <c r="K79" i="18"/>
  <c r="L50" i="17"/>
  <c r="L36" i="17"/>
  <c r="K38" i="18"/>
  <c r="L52" i="17"/>
  <c r="K81" i="18"/>
  <c r="D13" i="18"/>
  <c r="D45" i="18" s="1"/>
  <c r="D29" i="20"/>
  <c r="D18" i="20"/>
  <c r="D20" i="20"/>
  <c r="G29" i="20"/>
  <c r="G18" i="20"/>
  <c r="G20" i="20"/>
  <c r="G13" i="18"/>
  <c r="G45" i="18" s="1"/>
  <c r="D22" i="20"/>
  <c r="D39" i="20"/>
  <c r="D68" i="20"/>
  <c r="D35" i="20"/>
  <c r="D33" i="20"/>
  <c r="D31" i="20"/>
  <c r="G39" i="20"/>
  <c r="G68" i="20"/>
  <c r="G35" i="20"/>
  <c r="G33" i="20"/>
  <c r="G31" i="20"/>
  <c r="G22" i="20"/>
  <c r="F68" i="20"/>
  <c r="F35" i="20"/>
  <c r="F33" i="20"/>
  <c r="F31" i="20"/>
  <c r="F22" i="20"/>
  <c r="F39" i="20"/>
  <c r="E29" i="20"/>
  <c r="E18" i="20"/>
  <c r="E20" i="20"/>
  <c r="E13" i="18"/>
  <c r="E45" i="18" s="1"/>
  <c r="E31" i="20"/>
  <c r="E22" i="20"/>
  <c r="E39" i="20"/>
  <c r="E68" i="20"/>
  <c r="E35" i="20"/>
  <c r="E33" i="20"/>
  <c r="C32" i="15"/>
  <c r="C37" i="15" s="1"/>
  <c r="C37" i="20"/>
  <c r="C16" i="20"/>
  <c r="F29" i="20"/>
  <c r="F18" i="20"/>
  <c r="F20" i="20"/>
  <c r="F13" i="18"/>
  <c r="F45" i="18" s="1"/>
  <c r="L39" i="17"/>
  <c r="K41" i="18"/>
  <c r="L40" i="17"/>
  <c r="K42" i="18"/>
  <c r="G25" i="20"/>
  <c r="G27" i="20"/>
  <c r="O74" i="17"/>
  <c r="N23" i="18"/>
  <c r="N63" i="17"/>
  <c r="M77" i="18"/>
  <c r="G80" i="18"/>
  <c r="G86" i="18" s="1"/>
  <c r="G47" i="15"/>
  <c r="H47" i="15" s="1"/>
  <c r="I47" i="15" s="1"/>
  <c r="J47" i="15" s="1"/>
  <c r="K47" i="15" s="1"/>
  <c r="L47" i="15" s="1"/>
  <c r="M47" i="15" s="1"/>
  <c r="N47" i="15" s="1"/>
  <c r="O47" i="15" s="1"/>
  <c r="P47" i="15" s="1"/>
  <c r="Q47" i="15" s="1"/>
  <c r="E80" i="18"/>
  <c r="E86" i="18" s="1"/>
  <c r="E47" i="15"/>
  <c r="F80" i="18"/>
  <c r="F86" i="18" s="1"/>
  <c r="F47" i="15"/>
  <c r="D80" i="18"/>
  <c r="D86" i="18" s="1"/>
  <c r="D47" i="15"/>
  <c r="G88" i="18" l="1"/>
  <c r="L79" i="18"/>
  <c r="M50" i="17"/>
  <c r="M52" i="17"/>
  <c r="L81" i="18"/>
  <c r="M36" i="17"/>
  <c r="L38" i="18"/>
  <c r="M17" i="17"/>
  <c r="L56" i="18"/>
  <c r="F88" i="18"/>
  <c r="C18" i="20"/>
  <c r="C20" i="20"/>
  <c r="M40" i="17"/>
  <c r="L42" i="18"/>
  <c r="M39" i="17"/>
  <c r="L41" i="18"/>
  <c r="P74" i="17"/>
  <c r="O23" i="18"/>
  <c r="O63" i="17"/>
  <c r="N77" i="18"/>
  <c r="N17" i="17" l="1"/>
  <c r="M56" i="18"/>
  <c r="N52" i="17"/>
  <c r="M81" i="18"/>
  <c r="M79" i="18"/>
  <c r="N50" i="17"/>
  <c r="N36" i="17"/>
  <c r="M38" i="18"/>
  <c r="N39" i="17"/>
  <c r="M41" i="18"/>
  <c r="N40" i="17"/>
  <c r="M42" i="18"/>
  <c r="Q74" i="17"/>
  <c r="Q23" i="18" s="1"/>
  <c r="P23" i="18"/>
  <c r="P63" i="17"/>
  <c r="O77" i="18"/>
  <c r="O36" i="17" l="1"/>
  <c r="N38" i="18"/>
  <c r="O52" i="17"/>
  <c r="N81" i="18"/>
  <c r="N79" i="18"/>
  <c r="O50" i="17"/>
  <c r="O17" i="17"/>
  <c r="N56" i="18"/>
  <c r="O40" i="17"/>
  <c r="N42" i="18"/>
  <c r="O39" i="17"/>
  <c r="N41" i="18"/>
  <c r="Q63" i="17"/>
  <c r="Q77" i="18" s="1"/>
  <c r="P77" i="18"/>
  <c r="P17" i="17" l="1"/>
  <c r="O56" i="18"/>
  <c r="O79" i="18"/>
  <c r="P50" i="17"/>
  <c r="P52" i="17"/>
  <c r="O81" i="18"/>
  <c r="P36" i="17"/>
  <c r="O38" i="18"/>
  <c r="P39" i="17"/>
  <c r="O41" i="18"/>
  <c r="P40" i="17"/>
  <c r="O42" i="18"/>
  <c r="D11" i="9"/>
  <c r="E11" i="9"/>
  <c r="F11" i="9"/>
  <c r="G11" i="9"/>
  <c r="D12" i="9"/>
  <c r="D19" i="9" s="1"/>
  <c r="D60" i="20" s="1"/>
  <c r="E12" i="9"/>
  <c r="E19" i="9" s="1"/>
  <c r="E60" i="20" s="1"/>
  <c r="F12" i="9"/>
  <c r="F19" i="9" s="1"/>
  <c r="F60" i="20" s="1"/>
  <c r="G12" i="9"/>
  <c r="D13" i="9"/>
  <c r="D20" i="9" s="1"/>
  <c r="D64" i="20" s="1"/>
  <c r="E13" i="9"/>
  <c r="E20" i="9" s="1"/>
  <c r="E64" i="20" s="1"/>
  <c r="F13" i="9"/>
  <c r="F20" i="9" s="1"/>
  <c r="F64" i="20" s="1"/>
  <c r="G13" i="9"/>
  <c r="C13" i="9"/>
  <c r="C20" i="9" s="1"/>
  <c r="C64" i="20" s="1"/>
  <c r="C12" i="9"/>
  <c r="C19" i="9" s="1"/>
  <c r="C60" i="20" s="1"/>
  <c r="C11" i="9"/>
  <c r="H8" i="9"/>
  <c r="I8" i="9" s="1"/>
  <c r="J8" i="9" s="1"/>
  <c r="K8" i="9" s="1"/>
  <c r="L8" i="9" s="1"/>
  <c r="M8" i="9" s="1"/>
  <c r="N8" i="9" s="1"/>
  <c r="O8" i="9" s="1"/>
  <c r="P8" i="9" s="1"/>
  <c r="Q8" i="9" s="1"/>
  <c r="C15" i="9" l="1"/>
  <c r="E15" i="9"/>
  <c r="D15" i="9"/>
  <c r="F15" i="9"/>
  <c r="G15" i="9"/>
  <c r="Q36" i="17"/>
  <c r="Q38" i="18" s="1"/>
  <c r="P38" i="18"/>
  <c r="P79" i="18"/>
  <c r="Q50" i="17"/>
  <c r="Q79" i="18" s="1"/>
  <c r="G20" i="9"/>
  <c r="G64" i="20" s="1"/>
  <c r="G19" i="9"/>
  <c r="G60" i="20" s="1"/>
  <c r="Q52" i="17"/>
  <c r="Q81" i="18" s="1"/>
  <c r="P81" i="18"/>
  <c r="Q17" i="17"/>
  <c r="Q56" i="18" s="1"/>
  <c r="P56" i="18"/>
  <c r="Q40" i="17"/>
  <c r="Q42" i="18" s="1"/>
  <c r="P42" i="18"/>
  <c r="Q39" i="17"/>
  <c r="Q41" i="18" s="1"/>
  <c r="P41" i="18"/>
  <c r="D315" i="8"/>
  <c r="E315" i="8"/>
  <c r="F315" i="8"/>
  <c r="G315" i="8"/>
  <c r="C315" i="8"/>
  <c r="H190" i="8"/>
  <c r="H289" i="8"/>
  <c r="D190" i="8"/>
  <c r="E190" i="8"/>
  <c r="F190" i="8"/>
  <c r="G190" i="8"/>
  <c r="C190" i="8"/>
  <c r="D289" i="8"/>
  <c r="E289" i="8"/>
  <c r="F289" i="8"/>
  <c r="G289" i="8"/>
  <c r="C289" i="8"/>
  <c r="H300" i="8"/>
  <c r="I300" i="8" s="1"/>
  <c r="H280" i="8"/>
  <c r="I280" i="8" s="1"/>
  <c r="H265" i="8"/>
  <c r="I265" i="8" s="1"/>
  <c r="H250" i="8"/>
  <c r="I250" i="8" s="1"/>
  <c r="H235" i="8"/>
  <c r="I235" i="8" s="1"/>
  <c r="H219" i="8"/>
  <c r="I219" i="8" s="1"/>
  <c r="H204" i="8"/>
  <c r="I204" i="8" s="1"/>
  <c r="H182" i="8"/>
  <c r="I182" i="8" s="1"/>
  <c r="H164" i="8"/>
  <c r="I164" i="8" s="1"/>
  <c r="H149" i="8"/>
  <c r="H134" i="8"/>
  <c r="I134" i="8" s="1"/>
  <c r="H119" i="8"/>
  <c r="H104" i="8"/>
  <c r="I104" i="8" s="1"/>
  <c r="H88" i="8"/>
  <c r="H73" i="8"/>
  <c r="I73" i="8" s="1"/>
  <c r="H43" i="8"/>
  <c r="H28" i="8"/>
  <c r="I17" i="8"/>
  <c r="J17" i="8" s="1"/>
  <c r="H16" i="8"/>
  <c r="I16" i="8" s="1"/>
  <c r="J16" i="8" s="1"/>
  <c r="K16" i="8" s="1"/>
  <c r="L16" i="8" s="1"/>
  <c r="M16" i="8" s="1"/>
  <c r="N16" i="8" s="1"/>
  <c r="O16" i="8" s="1"/>
  <c r="P16" i="8" s="1"/>
  <c r="Q16" i="8" s="1"/>
  <c r="G311" i="8" l="1"/>
  <c r="E311" i="8"/>
  <c r="G316" i="8"/>
  <c r="F316" i="8"/>
  <c r="D316" i="8"/>
  <c r="E316" i="8"/>
  <c r="F311" i="8"/>
  <c r="C311" i="8"/>
  <c r="D311" i="8"/>
  <c r="K289" i="8"/>
  <c r="K17" i="8"/>
  <c r="L17" i="8" s="1"/>
  <c r="M17" i="8" s="1"/>
  <c r="J289" i="8"/>
  <c r="H311" i="8"/>
  <c r="I289" i="8"/>
  <c r="J182" i="8"/>
  <c r="K182" i="8" s="1"/>
  <c r="J104" i="8"/>
  <c r="K104" i="8" s="1"/>
  <c r="I28" i="8"/>
  <c r="J219" i="8"/>
  <c r="K219" i="8" s="1"/>
  <c r="J300" i="8"/>
  <c r="K300" i="8" s="1"/>
  <c r="I43" i="8"/>
  <c r="J43" i="8" s="1"/>
  <c r="K43" i="8" s="1"/>
  <c r="I88" i="8"/>
  <c r="J88" i="8" s="1"/>
  <c r="K88" i="8" s="1"/>
  <c r="I119" i="8"/>
  <c r="J119" i="8" s="1"/>
  <c r="K119" i="8" s="1"/>
  <c r="I149" i="8"/>
  <c r="J149" i="8" s="1"/>
  <c r="K149" i="8" s="1"/>
  <c r="L149" i="8" s="1"/>
  <c r="J280" i="8"/>
  <c r="K280" i="8" s="1"/>
  <c r="J265" i="8"/>
  <c r="K265" i="8" s="1"/>
  <c r="J250" i="8"/>
  <c r="K250" i="8" s="1"/>
  <c r="J235" i="8"/>
  <c r="K235" i="8" s="1"/>
  <c r="L235" i="8" s="1"/>
  <c r="J204" i="8"/>
  <c r="K204" i="8" s="1"/>
  <c r="J164" i="8"/>
  <c r="K164" i="8" s="1"/>
  <c r="J134" i="8"/>
  <c r="K134" i="8" s="1"/>
  <c r="J73" i="8"/>
  <c r="K73" i="8" s="1"/>
  <c r="H24" i="15" l="1"/>
  <c r="H13" i="28" s="1"/>
  <c r="L88" i="8"/>
  <c r="I190" i="8"/>
  <c r="H316" i="8"/>
  <c r="L73" i="8"/>
  <c r="L43" i="8"/>
  <c r="J28" i="8"/>
  <c r="L182" i="8"/>
  <c r="L300" i="8"/>
  <c r="M300" i="8" s="1"/>
  <c r="N300" i="8" s="1"/>
  <c r="L134" i="8"/>
  <c r="M134" i="8" s="1"/>
  <c r="N134" i="8" s="1"/>
  <c r="L265" i="8"/>
  <c r="M265" i="8" s="1"/>
  <c r="N265" i="8" s="1"/>
  <c r="N17" i="8"/>
  <c r="O17" i="8" s="1"/>
  <c r="P17" i="8" s="1"/>
  <c r="Q17" i="8" s="1"/>
  <c r="L119" i="8"/>
  <c r="M119" i="8" s="1"/>
  <c r="N119" i="8" s="1"/>
  <c r="L289" i="8"/>
  <c r="L219" i="8"/>
  <c r="M219" i="8" s="1"/>
  <c r="N219" i="8" s="1"/>
  <c r="L250" i="8"/>
  <c r="M250" i="8" s="1"/>
  <c r="N250" i="8" s="1"/>
  <c r="J190" i="8"/>
  <c r="L280" i="8"/>
  <c r="H15" i="18"/>
  <c r="L204" i="8"/>
  <c r="M204" i="8" s="1"/>
  <c r="N204" i="8" s="1"/>
  <c r="M289" i="8"/>
  <c r="L164" i="8"/>
  <c r="M164" i="8" s="1"/>
  <c r="N164" i="8" s="1"/>
  <c r="L104" i="8"/>
  <c r="M104" i="8" s="1"/>
  <c r="N104" i="8" s="1"/>
  <c r="M149" i="8"/>
  <c r="N149" i="8" s="1"/>
  <c r="M235" i="8"/>
  <c r="N235" i="8" s="1"/>
  <c r="O235" i="8" s="1"/>
  <c r="M280" i="8"/>
  <c r="N280" i="8" s="1"/>
  <c r="M182" i="8"/>
  <c r="N182" i="8" s="1"/>
  <c r="M88" i="8"/>
  <c r="N88" i="8" s="1"/>
  <c r="I311" i="8" l="1"/>
  <c r="H315" i="8"/>
  <c r="H13" i="17" s="1"/>
  <c r="H55" i="18" s="1"/>
  <c r="J311" i="8"/>
  <c r="K28" i="8"/>
  <c r="K190" i="8"/>
  <c r="O182" i="8"/>
  <c r="O265" i="8"/>
  <c r="P265" i="8" s="1"/>
  <c r="Q265" i="8" s="1"/>
  <c r="I315" i="8"/>
  <c r="O280" i="8"/>
  <c r="P280" i="8" s="1"/>
  <c r="Q280" i="8" s="1"/>
  <c r="O104" i="8"/>
  <c r="P104" i="8" s="1"/>
  <c r="Q104" i="8" s="1"/>
  <c r="O88" i="8"/>
  <c r="P88" i="8" s="1"/>
  <c r="Q88" i="8" s="1"/>
  <c r="O134" i="8"/>
  <c r="O164" i="8"/>
  <c r="P164" i="8" s="1"/>
  <c r="Q164" i="8" s="1"/>
  <c r="O204" i="8"/>
  <c r="P204" i="8" s="1"/>
  <c r="O219" i="8"/>
  <c r="P219" i="8" s="1"/>
  <c r="Q219" i="8" s="1"/>
  <c r="O300" i="8"/>
  <c r="P300" i="8" s="1"/>
  <c r="Q300" i="8" s="1"/>
  <c r="N289" i="8"/>
  <c r="O250" i="8"/>
  <c r="P250" i="8" s="1"/>
  <c r="Q250" i="8" s="1"/>
  <c r="P235" i="8"/>
  <c r="Q235" i="8" s="1"/>
  <c r="O289" i="8"/>
  <c r="P182" i="8"/>
  <c r="Q182" i="8" s="1"/>
  <c r="O149" i="8"/>
  <c r="P149" i="8" s="1"/>
  <c r="Q149" i="8" s="1"/>
  <c r="P134" i="8"/>
  <c r="Q134" i="8" s="1"/>
  <c r="O119" i="8"/>
  <c r="P119" i="8" s="1"/>
  <c r="Q119" i="8" s="1"/>
  <c r="L28" i="8"/>
  <c r="L190" i="8" l="1"/>
  <c r="K311" i="8"/>
  <c r="J24" i="15"/>
  <c r="M73" i="8"/>
  <c r="N73" i="8" s="1"/>
  <c r="O73" i="8" s="1"/>
  <c r="M43" i="8"/>
  <c r="N43" i="8" s="1"/>
  <c r="O43" i="8" s="1"/>
  <c r="I24" i="15"/>
  <c r="L311" i="8"/>
  <c r="J315" i="8"/>
  <c r="I13" i="17"/>
  <c r="I55" i="18" s="1"/>
  <c r="M190" i="8"/>
  <c r="Q289" i="8"/>
  <c r="P289" i="8"/>
  <c r="Q204" i="8"/>
  <c r="M28" i="8"/>
  <c r="N28" i="8" s="1"/>
  <c r="L24" i="15" l="1"/>
  <c r="J13" i="28"/>
  <c r="J15" i="18"/>
  <c r="N190" i="8"/>
  <c r="I13" i="28"/>
  <c r="I15" i="18"/>
  <c r="K24" i="15"/>
  <c r="N311" i="8"/>
  <c r="M311" i="8"/>
  <c r="K315" i="8"/>
  <c r="J13" i="17"/>
  <c r="J55" i="18" s="1"/>
  <c r="O28" i="8"/>
  <c r="M24" i="15" l="1"/>
  <c r="L13" i="28"/>
  <c r="L15" i="18"/>
  <c r="P73" i="8"/>
  <c r="Q73" i="8" s="1"/>
  <c r="K13" i="28"/>
  <c r="K15" i="18"/>
  <c r="P43" i="8"/>
  <c r="Q43" i="8" s="1"/>
  <c r="N24" i="15"/>
  <c r="N13" i="28" s="1"/>
  <c r="K13" i="17"/>
  <c r="K55" i="18" s="1"/>
  <c r="L315" i="8"/>
  <c r="P28" i="8"/>
  <c r="O190" i="8"/>
  <c r="N15" i="18" l="1"/>
  <c r="M13" i="28"/>
  <c r="M15" i="18"/>
  <c r="O311" i="8"/>
  <c r="M315" i="8"/>
  <c r="L13" i="17"/>
  <c r="L55" i="18" s="1"/>
  <c r="P190" i="8"/>
  <c r="Q28" i="8"/>
  <c r="Q190" i="8" l="1"/>
  <c r="O24" i="15"/>
  <c r="O13" i="28" s="1"/>
  <c r="O15" i="18"/>
  <c r="Q311" i="8"/>
  <c r="P311" i="8"/>
  <c r="N315" i="8"/>
  <c r="M13" i="17"/>
  <c r="M55" i="18" s="1"/>
  <c r="E279" i="8"/>
  <c r="E285" i="8" s="1"/>
  <c r="D279" i="8"/>
  <c r="D285" i="8" s="1"/>
  <c r="C279" i="8"/>
  <c r="C285" i="8" s="1"/>
  <c r="E264" i="8"/>
  <c r="E270" i="8" s="1"/>
  <c r="D264" i="8"/>
  <c r="D270" i="8" s="1"/>
  <c r="C264" i="8"/>
  <c r="C270" i="8" s="1"/>
  <c r="D163" i="8"/>
  <c r="D169" i="8" s="1"/>
  <c r="E163" i="8"/>
  <c r="E169" i="8" s="1"/>
  <c r="C163" i="8"/>
  <c r="C169" i="8" s="1"/>
  <c r="G299" i="8"/>
  <c r="H293" i="8" s="1"/>
  <c r="H299" i="8" s="1"/>
  <c r="G279" i="8"/>
  <c r="H273" i="8" s="1"/>
  <c r="H279" i="8" s="1"/>
  <c r="G264" i="8"/>
  <c r="H258" i="8" s="1"/>
  <c r="H264" i="8" s="1"/>
  <c r="G249" i="8"/>
  <c r="H243" i="8" s="1"/>
  <c r="H249" i="8" s="1"/>
  <c r="G234" i="8"/>
  <c r="H228" i="8" s="1"/>
  <c r="H234" i="8" s="1"/>
  <c r="G218" i="8"/>
  <c r="H212" i="8" s="1"/>
  <c r="H218" i="8" s="1"/>
  <c r="G203" i="8"/>
  <c r="G181" i="8"/>
  <c r="G163" i="8"/>
  <c r="G148" i="8"/>
  <c r="G133" i="8"/>
  <c r="G118" i="8"/>
  <c r="G103" i="8"/>
  <c r="G87" i="8"/>
  <c r="G72" i="8"/>
  <c r="G57" i="8"/>
  <c r="G42" i="8"/>
  <c r="G27" i="8"/>
  <c r="G18" i="8"/>
  <c r="F299" i="8"/>
  <c r="F305" i="8" s="1"/>
  <c r="F279" i="8"/>
  <c r="F285" i="8" s="1"/>
  <c r="F264" i="8"/>
  <c r="F270" i="8" s="1"/>
  <c r="F249" i="8"/>
  <c r="F255" i="8" s="1"/>
  <c r="F234" i="8"/>
  <c r="F240" i="8" s="1"/>
  <c r="F218" i="8"/>
  <c r="F224" i="8" s="1"/>
  <c r="F203" i="8"/>
  <c r="F209" i="8" s="1"/>
  <c r="F181" i="8"/>
  <c r="F187" i="8" s="1"/>
  <c r="F163" i="8"/>
  <c r="F169" i="8" s="1"/>
  <c r="F148" i="8"/>
  <c r="F154" i="8" s="1"/>
  <c r="F133" i="8"/>
  <c r="F139" i="8" s="1"/>
  <c r="F118" i="8"/>
  <c r="F124" i="8" s="1"/>
  <c r="F103" i="8"/>
  <c r="F109" i="8" s="1"/>
  <c r="F87" i="8"/>
  <c r="F93" i="8" s="1"/>
  <c r="F72" i="8"/>
  <c r="F78" i="8" s="1"/>
  <c r="F57" i="8"/>
  <c r="F63" i="8" s="1"/>
  <c r="F42" i="8"/>
  <c r="F48" i="8" s="1"/>
  <c r="F27" i="8"/>
  <c r="F33" i="8" s="1"/>
  <c r="F18" i="8"/>
  <c r="E299" i="8"/>
  <c r="E305" i="8" s="1"/>
  <c r="E249" i="8"/>
  <c r="E255" i="8" s="1"/>
  <c r="E234" i="8"/>
  <c r="E240" i="8" s="1"/>
  <c r="E218" i="8"/>
  <c r="E224" i="8" s="1"/>
  <c r="E203" i="8"/>
  <c r="E209" i="8" s="1"/>
  <c r="E181" i="8"/>
  <c r="E187" i="8" s="1"/>
  <c r="E148" i="8"/>
  <c r="E154" i="8" s="1"/>
  <c r="E133" i="8"/>
  <c r="E139" i="8" s="1"/>
  <c r="E118" i="8"/>
  <c r="E124" i="8" s="1"/>
  <c r="E103" i="8"/>
  <c r="E109" i="8" s="1"/>
  <c r="E87" i="8"/>
  <c r="E93" i="8" s="1"/>
  <c r="E72" i="8"/>
  <c r="E78" i="8" s="1"/>
  <c r="E57" i="8"/>
  <c r="E63" i="8" s="1"/>
  <c r="E42" i="8"/>
  <c r="E48" i="8" s="1"/>
  <c r="E27" i="8"/>
  <c r="E33" i="8" s="1"/>
  <c r="D27" i="8"/>
  <c r="D33" i="8" s="1"/>
  <c r="C27" i="8"/>
  <c r="C33" i="8" s="1"/>
  <c r="E18" i="8"/>
  <c r="D42" i="8"/>
  <c r="D48" i="8" s="1"/>
  <c r="C42" i="8"/>
  <c r="C48" i="8" s="1"/>
  <c r="D299" i="8"/>
  <c r="D305" i="8" s="1"/>
  <c r="D249" i="8"/>
  <c r="D255" i="8" s="1"/>
  <c r="D234" i="8"/>
  <c r="D240" i="8" s="1"/>
  <c r="D218" i="8"/>
  <c r="D224" i="8" s="1"/>
  <c r="D203" i="8"/>
  <c r="D209" i="8" s="1"/>
  <c r="D181" i="8"/>
  <c r="D187" i="8" s="1"/>
  <c r="D148" i="8"/>
  <c r="D154" i="8" s="1"/>
  <c r="D133" i="8"/>
  <c r="D139" i="8" s="1"/>
  <c r="D118" i="8"/>
  <c r="D124" i="8" s="1"/>
  <c r="D103" i="8"/>
  <c r="D109" i="8" s="1"/>
  <c r="D87" i="8"/>
  <c r="D93" i="8" s="1"/>
  <c r="D72" i="8"/>
  <c r="D78" i="8" s="1"/>
  <c r="D57" i="8"/>
  <c r="D63" i="8" s="1"/>
  <c r="D18" i="8"/>
  <c r="C299" i="8"/>
  <c r="C305" i="8" s="1"/>
  <c r="C249" i="8"/>
  <c r="C255" i="8" s="1"/>
  <c r="C234" i="8"/>
  <c r="C240" i="8" s="1"/>
  <c r="C218" i="8"/>
  <c r="C224" i="8" s="1"/>
  <c r="C203" i="8"/>
  <c r="C209" i="8" s="1"/>
  <c r="C181" i="8"/>
  <c r="C187" i="8" s="1"/>
  <c r="C148" i="8"/>
  <c r="C154" i="8" s="1"/>
  <c r="C133" i="8"/>
  <c r="C139" i="8" s="1"/>
  <c r="C118" i="8"/>
  <c r="C124" i="8" s="1"/>
  <c r="C103" i="8"/>
  <c r="C109" i="8" s="1"/>
  <c r="C87" i="8"/>
  <c r="C93" i="8" s="1"/>
  <c r="C72" i="8"/>
  <c r="C78" i="8" s="1"/>
  <c r="C57" i="8"/>
  <c r="C63" i="8" s="1"/>
  <c r="C18" i="8"/>
  <c r="H8" i="8"/>
  <c r="I8" i="8" s="1"/>
  <c r="J8" i="8" s="1"/>
  <c r="K8" i="8" s="1"/>
  <c r="L8" i="8" s="1"/>
  <c r="M8" i="8" s="1"/>
  <c r="N8" i="8" s="1"/>
  <c r="O8" i="8" s="1"/>
  <c r="P8" i="8" s="1"/>
  <c r="Q8" i="8" s="1"/>
  <c r="Q24" i="15" l="1"/>
  <c r="Q13" i="28" s="1"/>
  <c r="P24" i="15"/>
  <c r="P13" i="28" s="1"/>
  <c r="Q15" i="18"/>
  <c r="F189" i="8"/>
  <c r="F287" i="8"/>
  <c r="N13" i="17"/>
  <c r="N55" i="18" s="1"/>
  <c r="O315" i="8"/>
  <c r="E88" i="18"/>
  <c r="D88" i="18"/>
  <c r="D90" i="18" s="1"/>
  <c r="D92" i="18" s="1"/>
  <c r="D28" i="17"/>
  <c r="D287" i="8"/>
  <c r="E287" i="8"/>
  <c r="H12" i="8"/>
  <c r="H18" i="8" s="1"/>
  <c r="G78" i="8"/>
  <c r="H66" i="8"/>
  <c r="H72" i="8" s="1"/>
  <c r="G139" i="8"/>
  <c r="H127" i="8"/>
  <c r="H133" i="8" s="1"/>
  <c r="G209" i="8"/>
  <c r="H197" i="8"/>
  <c r="H203" i="8" s="1"/>
  <c r="G240" i="8"/>
  <c r="G270" i="8"/>
  <c r="G305" i="8"/>
  <c r="C189" i="8"/>
  <c r="G33" i="8"/>
  <c r="H21" i="8"/>
  <c r="H27" i="8" s="1"/>
  <c r="G93" i="8"/>
  <c r="H81" i="8"/>
  <c r="H87" i="8" s="1"/>
  <c r="G154" i="8"/>
  <c r="H142" i="8"/>
  <c r="H148" i="8" s="1"/>
  <c r="I212" i="8"/>
  <c r="I218" i="8" s="1"/>
  <c r="H224" i="8"/>
  <c r="I243" i="8"/>
  <c r="I249" i="8" s="1"/>
  <c r="H255" i="8"/>
  <c r="I273" i="8"/>
  <c r="I279" i="8" s="1"/>
  <c r="H285" i="8"/>
  <c r="C287" i="8"/>
  <c r="G48" i="8"/>
  <c r="H36" i="8"/>
  <c r="H42" i="8" s="1"/>
  <c r="G109" i="8"/>
  <c r="H97" i="8"/>
  <c r="H103" i="8" s="1"/>
  <c r="G169" i="8"/>
  <c r="H157" i="8"/>
  <c r="H163" i="8" s="1"/>
  <c r="G224" i="8"/>
  <c r="G255" i="8"/>
  <c r="G285" i="8"/>
  <c r="D189" i="8"/>
  <c r="E189" i="8"/>
  <c r="G124" i="8"/>
  <c r="H112" i="8"/>
  <c r="H118" i="8" s="1"/>
  <c r="G187" i="8"/>
  <c r="H175" i="8"/>
  <c r="H181" i="8" s="1"/>
  <c r="I228" i="8"/>
  <c r="I234" i="8" s="1"/>
  <c r="H240" i="8"/>
  <c r="I258" i="8"/>
  <c r="I264" i="8" s="1"/>
  <c r="H270" i="8"/>
  <c r="I293" i="8"/>
  <c r="I299" i="8" s="1"/>
  <c r="H305" i="8"/>
  <c r="H14" i="17" s="1"/>
  <c r="G63" i="8"/>
  <c r="H51" i="8"/>
  <c r="H57" i="8" s="1"/>
  <c r="P15" i="18" l="1"/>
  <c r="D308" i="8"/>
  <c r="F308" i="8"/>
  <c r="O13" i="17"/>
  <c r="O55" i="18" s="1"/>
  <c r="P315" i="8"/>
  <c r="D45" i="17"/>
  <c r="D83" i="17" s="1"/>
  <c r="E89" i="18"/>
  <c r="E90" i="18" s="1"/>
  <c r="E92" i="18" s="1"/>
  <c r="E308" i="8"/>
  <c r="G189" i="8"/>
  <c r="C308" i="8"/>
  <c r="D313" i="8" s="1"/>
  <c r="D318" i="8" s="1"/>
  <c r="I112" i="8"/>
  <c r="I118" i="8" s="1"/>
  <c r="H124" i="8"/>
  <c r="H154" i="8"/>
  <c r="I142" i="8"/>
  <c r="I148" i="8" s="1"/>
  <c r="I21" i="8"/>
  <c r="I27" i="8" s="1"/>
  <c r="H33" i="8"/>
  <c r="I127" i="8"/>
  <c r="I133" i="8" s="1"/>
  <c r="H139" i="8"/>
  <c r="J293" i="8"/>
  <c r="J299" i="8" s="1"/>
  <c r="I305" i="8"/>
  <c r="I14" i="17" s="1"/>
  <c r="I240" i="8"/>
  <c r="J228" i="8"/>
  <c r="J234" i="8" s="1"/>
  <c r="I97" i="8"/>
  <c r="I103" i="8" s="1"/>
  <c r="H109" i="8"/>
  <c r="J243" i="8"/>
  <c r="J249" i="8" s="1"/>
  <c r="I255" i="8"/>
  <c r="I12" i="8"/>
  <c r="I18" i="8" s="1"/>
  <c r="H187" i="8"/>
  <c r="I175" i="8"/>
  <c r="I181" i="8" s="1"/>
  <c r="I81" i="8"/>
  <c r="I87" i="8" s="1"/>
  <c r="H93" i="8"/>
  <c r="I197" i="8"/>
  <c r="I203" i="8" s="1"/>
  <c r="H209" i="8"/>
  <c r="H287" i="8" s="1"/>
  <c r="H16" i="17" s="1"/>
  <c r="H78" i="8"/>
  <c r="I66" i="8"/>
  <c r="I72" i="8" s="1"/>
  <c r="I270" i="8"/>
  <c r="J258" i="8"/>
  <c r="J264" i="8" s="1"/>
  <c r="H169" i="8"/>
  <c r="I157" i="8"/>
  <c r="I163" i="8" s="1"/>
  <c r="I36" i="8"/>
  <c r="I42" i="8" s="1"/>
  <c r="H48" i="8"/>
  <c r="I285" i="8"/>
  <c r="J273" i="8"/>
  <c r="J279" i="8" s="1"/>
  <c r="I224" i="8"/>
  <c r="J212" i="8"/>
  <c r="J218" i="8" s="1"/>
  <c r="G287" i="8"/>
  <c r="I51" i="8"/>
  <c r="I57" i="8" s="1"/>
  <c r="H63" i="8"/>
  <c r="F313" i="8" l="1"/>
  <c r="P13" i="17"/>
  <c r="P55" i="18" s="1"/>
  <c r="Q315" i="8"/>
  <c r="Q13" i="17" s="1"/>
  <c r="D49" i="20"/>
  <c r="E27" i="20"/>
  <c r="E25" i="20"/>
  <c r="D27" i="20"/>
  <c r="D25" i="20"/>
  <c r="E313" i="8"/>
  <c r="G308" i="8"/>
  <c r="F89" i="18"/>
  <c r="F90" i="18" s="1"/>
  <c r="F92" i="18" s="1"/>
  <c r="H189" i="8"/>
  <c r="J36" i="8"/>
  <c r="J42" i="8" s="1"/>
  <c r="I48" i="8"/>
  <c r="I209" i="8"/>
  <c r="I287" i="8" s="1"/>
  <c r="I16" i="17" s="1"/>
  <c r="J197" i="8"/>
  <c r="J203" i="8" s="1"/>
  <c r="K243" i="8"/>
  <c r="K249" i="8" s="1"/>
  <c r="J255" i="8"/>
  <c r="J127" i="8"/>
  <c r="J133" i="8" s="1"/>
  <c r="I139" i="8"/>
  <c r="K273" i="8"/>
  <c r="K279" i="8" s="1"/>
  <c r="J285" i="8"/>
  <c r="J157" i="8"/>
  <c r="J163" i="8" s="1"/>
  <c r="I169" i="8"/>
  <c r="J66" i="8"/>
  <c r="J72" i="8" s="1"/>
  <c r="I78" i="8"/>
  <c r="J12" i="8"/>
  <c r="J18" i="8" s="1"/>
  <c r="J81" i="8"/>
  <c r="J87" i="8" s="1"/>
  <c r="I93" i="8"/>
  <c r="I109" i="8"/>
  <c r="J97" i="8"/>
  <c r="J103" i="8" s="1"/>
  <c r="K293" i="8"/>
  <c r="K299" i="8" s="1"/>
  <c r="J305" i="8"/>
  <c r="J14" i="17" s="1"/>
  <c r="J21" i="8"/>
  <c r="J27" i="8" s="1"/>
  <c r="I33" i="8"/>
  <c r="J112" i="8"/>
  <c r="J118" i="8" s="1"/>
  <c r="I124" i="8"/>
  <c r="K212" i="8"/>
  <c r="K218" i="8" s="1"/>
  <c r="J224" i="8"/>
  <c r="K258" i="8"/>
  <c r="K264" i="8" s="1"/>
  <c r="J270" i="8"/>
  <c r="I187" i="8"/>
  <c r="J175" i="8"/>
  <c r="J181" i="8" s="1"/>
  <c r="K228" i="8"/>
  <c r="K234" i="8" s="1"/>
  <c r="J240" i="8"/>
  <c r="I154" i="8"/>
  <c r="J142" i="8"/>
  <c r="J148" i="8" s="1"/>
  <c r="I63" i="8"/>
  <c r="J51" i="8"/>
  <c r="J57" i="8" s="1"/>
  <c r="G313" i="8" l="1"/>
  <c r="E318" i="8"/>
  <c r="F318" i="8"/>
  <c r="Q55" i="18"/>
  <c r="H308" i="8"/>
  <c r="H12" i="17"/>
  <c r="H54" i="18" s="1"/>
  <c r="H14" i="28" s="1"/>
  <c r="G89" i="18"/>
  <c r="G90" i="18" s="1"/>
  <c r="G92" i="18" s="1"/>
  <c r="I189" i="8"/>
  <c r="K142" i="8"/>
  <c r="K148" i="8" s="1"/>
  <c r="J154" i="8"/>
  <c r="K175" i="8"/>
  <c r="K181" i="8" s="1"/>
  <c r="J187" i="8"/>
  <c r="K97" i="8"/>
  <c r="J109" i="8"/>
  <c r="K197" i="8"/>
  <c r="K203" i="8" s="1"/>
  <c r="J209" i="8"/>
  <c r="J287" i="8" s="1"/>
  <c r="J16" i="17" s="1"/>
  <c r="K224" i="8"/>
  <c r="L212" i="8"/>
  <c r="K12" i="8"/>
  <c r="K18" i="8" s="1"/>
  <c r="K157" i="8"/>
  <c r="J169" i="8"/>
  <c r="K127" i="8"/>
  <c r="K133" i="8" s="1"/>
  <c r="J139" i="8"/>
  <c r="K240" i="8"/>
  <c r="L228" i="8"/>
  <c r="L234" i="8" s="1"/>
  <c r="K21" i="8"/>
  <c r="K27" i="8" s="1"/>
  <c r="J33" i="8"/>
  <c r="K270" i="8"/>
  <c r="L258" i="8"/>
  <c r="L264" i="8" s="1"/>
  <c r="K112" i="8"/>
  <c r="K118" i="8" s="1"/>
  <c r="J124" i="8"/>
  <c r="L293" i="8"/>
  <c r="L299" i="8" s="1"/>
  <c r="K305" i="8"/>
  <c r="K14" i="17" s="1"/>
  <c r="K81" i="8"/>
  <c r="K87" i="8" s="1"/>
  <c r="J93" i="8"/>
  <c r="K66" i="8"/>
  <c r="J78" i="8"/>
  <c r="K285" i="8"/>
  <c r="L273" i="8"/>
  <c r="L279" i="8" s="1"/>
  <c r="L243" i="8"/>
  <c r="L249" i="8" s="1"/>
  <c r="K255" i="8"/>
  <c r="K36" i="8"/>
  <c r="J48" i="8"/>
  <c r="J63" i="8"/>
  <c r="K51" i="8"/>
  <c r="G318" i="8" l="1"/>
  <c r="H313" i="8"/>
  <c r="I308" i="8"/>
  <c r="I12" i="17"/>
  <c r="I54" i="18" s="1"/>
  <c r="I14" i="28" s="1"/>
  <c r="H89" i="18"/>
  <c r="J189" i="8"/>
  <c r="L285" i="8"/>
  <c r="M273" i="8"/>
  <c r="M279" i="8" s="1"/>
  <c r="K42" i="8"/>
  <c r="K124" i="8"/>
  <c r="L112" i="8"/>
  <c r="L118" i="8" s="1"/>
  <c r="K139" i="8"/>
  <c r="L127" i="8"/>
  <c r="L133" i="8" s="1"/>
  <c r="L12" i="8"/>
  <c r="L18" i="8" s="1"/>
  <c r="K209" i="8"/>
  <c r="K287" i="8" s="1"/>
  <c r="K16" i="17" s="1"/>
  <c r="L197" i="8"/>
  <c r="L203" i="8" s="1"/>
  <c r="L175" i="8"/>
  <c r="L181" i="8" s="1"/>
  <c r="K187" i="8"/>
  <c r="K93" i="8"/>
  <c r="L81" i="8"/>
  <c r="L87" i="8" s="1"/>
  <c r="L270" i="8"/>
  <c r="M258" i="8"/>
  <c r="M264" i="8" s="1"/>
  <c r="L240" i="8"/>
  <c r="M228" i="8"/>
  <c r="L218" i="8"/>
  <c r="M243" i="8"/>
  <c r="M249" i="8" s="1"/>
  <c r="L255" i="8"/>
  <c r="K72" i="8"/>
  <c r="L305" i="8"/>
  <c r="L14" i="17" s="1"/>
  <c r="M293" i="8"/>
  <c r="M299" i="8" s="1"/>
  <c r="K163" i="8"/>
  <c r="K103" i="8"/>
  <c r="L142" i="8"/>
  <c r="L148" i="8" s="1"/>
  <c r="K154" i="8"/>
  <c r="K57" i="8"/>
  <c r="I313" i="8" l="1"/>
  <c r="H318" i="8"/>
  <c r="J308" i="8"/>
  <c r="J12" i="17"/>
  <c r="J54" i="18" s="1"/>
  <c r="J14" i="28" s="1"/>
  <c r="K48" i="8"/>
  <c r="L36" i="8"/>
  <c r="L42" i="8" s="1"/>
  <c r="L21" i="8"/>
  <c r="L27" i="8" s="1"/>
  <c r="K33" i="8"/>
  <c r="M212" i="8"/>
  <c r="M218" i="8" s="1"/>
  <c r="L224" i="8"/>
  <c r="K109" i="8"/>
  <c r="L97" i="8"/>
  <c r="K169" i="8"/>
  <c r="L157" i="8"/>
  <c r="L163" i="8" s="1"/>
  <c r="K78" i="8"/>
  <c r="L66" i="8"/>
  <c r="L72" i="8" s="1"/>
  <c r="M270" i="8"/>
  <c r="N258" i="8"/>
  <c r="N264" i="8" s="1"/>
  <c r="M142" i="8"/>
  <c r="M148" i="8" s="1"/>
  <c r="L154" i="8"/>
  <c r="M175" i="8"/>
  <c r="L187" i="8"/>
  <c r="M12" i="8"/>
  <c r="M18" i="8" s="1"/>
  <c r="N293" i="8"/>
  <c r="N299" i="8" s="1"/>
  <c r="M305" i="8"/>
  <c r="M14" i="17" s="1"/>
  <c r="M234" i="8"/>
  <c r="M81" i="8"/>
  <c r="M87" i="8" s="1"/>
  <c r="L93" i="8"/>
  <c r="M197" i="8"/>
  <c r="M203" i="8" s="1"/>
  <c r="L209" i="8"/>
  <c r="L287" i="8" s="1"/>
  <c r="L16" i="17" s="1"/>
  <c r="M127" i="8"/>
  <c r="L139" i="8"/>
  <c r="M112" i="8"/>
  <c r="L124" i="8"/>
  <c r="M285" i="8"/>
  <c r="N273" i="8"/>
  <c r="N279" i="8" s="1"/>
  <c r="M255" i="8"/>
  <c r="N243" i="8"/>
  <c r="N249" i="8" s="1"/>
  <c r="K63" i="8"/>
  <c r="L51" i="8"/>
  <c r="J313" i="8" l="1"/>
  <c r="I318" i="8"/>
  <c r="M181" i="8"/>
  <c r="N175" i="8" s="1"/>
  <c r="M133" i="8"/>
  <c r="N127" i="8" s="1"/>
  <c r="M118" i="8"/>
  <c r="M124" i="8" s="1"/>
  <c r="M240" i="8"/>
  <c r="N228" i="8"/>
  <c r="N234" i="8" s="1"/>
  <c r="O243" i="8"/>
  <c r="O249" i="8" s="1"/>
  <c r="N255" i="8"/>
  <c r="L78" i="8"/>
  <c r="M66" i="8"/>
  <c r="M72" i="8" s="1"/>
  <c r="L103" i="8"/>
  <c r="K189" i="8"/>
  <c r="M209" i="8"/>
  <c r="N197" i="8"/>
  <c r="N203" i="8" s="1"/>
  <c r="N12" i="8"/>
  <c r="N18" i="8" s="1"/>
  <c r="M154" i="8"/>
  <c r="N142" i="8"/>
  <c r="N148" i="8" s="1"/>
  <c r="M21" i="8"/>
  <c r="L33" i="8"/>
  <c r="O273" i="8"/>
  <c r="O279" i="8" s="1"/>
  <c r="N285" i="8"/>
  <c r="O258" i="8"/>
  <c r="O264" i="8" s="1"/>
  <c r="N270" i="8"/>
  <c r="M157" i="8"/>
  <c r="M163" i="8" s="1"/>
  <c r="L169" i="8"/>
  <c r="M36" i="8"/>
  <c r="L48" i="8"/>
  <c r="M139" i="8"/>
  <c r="M93" i="8"/>
  <c r="N81" i="8"/>
  <c r="N87" i="8" s="1"/>
  <c r="O293" i="8"/>
  <c r="O299" i="8" s="1"/>
  <c r="N305" i="8"/>
  <c r="N14" i="17" s="1"/>
  <c r="M224" i="8"/>
  <c r="N212" i="8"/>
  <c r="N218" i="8" s="1"/>
  <c r="L57" i="8"/>
  <c r="J318" i="8" l="1"/>
  <c r="N112" i="8"/>
  <c r="N118" i="8" s="1"/>
  <c r="O112" i="8" s="1"/>
  <c r="N133" i="8"/>
  <c r="O127" i="8" s="1"/>
  <c r="M187" i="8"/>
  <c r="M27" i="8"/>
  <c r="N21" i="8" s="1"/>
  <c r="M42" i="8"/>
  <c r="M48" i="8" s="1"/>
  <c r="K308" i="8"/>
  <c r="K12" i="17"/>
  <c r="K54" i="18" s="1"/>
  <c r="K14" i="28" s="1"/>
  <c r="L109" i="8"/>
  <c r="M97" i="8"/>
  <c r="M103" i="8" s="1"/>
  <c r="P293" i="8"/>
  <c r="P299" i="8" s="1"/>
  <c r="O305" i="8"/>
  <c r="O14" i="17" s="1"/>
  <c r="M169" i="8"/>
  <c r="N157" i="8"/>
  <c r="O285" i="8"/>
  <c r="P273" i="8"/>
  <c r="P279" i="8" s="1"/>
  <c r="M287" i="8"/>
  <c r="M16" i="17" s="1"/>
  <c r="N181" i="8"/>
  <c r="O81" i="8"/>
  <c r="O87" i="8" s="1"/>
  <c r="N93" i="8"/>
  <c r="O255" i="8"/>
  <c r="P243" i="8"/>
  <c r="P249" i="8" s="1"/>
  <c r="P258" i="8"/>
  <c r="P264" i="8" s="1"/>
  <c r="O270" i="8"/>
  <c r="O12" i="8"/>
  <c r="O18" i="8" s="1"/>
  <c r="M78" i="8"/>
  <c r="N66" i="8"/>
  <c r="O228" i="8"/>
  <c r="O234" i="8" s="1"/>
  <c r="N240" i="8"/>
  <c r="O212" i="8"/>
  <c r="O218" i="8" s="1"/>
  <c r="N224" i="8"/>
  <c r="O142" i="8"/>
  <c r="O148" i="8" s="1"/>
  <c r="N154" i="8"/>
  <c r="O197" i="8"/>
  <c r="O203" i="8" s="1"/>
  <c r="N209" i="8"/>
  <c r="L63" i="8"/>
  <c r="M51" i="8"/>
  <c r="K313" i="8" l="1"/>
  <c r="N139" i="8"/>
  <c r="N124" i="8"/>
  <c r="N287" i="8"/>
  <c r="N16" i="17" s="1"/>
  <c r="N27" i="8"/>
  <c r="M33" i="8"/>
  <c r="L189" i="8"/>
  <c r="N36" i="8"/>
  <c r="N42" i="8" s="1"/>
  <c r="O36" i="8" s="1"/>
  <c r="O42" i="8" s="1"/>
  <c r="O175" i="8"/>
  <c r="N187" i="8"/>
  <c r="N72" i="8"/>
  <c r="O93" i="8"/>
  <c r="P81" i="8"/>
  <c r="P87" i="8" s="1"/>
  <c r="P285" i="8"/>
  <c r="Q273" i="8"/>
  <c r="Q279" i="8" s="1"/>
  <c r="Q285" i="8" s="1"/>
  <c r="P142" i="8"/>
  <c r="P148" i="8" s="1"/>
  <c r="O154" i="8"/>
  <c r="O224" i="8"/>
  <c r="P212" i="8"/>
  <c r="P218" i="8" s="1"/>
  <c r="O118" i="8"/>
  <c r="Q293" i="8"/>
  <c r="Q299" i="8" s="1"/>
  <c r="Q305" i="8" s="1"/>
  <c r="Q14" i="17" s="1"/>
  <c r="P305" i="8"/>
  <c r="P14" i="17" s="1"/>
  <c r="P255" i="8"/>
  <c r="Q243" i="8"/>
  <c r="Q249" i="8" s="1"/>
  <c r="Q255" i="8" s="1"/>
  <c r="N163" i="8"/>
  <c r="M109" i="8"/>
  <c r="N97" i="8"/>
  <c r="N103" i="8" s="1"/>
  <c r="O209" i="8"/>
  <c r="P197" i="8"/>
  <c r="P203" i="8" s="1"/>
  <c r="O133" i="8"/>
  <c r="P228" i="8"/>
  <c r="P234" i="8" s="1"/>
  <c r="O240" i="8"/>
  <c r="P12" i="8"/>
  <c r="P18" i="8" s="1"/>
  <c r="P270" i="8"/>
  <c r="Q258" i="8"/>
  <c r="Q264" i="8" s="1"/>
  <c r="Q270" i="8" s="1"/>
  <c r="M57" i="8"/>
  <c r="L308" i="8" l="1"/>
  <c r="L313" i="8" s="1"/>
  <c r="K318" i="8"/>
  <c r="N48" i="8"/>
  <c r="O21" i="8"/>
  <c r="O27" i="8" s="1"/>
  <c r="O33" i="8" s="1"/>
  <c r="N33" i="8"/>
  <c r="L12" i="17"/>
  <c r="L54" i="18" s="1"/>
  <c r="L14" i="28" s="1"/>
  <c r="O66" i="8"/>
  <c r="O72" i="8" s="1"/>
  <c r="N78" i="8"/>
  <c r="O157" i="8"/>
  <c r="O163" i="8" s="1"/>
  <c r="N169" i="8"/>
  <c r="Q228" i="8"/>
  <c r="Q234" i="8" s="1"/>
  <c r="Q240" i="8" s="1"/>
  <c r="P240" i="8"/>
  <c r="O287" i="8"/>
  <c r="O16" i="17" s="1"/>
  <c r="P154" i="8"/>
  <c r="Q142" i="8"/>
  <c r="Q148" i="8" s="1"/>
  <c r="Q154" i="8" s="1"/>
  <c r="O97" i="8"/>
  <c r="O103" i="8" s="1"/>
  <c r="N109" i="8"/>
  <c r="P112" i="8"/>
  <c r="O124" i="8"/>
  <c r="P224" i="8"/>
  <c r="Q212" i="8"/>
  <c r="P127" i="8"/>
  <c r="O139" i="8"/>
  <c r="Q12" i="8"/>
  <c r="Q18" i="8" s="1"/>
  <c r="P36" i="8"/>
  <c r="O48" i="8"/>
  <c r="P209" i="8"/>
  <c r="Q197" i="8"/>
  <c r="Q203" i="8" s="1"/>
  <c r="Q209" i="8" s="1"/>
  <c r="P93" i="8"/>
  <c r="Q81" i="8"/>
  <c r="Q87" i="8" s="1"/>
  <c r="Q93" i="8" s="1"/>
  <c r="O181" i="8"/>
  <c r="M63" i="8"/>
  <c r="M189" i="8" s="1"/>
  <c r="N51" i="8"/>
  <c r="L318" i="8" l="1"/>
  <c r="P21" i="8"/>
  <c r="P27" i="8"/>
  <c r="P33" i="8" s="1"/>
  <c r="P133" i="8"/>
  <c r="P139" i="8" s="1"/>
  <c r="P287" i="8"/>
  <c r="P16" i="17" s="1"/>
  <c r="M308" i="8"/>
  <c r="M12" i="17"/>
  <c r="M54" i="18" s="1"/>
  <c r="M14" i="28" s="1"/>
  <c r="O187" i="8"/>
  <c r="P175" i="8"/>
  <c r="O109" i="8"/>
  <c r="P97" i="8"/>
  <c r="P103" i="8" s="1"/>
  <c r="P157" i="8"/>
  <c r="P163" i="8" s="1"/>
  <c r="O169" i="8"/>
  <c r="Q218" i="8"/>
  <c r="Q224" i="8" s="1"/>
  <c r="Q287" i="8" s="1"/>
  <c r="Q16" i="17" s="1"/>
  <c r="O78" i="8"/>
  <c r="P66" i="8"/>
  <c r="P72" i="8" s="1"/>
  <c r="N57" i="8"/>
  <c r="Q127" i="8" l="1"/>
  <c r="Q21" i="8"/>
  <c r="M313" i="8"/>
  <c r="Q133" i="8"/>
  <c r="Q139" i="8" s="1"/>
  <c r="P118" i="8"/>
  <c r="Q112" i="8" s="1"/>
  <c r="Q118" i="8" s="1"/>
  <c r="Q124" i="8" s="1"/>
  <c r="Q27" i="8"/>
  <c r="Q33" i="8" s="1"/>
  <c r="P181" i="8"/>
  <c r="P187" i="8" s="1"/>
  <c r="P42" i="8"/>
  <c r="P48" i="8" s="1"/>
  <c r="P78" i="8"/>
  <c r="Q66" i="8"/>
  <c r="Q72" i="8" s="1"/>
  <c r="Q78" i="8" s="1"/>
  <c r="P169" i="8"/>
  <c r="Q157" i="8"/>
  <c r="Q163" i="8" s="1"/>
  <c r="Q169" i="8" s="1"/>
  <c r="P124" i="8"/>
  <c r="Q175" i="8"/>
  <c r="Q181" i="8" s="1"/>
  <c r="Q187" i="8" s="1"/>
  <c r="Q97" i="8"/>
  <c r="Q103" i="8" s="1"/>
  <c r="Q109" i="8" s="1"/>
  <c r="P109" i="8"/>
  <c r="N63" i="8"/>
  <c r="N189" i="8" s="1"/>
  <c r="O51" i="8"/>
  <c r="C21" i="6"/>
  <c r="M318" i="8" l="1"/>
  <c r="Q36" i="8"/>
  <c r="Q42" i="8" s="1"/>
  <c r="Q48" i="8" s="1"/>
  <c r="N308" i="8"/>
  <c r="N12" i="17"/>
  <c r="N54" i="18" s="1"/>
  <c r="N14" i="28" s="1"/>
  <c r="O57" i="8"/>
  <c r="N313" i="8" l="1"/>
  <c r="O63" i="8"/>
  <c r="O189" i="8" s="1"/>
  <c r="P51" i="8"/>
  <c r="N318" i="8" l="1"/>
  <c r="O308" i="8"/>
  <c r="O12" i="17"/>
  <c r="O54" i="18" s="1"/>
  <c r="O14" i="28" s="1"/>
  <c r="P57" i="8"/>
  <c r="O313" i="8" l="1"/>
  <c r="P63" i="8"/>
  <c r="P189" i="8" s="1"/>
  <c r="Q51" i="8"/>
  <c r="O318" i="8" l="1"/>
  <c r="P308" i="8"/>
  <c r="P12" i="17"/>
  <c r="P54" i="18" s="1"/>
  <c r="P14" i="28" s="1"/>
  <c r="Q57" i="8"/>
  <c r="Q63" i="8" s="1"/>
  <c r="Q189" i="8" s="1"/>
  <c r="P313" i="8" l="1"/>
  <c r="Q308" i="8"/>
  <c r="Q12" i="17"/>
  <c r="Q54" i="18" s="1"/>
  <c r="Q14" i="28" s="1"/>
  <c r="Q313" i="8" l="1"/>
  <c r="P318" i="8"/>
  <c r="Q318" i="8" l="1"/>
  <c r="H8" i="5" l="1"/>
  <c r="I8" i="5" s="1"/>
  <c r="J8" i="5" s="1"/>
  <c r="K8" i="5" s="1"/>
  <c r="L8" i="5" s="1"/>
  <c r="M8" i="5" s="1"/>
  <c r="N8" i="5" s="1"/>
  <c r="O8" i="5" s="1"/>
  <c r="P8" i="5" s="1"/>
  <c r="Q8" i="5" s="1"/>
  <c r="G19" i="5" l="1"/>
  <c r="F19" i="5"/>
  <c r="E19" i="5"/>
  <c r="D19" i="5"/>
  <c r="C19" i="5"/>
  <c r="D13" i="5"/>
  <c r="E13" i="5"/>
  <c r="F13" i="5"/>
  <c r="G13" i="5"/>
  <c r="C13" i="5"/>
  <c r="D24" i="5"/>
  <c r="E24" i="5"/>
  <c r="F24" i="5"/>
  <c r="G24" i="5"/>
  <c r="C24" i="5"/>
  <c r="C28" i="5" s="1"/>
  <c r="D15" i="5"/>
  <c r="D11" i="14" s="1"/>
  <c r="E15" i="5"/>
  <c r="E11" i="14" s="1"/>
  <c r="F15" i="5"/>
  <c r="F11" i="14" s="1"/>
  <c r="G15" i="5"/>
  <c r="G11" i="14" s="1"/>
  <c r="C15" i="5"/>
  <c r="C11" i="14" s="1"/>
  <c r="F28" i="5" l="1"/>
  <c r="F25" i="5"/>
  <c r="D28" i="5"/>
  <c r="D25" i="5"/>
  <c r="E28" i="5"/>
  <c r="E29" i="5" s="1"/>
  <c r="E25" i="5"/>
  <c r="G28" i="5"/>
  <c r="G25" i="5"/>
  <c r="D29" i="5"/>
  <c r="H13" i="5"/>
  <c r="H19" i="5"/>
  <c r="I19" i="5" s="1"/>
  <c r="J19" i="5" s="1"/>
  <c r="K19" i="5" s="1"/>
  <c r="L19" i="5" s="1"/>
  <c r="M19" i="5" s="1"/>
  <c r="N19" i="5" s="1"/>
  <c r="O19" i="5" s="1"/>
  <c r="P19" i="5" s="1"/>
  <c r="Q19" i="5" s="1"/>
  <c r="E65" i="14"/>
  <c r="E69" i="14"/>
  <c r="E48" i="14"/>
  <c r="E52" i="14"/>
  <c r="E20" i="14"/>
  <c r="E56" i="14"/>
  <c r="E28" i="14"/>
  <c r="E63" i="14"/>
  <c r="E41" i="14"/>
  <c r="E46" i="14"/>
  <c r="E22" i="14"/>
  <c r="E50" i="14"/>
  <c r="E71" i="14"/>
  <c r="E37" i="14"/>
  <c r="E33" i="14"/>
  <c r="E26" i="14"/>
  <c r="E24" i="14"/>
  <c r="E61" i="14"/>
  <c r="E35" i="14"/>
  <c r="E54" i="14"/>
  <c r="E16" i="14"/>
  <c r="E67" i="14"/>
  <c r="E18" i="14"/>
  <c r="C67" i="14"/>
  <c r="C16" i="14"/>
  <c r="C41" i="14"/>
  <c r="C69" i="14"/>
  <c r="C61" i="14"/>
  <c r="C48" i="14"/>
  <c r="C50" i="14"/>
  <c r="C54" i="14"/>
  <c r="C71" i="14"/>
  <c r="C26" i="14"/>
  <c r="C35" i="14"/>
  <c r="C20" i="14"/>
  <c r="C18" i="14"/>
  <c r="C56" i="14"/>
  <c r="C33" i="14"/>
  <c r="C22" i="14"/>
  <c r="C46" i="14"/>
  <c r="C52" i="14"/>
  <c r="C24" i="14"/>
  <c r="C65" i="14"/>
  <c r="C37" i="14"/>
  <c r="C63" i="14"/>
  <c r="C28" i="14"/>
  <c r="D24" i="14"/>
  <c r="D46" i="14"/>
  <c r="D65" i="14"/>
  <c r="D22" i="14"/>
  <c r="D48" i="14"/>
  <c r="D18" i="14"/>
  <c r="D67" i="14"/>
  <c r="D33" i="14"/>
  <c r="D37" i="14"/>
  <c r="D61" i="14"/>
  <c r="D26" i="14"/>
  <c r="D35" i="14"/>
  <c r="D16" i="14"/>
  <c r="D28" i="14"/>
  <c r="D63" i="14"/>
  <c r="D50" i="14"/>
  <c r="D69" i="14"/>
  <c r="D41" i="14"/>
  <c r="D56" i="14"/>
  <c r="D71" i="14"/>
  <c r="D20" i="14"/>
  <c r="D52" i="14"/>
  <c r="D54" i="14"/>
  <c r="G63" i="14"/>
  <c r="G18" i="14"/>
  <c r="G56" i="14"/>
  <c r="G22" i="14"/>
  <c r="G50" i="14"/>
  <c r="G24" i="14"/>
  <c r="G52" i="14"/>
  <c r="G41" i="14"/>
  <c r="G20" i="14"/>
  <c r="G61" i="14"/>
  <c r="G35" i="14"/>
  <c r="G65" i="14"/>
  <c r="G54" i="14"/>
  <c r="G37" i="14"/>
  <c r="G26" i="14"/>
  <c r="G33" i="14"/>
  <c r="G28" i="14"/>
  <c r="G16" i="14"/>
  <c r="G67" i="14"/>
  <c r="G71" i="14"/>
  <c r="G46" i="14"/>
  <c r="G69" i="14"/>
  <c r="G48" i="14"/>
  <c r="F50" i="14"/>
  <c r="F24" i="14"/>
  <c r="F48" i="14"/>
  <c r="F65" i="14"/>
  <c r="F26" i="14"/>
  <c r="F33" i="14"/>
  <c r="F16" i="14"/>
  <c r="F37" i="14"/>
  <c r="F52" i="14"/>
  <c r="F69" i="14"/>
  <c r="F56" i="14"/>
  <c r="F54" i="14"/>
  <c r="F71" i="14"/>
  <c r="F28" i="14"/>
  <c r="F46" i="14"/>
  <c r="F61" i="14"/>
  <c r="F67" i="14"/>
  <c r="F35" i="14"/>
  <c r="F22" i="14"/>
  <c r="F63" i="14"/>
  <c r="F20" i="14"/>
  <c r="F41" i="14"/>
  <c r="F18" i="14"/>
  <c r="G11" i="11"/>
  <c r="F16" i="5"/>
  <c r="F11" i="11"/>
  <c r="D11" i="11"/>
  <c r="E16" i="5"/>
  <c r="E11" i="11"/>
  <c r="C11" i="11"/>
  <c r="D16" i="5"/>
  <c r="G16" i="5"/>
  <c r="H41" i="5" l="1"/>
  <c r="I41" i="5" s="1"/>
  <c r="J41" i="5" s="1"/>
  <c r="K41" i="5" s="1"/>
  <c r="L41" i="5" s="1"/>
  <c r="M41" i="5" s="1"/>
  <c r="N41" i="5" s="1"/>
  <c r="O41" i="5" s="1"/>
  <c r="P41" i="5" s="1"/>
  <c r="Q41" i="5" s="1"/>
  <c r="F29" i="5"/>
  <c r="G29" i="5"/>
  <c r="H33" i="5"/>
  <c r="I33" i="5" s="1"/>
  <c r="I13" i="5"/>
  <c r="J13" i="5" s="1"/>
  <c r="K13" i="5" s="1"/>
  <c r="L13" i="5" s="1"/>
  <c r="M13" i="5" s="1"/>
  <c r="N13" i="5" s="1"/>
  <c r="O13" i="5" s="1"/>
  <c r="P13" i="5" s="1"/>
  <c r="Q13" i="5" s="1"/>
  <c r="H12" i="5"/>
  <c r="I12" i="5" s="1"/>
  <c r="J12" i="5" s="1"/>
  <c r="K12" i="5" s="1"/>
  <c r="L12" i="5" s="1"/>
  <c r="M12" i="5" s="1"/>
  <c r="N12" i="5" s="1"/>
  <c r="O12" i="5" s="1"/>
  <c r="P12" i="5" s="1"/>
  <c r="Q12" i="5" s="1"/>
  <c r="H71" i="14"/>
  <c r="I71" i="14" s="1"/>
  <c r="J71" i="14" s="1"/>
  <c r="K71" i="14" s="1"/>
  <c r="L71" i="14" s="1"/>
  <c r="M71" i="14" s="1"/>
  <c r="N71" i="14" s="1"/>
  <c r="O71" i="14" s="1"/>
  <c r="P71" i="14" s="1"/>
  <c r="Q71" i="14" s="1"/>
  <c r="H67" i="14"/>
  <c r="I67" i="14" s="1"/>
  <c r="J67" i="14" s="1"/>
  <c r="K67" i="14" s="1"/>
  <c r="L67" i="14" s="1"/>
  <c r="M67" i="14" s="1"/>
  <c r="N67" i="14" s="1"/>
  <c r="O67" i="14" s="1"/>
  <c r="P67" i="14" s="1"/>
  <c r="Q67" i="14" s="1"/>
  <c r="H65" i="14"/>
  <c r="I65" i="14" s="1"/>
  <c r="J65" i="14" s="1"/>
  <c r="K65" i="14" s="1"/>
  <c r="L65" i="14" s="1"/>
  <c r="M65" i="14" s="1"/>
  <c r="N65" i="14" s="1"/>
  <c r="O65" i="14" s="1"/>
  <c r="P65" i="14" s="1"/>
  <c r="Q65" i="14" s="1"/>
  <c r="H22" i="14"/>
  <c r="I22" i="14" s="1"/>
  <c r="J22" i="14" s="1"/>
  <c r="K22" i="14" s="1"/>
  <c r="L22" i="14" s="1"/>
  <c r="M22" i="14" s="1"/>
  <c r="N22" i="14" s="1"/>
  <c r="O22" i="14" s="1"/>
  <c r="P22" i="14" s="1"/>
  <c r="Q22" i="14" s="1"/>
  <c r="H20" i="14"/>
  <c r="I20" i="14" s="1"/>
  <c r="J20" i="14" s="1"/>
  <c r="K20" i="14" s="1"/>
  <c r="L20" i="14" s="1"/>
  <c r="M20" i="14" s="1"/>
  <c r="N20" i="14" s="1"/>
  <c r="O20" i="14" s="1"/>
  <c r="P20" i="14" s="1"/>
  <c r="Q20" i="14" s="1"/>
  <c r="H54" i="14"/>
  <c r="I54" i="14" s="1"/>
  <c r="J54" i="14" s="1"/>
  <c r="K54" i="14" s="1"/>
  <c r="L54" i="14" s="1"/>
  <c r="M54" i="14" s="1"/>
  <c r="N54" i="14" s="1"/>
  <c r="O54" i="14" s="1"/>
  <c r="P54" i="14" s="1"/>
  <c r="Q54" i="14" s="1"/>
  <c r="H69" i="14"/>
  <c r="I69" i="14" s="1"/>
  <c r="J69" i="14" s="1"/>
  <c r="K69" i="14" s="1"/>
  <c r="L69" i="14" s="1"/>
  <c r="M69" i="14" s="1"/>
  <c r="N69" i="14" s="1"/>
  <c r="O69" i="14" s="1"/>
  <c r="P69" i="14" s="1"/>
  <c r="Q69" i="14" s="1"/>
  <c r="H37" i="14"/>
  <c r="I37" i="14" s="1"/>
  <c r="J37" i="14" s="1"/>
  <c r="K37" i="14" s="1"/>
  <c r="L37" i="14" s="1"/>
  <c r="M37" i="14" s="1"/>
  <c r="N37" i="14" s="1"/>
  <c r="O37" i="14" s="1"/>
  <c r="P37" i="14" s="1"/>
  <c r="Q37" i="14" s="1"/>
  <c r="H46" i="14"/>
  <c r="I46" i="14" s="1"/>
  <c r="J46" i="14" s="1"/>
  <c r="K46" i="14" s="1"/>
  <c r="L46" i="14" s="1"/>
  <c r="M46" i="14" s="1"/>
  <c r="N46" i="14" s="1"/>
  <c r="O46" i="14" s="1"/>
  <c r="P46" i="14" s="1"/>
  <c r="Q46" i="14" s="1"/>
  <c r="H18" i="14"/>
  <c r="I18" i="14" s="1"/>
  <c r="J18" i="14" s="1"/>
  <c r="K18" i="14" s="1"/>
  <c r="L18" i="14" s="1"/>
  <c r="M18" i="14" s="1"/>
  <c r="N18" i="14" s="1"/>
  <c r="O18" i="14" s="1"/>
  <c r="P18" i="14" s="1"/>
  <c r="Q18" i="14" s="1"/>
  <c r="H61" i="14"/>
  <c r="I61" i="14" s="1"/>
  <c r="J61" i="14" s="1"/>
  <c r="K61" i="14" s="1"/>
  <c r="L61" i="14" s="1"/>
  <c r="M61" i="14" s="1"/>
  <c r="N61" i="14" s="1"/>
  <c r="O61" i="14" s="1"/>
  <c r="P61" i="14" s="1"/>
  <c r="Q61" i="14" s="1"/>
  <c r="H28" i="14"/>
  <c r="I28" i="14" s="1"/>
  <c r="J28" i="14" s="1"/>
  <c r="K28" i="14" s="1"/>
  <c r="L28" i="14" s="1"/>
  <c r="M28" i="14" s="1"/>
  <c r="N28" i="14" s="1"/>
  <c r="O28" i="14" s="1"/>
  <c r="P28" i="14" s="1"/>
  <c r="Q28" i="14" s="1"/>
  <c r="H24" i="14"/>
  <c r="I24" i="14" s="1"/>
  <c r="J24" i="14" s="1"/>
  <c r="K24" i="14" s="1"/>
  <c r="L24" i="14" s="1"/>
  <c r="M24" i="14" s="1"/>
  <c r="N24" i="14" s="1"/>
  <c r="O24" i="14" s="1"/>
  <c r="P24" i="14" s="1"/>
  <c r="Q24" i="14" s="1"/>
  <c r="H33" i="14"/>
  <c r="I33" i="14" s="1"/>
  <c r="J33" i="14" s="1"/>
  <c r="K33" i="14" s="1"/>
  <c r="L33" i="14" s="1"/>
  <c r="M33" i="14" s="1"/>
  <c r="N33" i="14" s="1"/>
  <c r="O33" i="14" s="1"/>
  <c r="P33" i="14" s="1"/>
  <c r="Q33" i="14" s="1"/>
  <c r="H35" i="14"/>
  <c r="I35" i="14" s="1"/>
  <c r="J35" i="14" s="1"/>
  <c r="K35" i="14" s="1"/>
  <c r="L35" i="14" s="1"/>
  <c r="M35" i="14" s="1"/>
  <c r="N35" i="14" s="1"/>
  <c r="O35" i="14" s="1"/>
  <c r="P35" i="14" s="1"/>
  <c r="Q35" i="14" s="1"/>
  <c r="H50" i="14"/>
  <c r="I50" i="14" s="1"/>
  <c r="J50" i="14" s="1"/>
  <c r="K50" i="14" s="1"/>
  <c r="L50" i="14" s="1"/>
  <c r="M50" i="14" s="1"/>
  <c r="N50" i="14" s="1"/>
  <c r="O50" i="14" s="1"/>
  <c r="P50" i="14" s="1"/>
  <c r="Q50" i="14" s="1"/>
  <c r="H41" i="14"/>
  <c r="I41" i="14" s="1"/>
  <c r="J41" i="14" s="1"/>
  <c r="K41" i="14" s="1"/>
  <c r="L41" i="14" s="1"/>
  <c r="M41" i="14" s="1"/>
  <c r="N41" i="14" s="1"/>
  <c r="O41" i="14" s="1"/>
  <c r="P41" i="14" s="1"/>
  <c r="Q41" i="14" s="1"/>
  <c r="H63" i="14"/>
  <c r="I63" i="14" s="1"/>
  <c r="J63" i="14" s="1"/>
  <c r="K63" i="14" s="1"/>
  <c r="L63" i="14" s="1"/>
  <c r="M63" i="14" s="1"/>
  <c r="N63" i="14" s="1"/>
  <c r="O63" i="14" s="1"/>
  <c r="P63" i="14" s="1"/>
  <c r="Q63" i="14" s="1"/>
  <c r="H52" i="14"/>
  <c r="I52" i="14" s="1"/>
  <c r="J52" i="14" s="1"/>
  <c r="K52" i="14" s="1"/>
  <c r="L52" i="14" s="1"/>
  <c r="M52" i="14" s="1"/>
  <c r="N52" i="14" s="1"/>
  <c r="O52" i="14" s="1"/>
  <c r="P52" i="14" s="1"/>
  <c r="Q52" i="14" s="1"/>
  <c r="H56" i="14"/>
  <c r="I56" i="14" s="1"/>
  <c r="J56" i="14" s="1"/>
  <c r="K56" i="14" s="1"/>
  <c r="L56" i="14" s="1"/>
  <c r="M56" i="14" s="1"/>
  <c r="N56" i="14" s="1"/>
  <c r="O56" i="14" s="1"/>
  <c r="P56" i="14" s="1"/>
  <c r="Q56" i="14" s="1"/>
  <c r="H26" i="14"/>
  <c r="I26" i="14" s="1"/>
  <c r="J26" i="14" s="1"/>
  <c r="K26" i="14" s="1"/>
  <c r="L26" i="14" s="1"/>
  <c r="M26" i="14" s="1"/>
  <c r="N26" i="14" s="1"/>
  <c r="O26" i="14" s="1"/>
  <c r="P26" i="14" s="1"/>
  <c r="Q26" i="14" s="1"/>
  <c r="H48" i="14"/>
  <c r="I48" i="14" s="1"/>
  <c r="J48" i="14" s="1"/>
  <c r="K48" i="14" s="1"/>
  <c r="L48" i="14" s="1"/>
  <c r="M48" i="14" s="1"/>
  <c r="N48" i="14" s="1"/>
  <c r="O48" i="14" s="1"/>
  <c r="P48" i="14" s="1"/>
  <c r="Q48" i="14" s="1"/>
  <c r="H16" i="14"/>
  <c r="I16" i="14" s="1"/>
  <c r="J16" i="14" s="1"/>
  <c r="K16" i="14" s="1"/>
  <c r="L16" i="14" s="1"/>
  <c r="M16" i="14" s="1"/>
  <c r="N16" i="14" s="1"/>
  <c r="O16" i="14" s="1"/>
  <c r="P16" i="14" s="1"/>
  <c r="Q16" i="14" s="1"/>
  <c r="D24" i="11"/>
  <c r="D12" i="20" s="1"/>
  <c r="D18" i="9"/>
  <c r="D17" i="11"/>
  <c r="D30" i="11"/>
  <c r="D14" i="11"/>
  <c r="D27" i="11"/>
  <c r="D20" i="11"/>
  <c r="E18" i="9"/>
  <c r="E24" i="11"/>
  <c r="E12" i="20" s="1"/>
  <c r="E17" i="11"/>
  <c r="E27" i="11"/>
  <c r="E14" i="11"/>
  <c r="E20" i="11"/>
  <c r="E30" i="11"/>
  <c r="F27" i="11"/>
  <c r="F24" i="11"/>
  <c r="F12" i="20" s="1"/>
  <c r="F20" i="11"/>
  <c r="F30" i="11"/>
  <c r="F14" i="11"/>
  <c r="F18" i="9"/>
  <c r="F17" i="11"/>
  <c r="G27" i="11"/>
  <c r="G24" i="11"/>
  <c r="G12" i="20" s="1"/>
  <c r="G30" i="11"/>
  <c r="G17" i="11"/>
  <c r="G14" i="11"/>
  <c r="G18" i="9"/>
  <c r="G20" i="11"/>
  <c r="I34" i="5"/>
  <c r="J34" i="5" s="1"/>
  <c r="K34" i="5" s="1"/>
  <c r="L34" i="5" s="1"/>
  <c r="M34" i="5" s="1"/>
  <c r="N34" i="5" s="1"/>
  <c r="O34" i="5" s="1"/>
  <c r="P34" i="5" s="1"/>
  <c r="Q34" i="5" s="1"/>
  <c r="I32" i="5"/>
  <c r="J32" i="5" s="1"/>
  <c r="K32" i="5" s="1"/>
  <c r="L32" i="5" s="1"/>
  <c r="M32" i="5" s="1"/>
  <c r="N32" i="5" s="1"/>
  <c r="O32" i="5" s="1"/>
  <c r="P32" i="5" s="1"/>
  <c r="Q32" i="5" s="1"/>
  <c r="C24" i="11"/>
  <c r="C12" i="20" s="1"/>
  <c r="C14" i="11"/>
  <c r="C18" i="9"/>
  <c r="C30" i="11"/>
  <c r="C27" i="11"/>
  <c r="C17" i="11"/>
  <c r="C20" i="11"/>
  <c r="D48" i="1"/>
  <c r="E48" i="1"/>
  <c r="F48" i="1"/>
  <c r="G48" i="1"/>
  <c r="C48" i="1"/>
  <c r="E47" i="1"/>
  <c r="F47" i="1"/>
  <c r="G47" i="1"/>
  <c r="D47" i="1"/>
  <c r="G25" i="3"/>
  <c r="F25" i="3"/>
  <c r="E25" i="3"/>
  <c r="D25" i="3"/>
  <c r="C25" i="3"/>
  <c r="G40" i="3"/>
  <c r="F40" i="3"/>
  <c r="E40" i="3"/>
  <c r="D40" i="3"/>
  <c r="C40" i="3"/>
  <c r="G36" i="3"/>
  <c r="F36" i="3"/>
  <c r="E36" i="3"/>
  <c r="D36" i="3"/>
  <c r="C36" i="3"/>
  <c r="G35" i="3"/>
  <c r="F35" i="3"/>
  <c r="E35" i="3"/>
  <c r="D35" i="3"/>
  <c r="C35" i="3"/>
  <c r="G31" i="3"/>
  <c r="F31" i="3"/>
  <c r="E31" i="3"/>
  <c r="D31" i="3"/>
  <c r="C31" i="3"/>
  <c r="G29" i="3"/>
  <c r="F29" i="3"/>
  <c r="E29" i="3"/>
  <c r="D29" i="3"/>
  <c r="C29" i="3"/>
  <c r="G19" i="3"/>
  <c r="F19" i="3"/>
  <c r="E19" i="3"/>
  <c r="D19" i="3"/>
  <c r="C19" i="3"/>
  <c r="G18" i="3"/>
  <c r="F18" i="3"/>
  <c r="E18" i="3"/>
  <c r="D18" i="3"/>
  <c r="C18" i="3"/>
  <c r="G17" i="3"/>
  <c r="F17" i="3"/>
  <c r="E17" i="3"/>
  <c r="D17" i="3"/>
  <c r="C17" i="3"/>
  <c r="G16" i="3"/>
  <c r="F16" i="3"/>
  <c r="E16" i="3"/>
  <c r="D16" i="3"/>
  <c r="C16" i="3"/>
  <c r="G15" i="3"/>
  <c r="F15" i="3"/>
  <c r="E15" i="3"/>
  <c r="D15" i="3"/>
  <c r="C15" i="3"/>
  <c r="D11" i="3"/>
  <c r="E11" i="3"/>
  <c r="F11" i="3"/>
  <c r="G11" i="3"/>
  <c r="C11" i="3"/>
  <c r="C9" i="3"/>
  <c r="C8" i="3"/>
  <c r="I40" i="5" l="1"/>
  <c r="J40" i="5" s="1"/>
  <c r="K40" i="5" s="1"/>
  <c r="L40" i="5" s="1"/>
  <c r="M40" i="5" s="1"/>
  <c r="N40" i="5" s="1"/>
  <c r="O40" i="5" s="1"/>
  <c r="P40" i="5" s="1"/>
  <c r="Q40" i="5" s="1"/>
  <c r="H25" i="5" a="1"/>
  <c r="I42" i="5"/>
  <c r="J42" i="5" s="1"/>
  <c r="K42" i="5" s="1"/>
  <c r="L42" i="5" s="1"/>
  <c r="M42" i="5" s="1"/>
  <c r="N42" i="5" s="1"/>
  <c r="O42" i="5" s="1"/>
  <c r="P42" i="5" s="1"/>
  <c r="Q42" i="5" s="1"/>
  <c r="H29" i="5" a="1"/>
  <c r="H18" i="9"/>
  <c r="I18" i="9" s="1"/>
  <c r="J18" i="9" s="1"/>
  <c r="K18" i="9" s="1"/>
  <c r="L18" i="9" s="1"/>
  <c r="M18" i="9" s="1"/>
  <c r="N18" i="9" s="1"/>
  <c r="O18" i="9" s="1"/>
  <c r="P18" i="9" s="1"/>
  <c r="Q18" i="9" s="1"/>
  <c r="J33" i="5"/>
  <c r="K33" i="5" s="1"/>
  <c r="L33" i="5" s="1"/>
  <c r="M33" i="5" s="1"/>
  <c r="N33" i="5" s="1"/>
  <c r="O33" i="5" s="1"/>
  <c r="P33" i="5" s="1"/>
  <c r="Q33" i="5" s="1"/>
  <c r="H17" i="11"/>
  <c r="I17" i="11" s="1"/>
  <c r="J17" i="11" s="1"/>
  <c r="K17" i="11" s="1"/>
  <c r="L17" i="11" s="1"/>
  <c r="M17" i="11" s="1"/>
  <c r="N17" i="11" s="1"/>
  <c r="O17" i="11" s="1"/>
  <c r="P17" i="11" s="1"/>
  <c r="Q17" i="11" s="1"/>
  <c r="F21" i="3"/>
  <c r="F23" i="3" s="1"/>
  <c r="F27" i="3" s="1"/>
  <c r="F33" i="3" s="1"/>
  <c r="F38" i="3" s="1"/>
  <c r="F42" i="3" s="1"/>
  <c r="D21" i="3"/>
  <c r="D23" i="3" s="1"/>
  <c r="D27" i="3" s="1"/>
  <c r="D33" i="3" s="1"/>
  <c r="D38" i="3" s="1"/>
  <c r="D42" i="3" s="1"/>
  <c r="G21" i="3"/>
  <c r="G23" i="3" s="1"/>
  <c r="G27" i="3" s="1"/>
  <c r="G33" i="3" s="1"/>
  <c r="G38" i="3" s="1"/>
  <c r="G42" i="3" s="1"/>
  <c r="E21" i="3"/>
  <c r="E23" i="3" s="1"/>
  <c r="E27" i="3" s="1"/>
  <c r="E33" i="3" s="1"/>
  <c r="E38" i="3" s="1"/>
  <c r="E42" i="3" s="1"/>
  <c r="C21" i="3"/>
  <c r="C23" i="3" s="1"/>
  <c r="C27" i="3" s="1"/>
  <c r="C33" i="3" s="1"/>
  <c r="C38" i="3" s="1"/>
  <c r="C42" i="3" s="1"/>
  <c r="H30" i="11"/>
  <c r="I30" i="11" s="1"/>
  <c r="J30" i="11" s="1"/>
  <c r="K30" i="11" s="1"/>
  <c r="L30" i="11" s="1"/>
  <c r="M30" i="11" s="1"/>
  <c r="N30" i="11" s="1"/>
  <c r="O30" i="11" s="1"/>
  <c r="P30" i="11" s="1"/>
  <c r="Q30" i="11" s="1"/>
  <c r="H20" i="11"/>
  <c r="I20" i="11" s="1"/>
  <c r="J20" i="11" s="1"/>
  <c r="K20" i="11" s="1"/>
  <c r="L20" i="11" s="1"/>
  <c r="M20" i="11" s="1"/>
  <c r="N20" i="11" s="1"/>
  <c r="O20" i="11" s="1"/>
  <c r="P20" i="11" s="1"/>
  <c r="Q20" i="11" s="1"/>
  <c r="E56" i="20"/>
  <c r="E22" i="9"/>
  <c r="E46" i="20" s="1"/>
  <c r="G56" i="20"/>
  <c r="G22" i="9"/>
  <c r="G46" i="20" s="1"/>
  <c r="H14" i="11"/>
  <c r="I14" i="11" s="1"/>
  <c r="J14" i="11" s="1"/>
  <c r="K14" i="11" s="1"/>
  <c r="L14" i="11" s="1"/>
  <c r="M14" i="11" s="1"/>
  <c r="N14" i="11" s="1"/>
  <c r="O14" i="11" s="1"/>
  <c r="P14" i="11" s="1"/>
  <c r="Q14" i="11" s="1"/>
  <c r="D56" i="20"/>
  <c r="D22" i="9"/>
  <c r="D46" i="20" s="1"/>
  <c r="H27" i="11"/>
  <c r="I27" i="11" s="1"/>
  <c r="J27" i="11" s="1"/>
  <c r="K27" i="11" s="1"/>
  <c r="L27" i="11" s="1"/>
  <c r="M27" i="11" s="1"/>
  <c r="N27" i="11" s="1"/>
  <c r="O27" i="11" s="1"/>
  <c r="P27" i="11" s="1"/>
  <c r="Q27" i="11" s="1"/>
  <c r="F56" i="20"/>
  <c r="F22" i="9"/>
  <c r="F46" i="20" s="1"/>
  <c r="C56" i="20"/>
  <c r="C22" i="9"/>
  <c r="C46" i="20" s="1"/>
  <c r="M25" i="5" l="1"/>
  <c r="O25" i="5"/>
  <c r="I25" i="5"/>
  <c r="P25" i="5"/>
  <c r="K25" i="5"/>
  <c r="N25" i="5"/>
  <c r="Q25" i="5"/>
  <c r="L25" i="5"/>
  <c r="H25" i="5"/>
  <c r="H24" i="5" s="1"/>
  <c r="J25" i="5"/>
  <c r="O29" i="5"/>
  <c r="J29" i="5"/>
  <c r="P29" i="5"/>
  <c r="L29" i="5"/>
  <c r="N29" i="5"/>
  <c r="H29" i="5"/>
  <c r="H28" i="5" s="1"/>
  <c r="K29" i="5"/>
  <c r="M29" i="5"/>
  <c r="I29" i="5"/>
  <c r="Q29" i="5"/>
  <c r="G80" i="2"/>
  <c r="G65" i="2"/>
  <c r="G53" i="2"/>
  <c r="G91" i="2" s="1"/>
  <c r="G43" i="2"/>
  <c r="G29" i="2"/>
  <c r="F80" i="2"/>
  <c r="F65" i="2"/>
  <c r="F53" i="2"/>
  <c r="F91" i="2" s="1"/>
  <c r="F43" i="2"/>
  <c r="F29" i="2"/>
  <c r="G21" i="1"/>
  <c r="G13" i="1"/>
  <c r="G13" i="3" s="1"/>
  <c r="F21" i="1"/>
  <c r="F13" i="1"/>
  <c r="F13" i="3" s="1"/>
  <c r="E80" i="2"/>
  <c r="E65" i="2"/>
  <c r="E53" i="2"/>
  <c r="E43" i="2"/>
  <c r="E29" i="2"/>
  <c r="E21" i="1"/>
  <c r="E13" i="1"/>
  <c r="E13" i="3" s="1"/>
  <c r="D80" i="2"/>
  <c r="D65" i="2"/>
  <c r="D53" i="2"/>
  <c r="D91" i="2" s="1"/>
  <c r="D43" i="2"/>
  <c r="D29" i="2"/>
  <c r="D21" i="1"/>
  <c r="D13" i="1"/>
  <c r="C80" i="2"/>
  <c r="C65" i="2"/>
  <c r="C53" i="2"/>
  <c r="C43" i="2"/>
  <c r="C29" i="2"/>
  <c r="C9" i="2"/>
  <c r="C8" i="2"/>
  <c r="C13" i="1"/>
  <c r="C13" i="3" s="1"/>
  <c r="D9" i="1"/>
  <c r="D8" i="1"/>
  <c r="H11" i="5" l="1"/>
  <c r="H15" i="5" s="1"/>
  <c r="H16" i="5" s="1"/>
  <c r="I24" i="5"/>
  <c r="J24" i="5" s="1"/>
  <c r="K24" i="5" s="1"/>
  <c r="L24" i="5" s="1"/>
  <c r="M24" i="5" s="1"/>
  <c r="N24" i="5" s="1"/>
  <c r="O24" i="5" s="1"/>
  <c r="P24" i="5" s="1"/>
  <c r="Q24" i="5" s="1"/>
  <c r="H22" i="5"/>
  <c r="H23" i="5"/>
  <c r="I23" i="5" s="1"/>
  <c r="J23" i="5" s="1"/>
  <c r="K23" i="5" s="1"/>
  <c r="L23" i="5" s="1"/>
  <c r="M23" i="5" s="1"/>
  <c r="N23" i="5" s="1"/>
  <c r="O23" i="5" s="1"/>
  <c r="P23" i="5" s="1"/>
  <c r="Q23" i="5" s="1"/>
  <c r="I28" i="5"/>
  <c r="F88" i="2"/>
  <c r="G23" i="1"/>
  <c r="G45" i="2"/>
  <c r="F45" i="2"/>
  <c r="F115" i="3" s="1"/>
  <c r="E45" i="2"/>
  <c r="E53" i="1" s="1"/>
  <c r="C45" i="2"/>
  <c r="C114" i="3" s="1"/>
  <c r="C87" i="2"/>
  <c r="D88" i="2"/>
  <c r="E87" i="2"/>
  <c r="G88" i="2"/>
  <c r="C112" i="3"/>
  <c r="C54" i="1"/>
  <c r="C52" i="3"/>
  <c r="C67" i="3"/>
  <c r="G114" i="3"/>
  <c r="G110" i="3"/>
  <c r="G106" i="3"/>
  <c r="G97" i="3"/>
  <c r="G80" i="3"/>
  <c r="G71" i="3"/>
  <c r="G75" i="3"/>
  <c r="G113" i="3"/>
  <c r="G109" i="3"/>
  <c r="G100" i="3"/>
  <c r="G96" i="3"/>
  <c r="G88" i="3"/>
  <c r="G68" i="3"/>
  <c r="G72" i="3"/>
  <c r="G76" i="3"/>
  <c r="G49" i="3"/>
  <c r="G53" i="3"/>
  <c r="G58" i="3"/>
  <c r="G98" i="3"/>
  <c r="G90" i="2"/>
  <c r="G53" i="1"/>
  <c r="G54" i="1"/>
  <c r="G118" i="3"/>
  <c r="G112" i="3"/>
  <c r="G108" i="3"/>
  <c r="G99" i="3"/>
  <c r="G95" i="3"/>
  <c r="G87" i="3"/>
  <c r="G69" i="3"/>
  <c r="G73" i="3"/>
  <c r="G77" i="3"/>
  <c r="G67" i="3"/>
  <c r="G50" i="3"/>
  <c r="G55" i="3"/>
  <c r="G59" i="3"/>
  <c r="G115" i="3"/>
  <c r="G111" i="3"/>
  <c r="G107" i="3"/>
  <c r="G94" i="3"/>
  <c r="G86" i="3"/>
  <c r="G90" i="3" s="1"/>
  <c r="G48" i="3"/>
  <c r="G57" i="3"/>
  <c r="G47" i="3"/>
  <c r="G52" i="3"/>
  <c r="G51" i="3"/>
  <c r="G60" i="3"/>
  <c r="G70" i="3"/>
  <c r="G56" i="3"/>
  <c r="G74" i="3"/>
  <c r="G61" i="3"/>
  <c r="F106" i="3"/>
  <c r="F57" i="3"/>
  <c r="C88" i="2"/>
  <c r="E112" i="3"/>
  <c r="E87" i="3"/>
  <c r="E111" i="3"/>
  <c r="E86" i="3"/>
  <c r="E56" i="3"/>
  <c r="E114" i="3"/>
  <c r="E80" i="3"/>
  <c r="E52" i="3"/>
  <c r="E100" i="3"/>
  <c r="E67" i="3"/>
  <c r="E55" i="3"/>
  <c r="E72" i="3"/>
  <c r="D82" i="2"/>
  <c r="C82" i="2"/>
  <c r="C91" i="2"/>
  <c r="E82" i="2"/>
  <c r="E91" i="2"/>
  <c r="G87" i="2"/>
  <c r="D45" i="2"/>
  <c r="D87" i="2"/>
  <c r="E88" i="2"/>
  <c r="F87" i="2"/>
  <c r="G82" i="2"/>
  <c r="F82" i="2"/>
  <c r="D8" i="2"/>
  <c r="D8" i="3"/>
  <c r="E8" i="1"/>
  <c r="D9" i="2"/>
  <c r="D9" i="3"/>
  <c r="D23" i="1"/>
  <c r="D13" i="3"/>
  <c r="G27" i="1"/>
  <c r="G93" i="2"/>
  <c r="G49" i="1"/>
  <c r="E23" i="1"/>
  <c r="C23" i="1"/>
  <c r="F23" i="1"/>
  <c r="E9" i="1"/>
  <c r="E9" i="3" s="1"/>
  <c r="E8" i="2"/>
  <c r="I22" i="5" l="1"/>
  <c r="J22" i="5" s="1"/>
  <c r="K22" i="5" s="1"/>
  <c r="L22" i="5" s="1"/>
  <c r="M22" i="5" s="1"/>
  <c r="N22" i="5" s="1"/>
  <c r="O22" i="5" s="1"/>
  <c r="P22" i="5" s="1"/>
  <c r="Q22" i="5" s="1"/>
  <c r="J28" i="5"/>
  <c r="I11" i="5"/>
  <c r="I15" i="5" s="1"/>
  <c r="I16" i="5" s="1"/>
  <c r="H11" i="14"/>
  <c r="H66" i="14" s="1"/>
  <c r="H11" i="9"/>
  <c r="F56" i="3"/>
  <c r="F68" i="3"/>
  <c r="C111" i="3"/>
  <c r="F113" i="3"/>
  <c r="F55" i="3"/>
  <c r="C87" i="3"/>
  <c r="E90" i="2"/>
  <c r="F58" i="3"/>
  <c r="F70" i="3"/>
  <c r="F99" i="3"/>
  <c r="F77" i="3"/>
  <c r="F54" i="1"/>
  <c r="F98" i="3"/>
  <c r="C57" i="3"/>
  <c r="C50" i="3"/>
  <c r="C53" i="3"/>
  <c r="F49" i="3"/>
  <c r="F88" i="3"/>
  <c r="F108" i="3"/>
  <c r="F73" i="3"/>
  <c r="F53" i="1"/>
  <c r="F107" i="3"/>
  <c r="F47" i="3"/>
  <c r="F60" i="3"/>
  <c r="F109" i="3"/>
  <c r="F59" i="3"/>
  <c r="F97" i="3"/>
  <c r="F72" i="3"/>
  <c r="C68" i="3"/>
  <c r="C109" i="3"/>
  <c r="C80" i="3"/>
  <c r="C48" i="3"/>
  <c r="C74" i="3"/>
  <c r="C70" i="3"/>
  <c r="C90" i="2"/>
  <c r="C77" i="3"/>
  <c r="C95" i="3"/>
  <c r="C118" i="3"/>
  <c r="C115" i="3"/>
  <c r="C49" i="3"/>
  <c r="C88" i="3"/>
  <c r="C113" i="3"/>
  <c r="C97" i="3"/>
  <c r="C60" i="3"/>
  <c r="C56" i="3"/>
  <c r="C86" i="3"/>
  <c r="C59" i="3"/>
  <c r="C73" i="3"/>
  <c r="C99" i="3"/>
  <c r="C94" i="3"/>
  <c r="C47" i="3"/>
  <c r="C76" i="3"/>
  <c r="C96" i="3"/>
  <c r="C75" i="3"/>
  <c r="C106" i="3"/>
  <c r="C51" i="3"/>
  <c r="C61" i="3"/>
  <c r="C98" i="3"/>
  <c r="C55" i="3"/>
  <c r="C69" i="3"/>
  <c r="C108" i="3"/>
  <c r="C107" i="3"/>
  <c r="C58" i="3"/>
  <c r="C72" i="3"/>
  <c r="C100" i="3"/>
  <c r="C71" i="3"/>
  <c r="C110" i="3"/>
  <c r="E77" i="3"/>
  <c r="E47" i="3"/>
  <c r="E97" i="3"/>
  <c r="E51" i="3"/>
  <c r="E115" i="3"/>
  <c r="E58" i="3"/>
  <c r="E59" i="3"/>
  <c r="E88" i="3"/>
  <c r="E90" i="3" s="1"/>
  <c r="E61" i="3"/>
  <c r="E75" i="3"/>
  <c r="E106" i="3"/>
  <c r="E113" i="3"/>
  <c r="E74" i="3"/>
  <c r="E98" i="3"/>
  <c r="E73" i="3"/>
  <c r="E99" i="3"/>
  <c r="E54" i="1"/>
  <c r="F61" i="3"/>
  <c r="F48" i="3"/>
  <c r="F71" i="3"/>
  <c r="F51" i="3"/>
  <c r="F96" i="3"/>
  <c r="F87" i="3"/>
  <c r="F112" i="3"/>
  <c r="F50" i="3"/>
  <c r="F69" i="3"/>
  <c r="F110" i="3"/>
  <c r="F90" i="2"/>
  <c r="F86" i="3"/>
  <c r="F111" i="3"/>
  <c r="C53" i="1"/>
  <c r="E68" i="3"/>
  <c r="E76" i="3"/>
  <c r="E48" i="3"/>
  <c r="E109" i="3"/>
  <c r="E94" i="3"/>
  <c r="E95" i="3"/>
  <c r="E118" i="3"/>
  <c r="E53" i="3"/>
  <c r="E49" i="3"/>
  <c r="E50" i="3"/>
  <c r="E96" i="3"/>
  <c r="E57" i="3"/>
  <c r="E71" i="3"/>
  <c r="E110" i="3"/>
  <c r="E60" i="3"/>
  <c r="E70" i="3"/>
  <c r="E107" i="3"/>
  <c r="E69" i="3"/>
  <c r="E108" i="3"/>
  <c r="F52" i="3"/>
  <c r="F75" i="3"/>
  <c r="F53" i="3"/>
  <c r="F74" i="3"/>
  <c r="F100" i="3"/>
  <c r="F95" i="3"/>
  <c r="F118" i="3"/>
  <c r="F67" i="3"/>
  <c r="F80" i="3"/>
  <c r="F114" i="3"/>
  <c r="F76" i="3"/>
  <c r="F94" i="3"/>
  <c r="D113" i="3"/>
  <c r="D109" i="3"/>
  <c r="D100" i="3"/>
  <c r="D96" i="3"/>
  <c r="D88" i="3"/>
  <c r="D70" i="3"/>
  <c r="D74" i="3"/>
  <c r="D118" i="3"/>
  <c r="D112" i="3"/>
  <c r="D108" i="3"/>
  <c r="D99" i="3"/>
  <c r="D95" i="3"/>
  <c r="D87" i="3"/>
  <c r="D71" i="3"/>
  <c r="D75" i="3"/>
  <c r="D48" i="3"/>
  <c r="D52" i="3"/>
  <c r="D57" i="3"/>
  <c r="D61" i="3"/>
  <c r="D47" i="3"/>
  <c r="D54" i="1"/>
  <c r="D106" i="3"/>
  <c r="D97" i="3"/>
  <c r="D115" i="3"/>
  <c r="D111" i="3"/>
  <c r="D107" i="3"/>
  <c r="D98" i="3"/>
  <c r="D94" i="3"/>
  <c r="D86" i="3"/>
  <c r="D68" i="3"/>
  <c r="D72" i="3"/>
  <c r="D76" i="3"/>
  <c r="D49" i="3"/>
  <c r="D53" i="3"/>
  <c r="D58" i="3"/>
  <c r="D90" i="2"/>
  <c r="D53" i="1"/>
  <c r="D114" i="3"/>
  <c r="D110" i="3"/>
  <c r="D73" i="3"/>
  <c r="D56" i="3"/>
  <c r="D60" i="3"/>
  <c r="D69" i="3"/>
  <c r="D80" i="3"/>
  <c r="D77" i="3"/>
  <c r="D55" i="3"/>
  <c r="D51" i="3"/>
  <c r="D67" i="3"/>
  <c r="D50" i="3"/>
  <c r="D59" i="3"/>
  <c r="G79" i="3"/>
  <c r="G102" i="3"/>
  <c r="G63" i="3"/>
  <c r="G117" i="3"/>
  <c r="F8" i="1"/>
  <c r="E8" i="3"/>
  <c r="F27" i="1"/>
  <c r="F93" i="2"/>
  <c r="F49" i="1"/>
  <c r="G33" i="1"/>
  <c r="G38" i="1" s="1"/>
  <c r="G92" i="2"/>
  <c r="G50" i="1"/>
  <c r="E27" i="1"/>
  <c r="E93" i="2"/>
  <c r="E49" i="1"/>
  <c r="D27" i="1"/>
  <c r="D93" i="2"/>
  <c r="D49" i="1"/>
  <c r="H11" i="15"/>
  <c r="H11" i="11"/>
  <c r="C27" i="1"/>
  <c r="C93" i="2"/>
  <c r="C49" i="1"/>
  <c r="F9" i="1"/>
  <c r="F9" i="3" s="1"/>
  <c r="E9" i="2"/>
  <c r="K28" i="5" l="1"/>
  <c r="J11" i="5"/>
  <c r="J15" i="5" s="1"/>
  <c r="J16" i="5" s="1"/>
  <c r="H15" i="14"/>
  <c r="H18" i="17" s="1"/>
  <c r="H25" i="14"/>
  <c r="H25" i="17" s="1"/>
  <c r="H64" i="18" s="1"/>
  <c r="H36" i="14"/>
  <c r="H38" i="17" s="1"/>
  <c r="H40" i="18" s="1"/>
  <c r="H32" i="14"/>
  <c r="H33" i="17" s="1"/>
  <c r="H51" i="14"/>
  <c r="H61" i="17" s="1"/>
  <c r="H75" i="18" s="1"/>
  <c r="H45" i="14"/>
  <c r="H58" i="17" s="1"/>
  <c r="H53" i="14"/>
  <c r="H62" i="17" s="1"/>
  <c r="H76" i="18" s="1"/>
  <c r="H64" i="14"/>
  <c r="H73" i="17" s="1"/>
  <c r="H22" i="18" s="1"/>
  <c r="H17" i="14"/>
  <c r="H20" i="17" s="1"/>
  <c r="H59" i="18" s="1"/>
  <c r="H49" i="14"/>
  <c r="H60" i="17" s="1"/>
  <c r="H74" i="18" s="1"/>
  <c r="H23" i="14"/>
  <c r="H24" i="17" s="1"/>
  <c r="H63" i="18" s="1"/>
  <c r="H27" i="14"/>
  <c r="H26" i="17" s="1"/>
  <c r="H65" i="18" s="1"/>
  <c r="H70" i="14"/>
  <c r="H77" i="17" s="1"/>
  <c r="H26" i="18" s="1"/>
  <c r="H60" i="14"/>
  <c r="H70" i="17" s="1"/>
  <c r="H34" i="14"/>
  <c r="H37" i="17" s="1"/>
  <c r="H39" i="18" s="1"/>
  <c r="H68" i="14"/>
  <c r="H76" i="17" s="1"/>
  <c r="H25" i="18" s="1"/>
  <c r="H21" i="14"/>
  <c r="H23" i="17" s="1"/>
  <c r="H62" i="18" s="1"/>
  <c r="H34" i="17"/>
  <c r="H36" i="18" s="1"/>
  <c r="I11" i="14"/>
  <c r="I53" i="14" s="1"/>
  <c r="I11" i="9"/>
  <c r="H19" i="14"/>
  <c r="H22" i="17" s="1"/>
  <c r="H61" i="18" s="1"/>
  <c r="H40" i="14"/>
  <c r="H41" i="17" s="1"/>
  <c r="H43" i="18" s="1"/>
  <c r="H47" i="14"/>
  <c r="H59" i="17" s="1"/>
  <c r="H73" i="18" s="1"/>
  <c r="H55" i="14"/>
  <c r="H64" i="17" s="1"/>
  <c r="H78" i="18" s="1"/>
  <c r="H62" i="14"/>
  <c r="H72" i="17" s="1"/>
  <c r="H21" i="18" s="1"/>
  <c r="C102" i="3"/>
  <c r="F79" i="3"/>
  <c r="C79" i="3"/>
  <c r="F102" i="3"/>
  <c r="E117" i="3"/>
  <c r="C117" i="3"/>
  <c r="C90" i="3"/>
  <c r="F90" i="3"/>
  <c r="F63" i="3"/>
  <c r="E102" i="3"/>
  <c r="C63" i="3"/>
  <c r="C81" i="3" s="1"/>
  <c r="E79" i="3"/>
  <c r="G81" i="3"/>
  <c r="I70" i="14"/>
  <c r="F117" i="3"/>
  <c r="E63" i="3"/>
  <c r="C119" i="3"/>
  <c r="G119" i="3"/>
  <c r="D90" i="3"/>
  <c r="F81" i="3"/>
  <c r="D79" i="3"/>
  <c r="D102" i="3"/>
  <c r="D63" i="3"/>
  <c r="E119" i="3"/>
  <c r="D117" i="3"/>
  <c r="G8" i="1"/>
  <c r="F8" i="3"/>
  <c r="F8" i="2"/>
  <c r="G42" i="1"/>
  <c r="G35" i="11"/>
  <c r="E33" i="1"/>
  <c r="E38" i="1" s="1"/>
  <c r="E92" i="2"/>
  <c r="E50" i="1"/>
  <c r="D33" i="1"/>
  <c r="D38" i="1" s="1"/>
  <c r="D50" i="1"/>
  <c r="D92" i="2"/>
  <c r="F33" i="1"/>
  <c r="F38" i="1" s="1"/>
  <c r="F92" i="2"/>
  <c r="F50" i="1"/>
  <c r="H19" i="11"/>
  <c r="H16" i="15" s="1"/>
  <c r="H26" i="11"/>
  <c r="H17" i="15" s="1"/>
  <c r="H13" i="11"/>
  <c r="H29" i="11"/>
  <c r="H18" i="15" s="1"/>
  <c r="H16" i="11"/>
  <c r="H15" i="15" s="1"/>
  <c r="I11" i="11"/>
  <c r="I11" i="15"/>
  <c r="H75" i="17"/>
  <c r="H24" i="18" s="1"/>
  <c r="H66" i="20"/>
  <c r="C33" i="1"/>
  <c r="C38" i="1" s="1"/>
  <c r="C35" i="11" s="1"/>
  <c r="C41" i="15" s="1"/>
  <c r="C50" i="1"/>
  <c r="C92" i="2"/>
  <c r="G9" i="1"/>
  <c r="F9" i="2"/>
  <c r="L28" i="5" l="1"/>
  <c r="K11" i="5"/>
  <c r="K15" i="5" s="1"/>
  <c r="K16" i="5" s="1"/>
  <c r="I66" i="14"/>
  <c r="I75" i="17" s="1"/>
  <c r="I24" i="18" s="1"/>
  <c r="I60" i="14"/>
  <c r="I70" i="17" s="1"/>
  <c r="I36" i="14"/>
  <c r="I38" i="17" s="1"/>
  <c r="I40" i="18" s="1"/>
  <c r="I49" i="14"/>
  <c r="I60" i="17" s="1"/>
  <c r="I74" i="18" s="1"/>
  <c r="I47" i="14"/>
  <c r="I59" i="17" s="1"/>
  <c r="I73" i="18" s="1"/>
  <c r="I25" i="14"/>
  <c r="I25" i="17" s="1"/>
  <c r="I64" i="18" s="1"/>
  <c r="I51" i="14"/>
  <c r="I61" i="17" s="1"/>
  <c r="I75" i="18" s="1"/>
  <c r="I55" i="14"/>
  <c r="I64" i="17" s="1"/>
  <c r="I78" i="18" s="1"/>
  <c r="I15" i="14"/>
  <c r="I18" i="17" s="1"/>
  <c r="I23" i="14"/>
  <c r="I24" i="17" s="1"/>
  <c r="I63" i="18" s="1"/>
  <c r="I62" i="14"/>
  <c r="I72" i="17" s="1"/>
  <c r="I21" i="18" s="1"/>
  <c r="I34" i="17"/>
  <c r="I36" i="18" s="1"/>
  <c r="J11" i="14"/>
  <c r="J53" i="14" s="1"/>
  <c r="J11" i="9"/>
  <c r="I45" i="14"/>
  <c r="I58" i="17" s="1"/>
  <c r="I17" i="14"/>
  <c r="I20" i="17" s="1"/>
  <c r="I59" i="18" s="1"/>
  <c r="I32" i="14"/>
  <c r="I33" i="17" s="1"/>
  <c r="I40" i="14"/>
  <c r="I41" i="17" s="1"/>
  <c r="I43" i="18" s="1"/>
  <c r="I64" i="14"/>
  <c r="I73" i="17" s="1"/>
  <c r="I22" i="18" s="1"/>
  <c r="I68" i="14"/>
  <c r="I76" i="17" s="1"/>
  <c r="I25" i="18" s="1"/>
  <c r="I19" i="14"/>
  <c r="I22" i="17" s="1"/>
  <c r="I61" i="18" s="1"/>
  <c r="I27" i="14"/>
  <c r="I26" i="17" s="1"/>
  <c r="I65" i="18" s="1"/>
  <c r="I34" i="14"/>
  <c r="I37" i="17" s="1"/>
  <c r="I39" i="18" s="1"/>
  <c r="I21" i="14"/>
  <c r="I23" i="17" s="1"/>
  <c r="I62" i="18" s="1"/>
  <c r="E81" i="3"/>
  <c r="F119" i="3"/>
  <c r="D81" i="3"/>
  <c r="D119" i="3"/>
  <c r="G9" i="2"/>
  <c r="G9" i="3"/>
  <c r="G8" i="2"/>
  <c r="G8" i="3"/>
  <c r="C47" i="15"/>
  <c r="C22" i="20"/>
  <c r="C68" i="20"/>
  <c r="C35" i="20"/>
  <c r="C31" i="20"/>
  <c r="E42" i="1"/>
  <c r="E35" i="11"/>
  <c r="E12" i="28" s="1"/>
  <c r="E17" i="28" s="1"/>
  <c r="D42" i="1"/>
  <c r="D35" i="11"/>
  <c r="D12" i="28" s="1"/>
  <c r="D17" i="28" s="1"/>
  <c r="G12" i="28"/>
  <c r="G17" i="28" s="1"/>
  <c r="F42" i="1"/>
  <c r="F35" i="11"/>
  <c r="F12" i="28" s="1"/>
  <c r="F17" i="28" s="1"/>
  <c r="G52" i="1"/>
  <c r="G55" i="1"/>
  <c r="G51" i="1"/>
  <c r="H32" i="11"/>
  <c r="H28" i="15" s="1"/>
  <c r="H72" i="18"/>
  <c r="H66" i="17"/>
  <c r="H14" i="15"/>
  <c r="H20" i="15" s="1"/>
  <c r="H22" i="15" s="1"/>
  <c r="H22" i="11"/>
  <c r="H19" i="18"/>
  <c r="H28" i="17"/>
  <c r="H57" i="18"/>
  <c r="I66" i="20"/>
  <c r="H35" i="18"/>
  <c r="I19" i="11"/>
  <c r="I16" i="15" s="1"/>
  <c r="I26" i="11"/>
  <c r="I17" i="15" s="1"/>
  <c r="I13" i="11"/>
  <c r="I29" i="11"/>
  <c r="I18" i="15" s="1"/>
  <c r="I16" i="11"/>
  <c r="I15" i="15" s="1"/>
  <c r="J11" i="11"/>
  <c r="J11" i="15"/>
  <c r="I77" i="17"/>
  <c r="I26" i="18" s="1"/>
  <c r="I62" i="17"/>
  <c r="I76" i="18" s="1"/>
  <c r="H56" i="20"/>
  <c r="C42" i="1"/>
  <c r="C51" i="1" s="1"/>
  <c r="M28" i="5" l="1"/>
  <c r="L11" i="5"/>
  <c r="L15" i="5" s="1"/>
  <c r="L16" i="5" s="1"/>
  <c r="J34" i="14"/>
  <c r="J37" i="17" s="1"/>
  <c r="J39" i="18" s="1"/>
  <c r="J17" i="14"/>
  <c r="J20" i="17" s="1"/>
  <c r="J59" i="18" s="1"/>
  <c r="J25" i="14"/>
  <c r="J25" i="17" s="1"/>
  <c r="J64" i="18" s="1"/>
  <c r="J32" i="14"/>
  <c r="J33" i="17" s="1"/>
  <c r="J62" i="14"/>
  <c r="J72" i="17" s="1"/>
  <c r="J21" i="18" s="1"/>
  <c r="J23" i="14"/>
  <c r="J24" i="17" s="1"/>
  <c r="J63" i="18" s="1"/>
  <c r="H13" i="9"/>
  <c r="H71" i="17" s="1"/>
  <c r="H62" i="20" s="1"/>
  <c r="H12" i="9"/>
  <c r="J60" i="14"/>
  <c r="J70" i="17" s="1"/>
  <c r="J64" i="14"/>
  <c r="J73" i="17" s="1"/>
  <c r="J22" i="18" s="1"/>
  <c r="J55" i="14"/>
  <c r="J64" i="17" s="1"/>
  <c r="J78" i="18" s="1"/>
  <c r="J40" i="14"/>
  <c r="J41" i="17" s="1"/>
  <c r="J43" i="18" s="1"/>
  <c r="J19" i="14"/>
  <c r="J22" i="17" s="1"/>
  <c r="J61" i="18" s="1"/>
  <c r="J70" i="14"/>
  <c r="J77" i="17" s="1"/>
  <c r="J26" i="18" s="1"/>
  <c r="J51" i="14"/>
  <c r="J61" i="17" s="1"/>
  <c r="J75" i="18" s="1"/>
  <c r="J47" i="14"/>
  <c r="J59" i="17" s="1"/>
  <c r="J73" i="18" s="1"/>
  <c r="J15" i="14"/>
  <c r="J18" i="17" s="1"/>
  <c r="J36" i="14"/>
  <c r="J38" i="17" s="1"/>
  <c r="J40" i="18" s="1"/>
  <c r="J68" i="14"/>
  <c r="J76" i="17" s="1"/>
  <c r="J25" i="18" s="1"/>
  <c r="J49" i="14"/>
  <c r="J60" i="17" s="1"/>
  <c r="J74" i="18" s="1"/>
  <c r="K11" i="14"/>
  <c r="K62" i="14" s="1"/>
  <c r="K11" i="9"/>
  <c r="J66" i="14"/>
  <c r="J75" i="17" s="1"/>
  <c r="J24" i="18" s="1"/>
  <c r="J21" i="14"/>
  <c r="J23" i="17" s="1"/>
  <c r="J62" i="18" s="1"/>
  <c r="J45" i="14"/>
  <c r="J58" i="17" s="1"/>
  <c r="J27" i="14"/>
  <c r="J26" i="17" s="1"/>
  <c r="J65" i="18" s="1"/>
  <c r="J34" i="17"/>
  <c r="J36" i="18" s="1"/>
  <c r="F52" i="1"/>
  <c r="F55" i="1"/>
  <c r="F51" i="1"/>
  <c r="C31" i="28"/>
  <c r="E31" i="28" s="1"/>
  <c r="E51" i="1"/>
  <c r="E55" i="1"/>
  <c r="E52" i="1"/>
  <c r="D51" i="1"/>
  <c r="D52" i="1"/>
  <c r="D55" i="1"/>
  <c r="I32" i="11"/>
  <c r="I28" i="15" s="1"/>
  <c r="I66" i="17"/>
  <c r="I72" i="18"/>
  <c r="J26" i="11"/>
  <c r="J17" i="15" s="1"/>
  <c r="J13" i="11"/>
  <c r="J29" i="11"/>
  <c r="J18" i="15" s="1"/>
  <c r="J19" i="11"/>
  <c r="J16" i="15" s="1"/>
  <c r="J16" i="11"/>
  <c r="J15" i="15" s="1"/>
  <c r="H64" i="20"/>
  <c r="H24" i="11"/>
  <c r="H12" i="20" s="1"/>
  <c r="H26" i="15"/>
  <c r="H14" i="20"/>
  <c r="K11" i="15"/>
  <c r="K11" i="11"/>
  <c r="J62" i="17"/>
  <c r="J76" i="18" s="1"/>
  <c r="I56" i="20"/>
  <c r="I57" i="18"/>
  <c r="I28" i="17"/>
  <c r="I14" i="15"/>
  <c r="I20" i="15" s="1"/>
  <c r="I22" i="15" s="1"/>
  <c r="I22" i="11"/>
  <c r="I19" i="18"/>
  <c r="I35" i="18"/>
  <c r="J66" i="20"/>
  <c r="H16" i="18"/>
  <c r="H84" i="18"/>
  <c r="N28" i="5" l="1"/>
  <c r="M11" i="5"/>
  <c r="M15" i="5" s="1"/>
  <c r="M16" i="5" s="1"/>
  <c r="K15" i="14"/>
  <c r="K18" i="17" s="1"/>
  <c r="K40" i="14"/>
  <c r="K41" i="17" s="1"/>
  <c r="K43" i="18" s="1"/>
  <c r="K49" i="14"/>
  <c r="K60" i="17" s="1"/>
  <c r="K74" i="18" s="1"/>
  <c r="K36" i="14"/>
  <c r="K38" i="17" s="1"/>
  <c r="K40" i="18" s="1"/>
  <c r="K19" i="14"/>
  <c r="K22" i="17" s="1"/>
  <c r="K61" i="18" s="1"/>
  <c r="K60" i="14"/>
  <c r="K70" i="17" s="1"/>
  <c r="K45" i="14"/>
  <c r="K58" i="17" s="1"/>
  <c r="K21" i="14"/>
  <c r="K23" i="17" s="1"/>
  <c r="K62" i="18" s="1"/>
  <c r="K25" i="14"/>
  <c r="K25" i="17" s="1"/>
  <c r="K64" i="18" s="1"/>
  <c r="K70" i="14"/>
  <c r="K77" i="17" s="1"/>
  <c r="K26" i="18" s="1"/>
  <c r="H31" i="17"/>
  <c r="H15" i="9"/>
  <c r="L11" i="14"/>
  <c r="L53" i="14" s="1"/>
  <c r="L11" i="9"/>
  <c r="K66" i="14"/>
  <c r="K75" i="17" s="1"/>
  <c r="K24" i="18" s="1"/>
  <c r="I12" i="9"/>
  <c r="I13" i="9"/>
  <c r="I71" i="17" s="1"/>
  <c r="I62" i="20" s="1"/>
  <c r="K68" i="14"/>
  <c r="K76" i="17" s="1"/>
  <c r="K25" i="18" s="1"/>
  <c r="K32" i="14"/>
  <c r="K33" i="17" s="1"/>
  <c r="K64" i="14"/>
  <c r="K73" i="17" s="1"/>
  <c r="K22" i="18" s="1"/>
  <c r="K17" i="14"/>
  <c r="K20" i="17" s="1"/>
  <c r="K59" i="18" s="1"/>
  <c r="K55" i="14"/>
  <c r="K64" i="17" s="1"/>
  <c r="K78" i="18" s="1"/>
  <c r="K53" i="14"/>
  <c r="K62" i="17" s="1"/>
  <c r="K76" i="18" s="1"/>
  <c r="K34" i="17"/>
  <c r="K36" i="18" s="1"/>
  <c r="K27" i="14"/>
  <c r="K26" i="17" s="1"/>
  <c r="K65" i="18" s="1"/>
  <c r="K23" i="14"/>
  <c r="K24" i="17" s="1"/>
  <c r="K63" i="18" s="1"/>
  <c r="K47" i="14"/>
  <c r="K59" i="17" s="1"/>
  <c r="K73" i="18" s="1"/>
  <c r="K51" i="14"/>
  <c r="K61" i="17" s="1"/>
  <c r="K75" i="18" s="1"/>
  <c r="K34" i="14"/>
  <c r="K37" i="17" s="1"/>
  <c r="K39" i="18" s="1"/>
  <c r="H20" i="18"/>
  <c r="H79" i="17"/>
  <c r="L11" i="11"/>
  <c r="L11" i="15"/>
  <c r="H11" i="28"/>
  <c r="H12" i="28" s="1"/>
  <c r="H16" i="20"/>
  <c r="J22" i="11"/>
  <c r="J14" i="15"/>
  <c r="J20" i="15" s="1"/>
  <c r="J22" i="15" s="1"/>
  <c r="J66" i="17"/>
  <c r="J72" i="18"/>
  <c r="J32" i="11"/>
  <c r="J28" i="15" s="1"/>
  <c r="K16" i="11"/>
  <c r="K15" i="15" s="1"/>
  <c r="K19" i="11"/>
  <c r="K16" i="15" s="1"/>
  <c r="K29" i="11"/>
  <c r="K18" i="15" s="1"/>
  <c r="K26" i="11"/>
  <c r="K17" i="15" s="1"/>
  <c r="K13" i="11"/>
  <c r="J56" i="20"/>
  <c r="J57" i="18"/>
  <c r="J28" i="17"/>
  <c r="K72" i="17"/>
  <c r="K21" i="18" s="1"/>
  <c r="K66" i="20"/>
  <c r="H60" i="20"/>
  <c r="H22" i="9"/>
  <c r="H46" i="20" s="1"/>
  <c r="I26" i="15"/>
  <c r="I14" i="20"/>
  <c r="I64" i="20"/>
  <c r="I24" i="11"/>
  <c r="I12" i="20" s="1"/>
  <c r="J19" i="18"/>
  <c r="J35" i="18"/>
  <c r="I84" i="18"/>
  <c r="I16" i="18"/>
  <c r="O28" i="5" l="1"/>
  <c r="N11" i="5"/>
  <c r="N15" i="5" s="1"/>
  <c r="N16" i="5" s="1"/>
  <c r="L27" i="14"/>
  <c r="L26" i="17" s="1"/>
  <c r="L65" i="18" s="1"/>
  <c r="L51" i="14"/>
  <c r="L61" i="17" s="1"/>
  <c r="L75" i="18" s="1"/>
  <c r="L49" i="14"/>
  <c r="L60" i="17" s="1"/>
  <c r="L74" i="18" s="1"/>
  <c r="L32" i="14"/>
  <c r="L33" i="17" s="1"/>
  <c r="L17" i="14"/>
  <c r="L20" i="17" s="1"/>
  <c r="L59" i="18" s="1"/>
  <c r="L47" i="14"/>
  <c r="L59" i="17" s="1"/>
  <c r="L73" i="18" s="1"/>
  <c r="L23" i="14"/>
  <c r="L24" i="17" s="1"/>
  <c r="L63" i="18" s="1"/>
  <c r="L68" i="14"/>
  <c r="L76" i="17" s="1"/>
  <c r="L25" i="18" s="1"/>
  <c r="L40" i="14"/>
  <c r="L41" i="17" s="1"/>
  <c r="L43" i="18" s="1"/>
  <c r="L60" i="14"/>
  <c r="L70" i="17" s="1"/>
  <c r="L21" i="14"/>
  <c r="L23" i="17" s="1"/>
  <c r="L62" i="18" s="1"/>
  <c r="L70" i="14"/>
  <c r="L77" i="17" s="1"/>
  <c r="L26" i="18" s="1"/>
  <c r="L34" i="14"/>
  <c r="L37" i="17" s="1"/>
  <c r="L39" i="18" s="1"/>
  <c r="L36" i="14"/>
  <c r="L38" i="17" s="1"/>
  <c r="L40" i="18" s="1"/>
  <c r="L64" i="14"/>
  <c r="L73" i="17" s="1"/>
  <c r="L22" i="18" s="1"/>
  <c r="L15" i="14"/>
  <c r="L18" i="17" s="1"/>
  <c r="L25" i="14"/>
  <c r="L25" i="17" s="1"/>
  <c r="L64" i="18" s="1"/>
  <c r="L62" i="14"/>
  <c r="L72" i="17" s="1"/>
  <c r="L21" i="18" s="1"/>
  <c r="L19" i="14"/>
  <c r="L22" i="17" s="1"/>
  <c r="L61" i="18" s="1"/>
  <c r="L66" i="14"/>
  <c r="L75" i="17" s="1"/>
  <c r="L24" i="18" s="1"/>
  <c r="L55" i="14"/>
  <c r="L64" i="17" s="1"/>
  <c r="L78" i="18" s="1"/>
  <c r="L45" i="14"/>
  <c r="L58" i="17" s="1"/>
  <c r="J13" i="9"/>
  <c r="J71" i="17" s="1"/>
  <c r="J62" i="20" s="1"/>
  <c r="J12" i="9"/>
  <c r="L34" i="17"/>
  <c r="L36" i="18" s="1"/>
  <c r="M11" i="14"/>
  <c r="M62" i="14" s="1"/>
  <c r="M11" i="9"/>
  <c r="I20" i="18"/>
  <c r="I79" i="17"/>
  <c r="I31" i="17"/>
  <c r="I15" i="9"/>
  <c r="H34" i="18"/>
  <c r="H15" i="28" s="1"/>
  <c r="H58" i="20"/>
  <c r="J16" i="18"/>
  <c r="J84" i="18"/>
  <c r="I60" i="20"/>
  <c r="I22" i="9"/>
  <c r="I46" i="20" s="1"/>
  <c r="I16" i="20"/>
  <c r="I11" i="28"/>
  <c r="I12" i="28" s="1"/>
  <c r="K57" i="18"/>
  <c r="K28" i="17"/>
  <c r="K35" i="18"/>
  <c r="L62" i="17"/>
  <c r="L76" i="18" s="1"/>
  <c r="K22" i="11"/>
  <c r="K14" i="15"/>
  <c r="K20" i="15" s="1"/>
  <c r="K22" i="15" s="1"/>
  <c r="K56" i="20"/>
  <c r="J14" i="20"/>
  <c r="J26" i="15"/>
  <c r="L66" i="20"/>
  <c r="K32" i="11"/>
  <c r="K28" i="15" s="1"/>
  <c r="K72" i="18"/>
  <c r="K66" i="17"/>
  <c r="K19" i="18"/>
  <c r="M11" i="15"/>
  <c r="M11" i="11"/>
  <c r="J64" i="20"/>
  <c r="J24" i="11"/>
  <c r="J12" i="20" s="1"/>
  <c r="L16" i="11"/>
  <c r="L15" i="15" s="1"/>
  <c r="L19" i="11"/>
  <c r="L16" i="15" s="1"/>
  <c r="L26" i="11"/>
  <c r="L17" i="15" s="1"/>
  <c r="L13" i="11"/>
  <c r="L29" i="11"/>
  <c r="L18" i="15" s="1"/>
  <c r="P28" i="5" l="1"/>
  <c r="O11" i="5"/>
  <c r="O15" i="5" s="1"/>
  <c r="O16" i="5" s="1"/>
  <c r="H17" i="28"/>
  <c r="M23" i="14"/>
  <c r="M24" i="17" s="1"/>
  <c r="M63" i="18" s="1"/>
  <c r="M66" i="14"/>
  <c r="M75" i="17" s="1"/>
  <c r="M24" i="18" s="1"/>
  <c r="M15" i="14"/>
  <c r="M18" i="17" s="1"/>
  <c r="M21" i="14"/>
  <c r="M23" i="17" s="1"/>
  <c r="M62" i="18" s="1"/>
  <c r="M34" i="14"/>
  <c r="M37" i="17" s="1"/>
  <c r="M39" i="18" s="1"/>
  <c r="M45" i="14"/>
  <c r="M58" i="17" s="1"/>
  <c r="M19" i="14"/>
  <c r="M22" i="17" s="1"/>
  <c r="M61" i="18" s="1"/>
  <c r="M47" i="14"/>
  <c r="M59" i="17" s="1"/>
  <c r="M73" i="18" s="1"/>
  <c r="M27" i="14"/>
  <c r="M26" i="17" s="1"/>
  <c r="M65" i="18" s="1"/>
  <c r="M49" i="14"/>
  <c r="M60" i="17" s="1"/>
  <c r="M74" i="18" s="1"/>
  <c r="M17" i="14"/>
  <c r="M20" i="17" s="1"/>
  <c r="M59" i="18" s="1"/>
  <c r="M60" i="14"/>
  <c r="M70" i="17" s="1"/>
  <c r="M25" i="14"/>
  <c r="M25" i="17" s="1"/>
  <c r="M64" i="18" s="1"/>
  <c r="M64" i="14"/>
  <c r="M73" i="17" s="1"/>
  <c r="M22" i="18" s="1"/>
  <c r="M70" i="14"/>
  <c r="M77" i="17" s="1"/>
  <c r="M26" i="18" s="1"/>
  <c r="M51" i="14"/>
  <c r="M61" i="17" s="1"/>
  <c r="M75" i="18" s="1"/>
  <c r="M55" i="14"/>
  <c r="M64" i="17" s="1"/>
  <c r="M78" i="18" s="1"/>
  <c r="M36" i="14"/>
  <c r="M38" i="17" s="1"/>
  <c r="M40" i="18" s="1"/>
  <c r="M68" i="14"/>
  <c r="M76" i="17" s="1"/>
  <c r="M25" i="18" s="1"/>
  <c r="M40" i="14"/>
  <c r="M41" i="17" s="1"/>
  <c r="M43" i="18" s="1"/>
  <c r="M53" i="14"/>
  <c r="M62" i="17" s="1"/>
  <c r="M76" i="18" s="1"/>
  <c r="M32" i="14"/>
  <c r="M33" i="17" s="1"/>
  <c r="N11" i="14"/>
  <c r="N49" i="14" s="1"/>
  <c r="N11" i="9"/>
  <c r="I34" i="18"/>
  <c r="I58" i="20"/>
  <c r="M34" i="17"/>
  <c r="M36" i="18" s="1"/>
  <c r="J31" i="17"/>
  <c r="J15" i="9"/>
  <c r="K13" i="9"/>
  <c r="K71" i="17" s="1"/>
  <c r="K62" i="20" s="1"/>
  <c r="K12" i="9"/>
  <c r="J20" i="18"/>
  <c r="J79" i="17"/>
  <c r="L14" i="15"/>
  <c r="L20" i="15" s="1"/>
  <c r="L22" i="15" s="1"/>
  <c r="L22" i="11"/>
  <c r="M66" i="20"/>
  <c r="L32" i="11"/>
  <c r="L28" i="15" s="1"/>
  <c r="L72" i="18"/>
  <c r="L66" i="17"/>
  <c r="N11" i="11"/>
  <c r="N11" i="15"/>
  <c r="K14" i="20"/>
  <c r="K26" i="15"/>
  <c r="L19" i="18"/>
  <c r="L57" i="18"/>
  <c r="L28" i="17"/>
  <c r="K84" i="18"/>
  <c r="K16" i="18"/>
  <c r="J16" i="20"/>
  <c r="J11" i="28"/>
  <c r="J12" i="28" s="1"/>
  <c r="M19" i="11"/>
  <c r="M16" i="15" s="1"/>
  <c r="M26" i="11"/>
  <c r="M17" i="15" s="1"/>
  <c r="M13" i="11"/>
  <c r="M16" i="11"/>
  <c r="M15" i="15" s="1"/>
  <c r="M29" i="11"/>
  <c r="M18" i="15" s="1"/>
  <c r="L56" i="20"/>
  <c r="J60" i="20"/>
  <c r="J22" i="9"/>
  <c r="J46" i="20" s="1"/>
  <c r="M72" i="17"/>
  <c r="M21" i="18" s="1"/>
  <c r="K64" i="20"/>
  <c r="K24" i="11"/>
  <c r="K12" i="20" s="1"/>
  <c r="L35" i="18"/>
  <c r="Q28" i="5" l="1"/>
  <c r="Q11" i="5" s="1"/>
  <c r="P11" i="5"/>
  <c r="P15" i="5" s="1"/>
  <c r="P16" i="5" s="1"/>
  <c r="I15" i="28"/>
  <c r="I17" i="28" s="1"/>
  <c r="N64" i="14"/>
  <c r="N70" i="14"/>
  <c r="N77" i="17" s="1"/>
  <c r="N26" i="18" s="1"/>
  <c r="N19" i="14"/>
  <c r="N22" i="17" s="1"/>
  <c r="N61" i="18" s="1"/>
  <c r="N45" i="14"/>
  <c r="N58" i="17" s="1"/>
  <c r="N15" i="14"/>
  <c r="N18" i="17" s="1"/>
  <c r="N62" i="14"/>
  <c r="N72" i="17" s="1"/>
  <c r="N21" i="18" s="1"/>
  <c r="N32" i="14"/>
  <c r="N33" i="17" s="1"/>
  <c r="N60" i="14"/>
  <c r="N70" i="17" s="1"/>
  <c r="N34" i="14"/>
  <c r="N37" i="17" s="1"/>
  <c r="N39" i="18" s="1"/>
  <c r="N68" i="14"/>
  <c r="N76" i="17" s="1"/>
  <c r="N25" i="18" s="1"/>
  <c r="N55" i="14"/>
  <c r="N64" i="17" s="1"/>
  <c r="N78" i="18" s="1"/>
  <c r="J34" i="18"/>
  <c r="J58" i="20"/>
  <c r="N27" i="14"/>
  <c r="N26" i="17" s="1"/>
  <c r="N65" i="18" s="1"/>
  <c r="N51" i="14"/>
  <c r="N61" i="17" s="1"/>
  <c r="N75" i="18" s="1"/>
  <c r="N36" i="14"/>
  <c r="N38" i="17" s="1"/>
  <c r="N40" i="18" s="1"/>
  <c r="N25" i="14"/>
  <c r="N25" i="17" s="1"/>
  <c r="N64" i="18" s="1"/>
  <c r="N17" i="14"/>
  <c r="N20" i="17" s="1"/>
  <c r="N59" i="18" s="1"/>
  <c r="N53" i="14"/>
  <c r="N62" i="17" s="1"/>
  <c r="N76" i="18" s="1"/>
  <c r="K31" i="17"/>
  <c r="K34" i="18" s="1"/>
  <c r="K15" i="9"/>
  <c r="N47" i="14"/>
  <c r="N59" i="17" s="1"/>
  <c r="N73" i="18" s="1"/>
  <c r="N23" i="14"/>
  <c r="N24" i="17" s="1"/>
  <c r="N63" i="18" s="1"/>
  <c r="N40" i="14"/>
  <c r="N41" i="17" s="1"/>
  <c r="N43" i="18" s="1"/>
  <c r="N66" i="14"/>
  <c r="N75" i="17" s="1"/>
  <c r="N24" i="18" s="1"/>
  <c r="N21" i="14"/>
  <c r="N23" i="17" s="1"/>
  <c r="N62" i="18" s="1"/>
  <c r="K20" i="18"/>
  <c r="K79" i="17"/>
  <c r="O11" i="14"/>
  <c r="O62" i="14" s="1"/>
  <c r="O11" i="9"/>
  <c r="L13" i="9"/>
  <c r="L71" i="17" s="1"/>
  <c r="L62" i="20" s="1"/>
  <c r="L12" i="9"/>
  <c r="N34" i="17"/>
  <c r="N36" i="18" s="1"/>
  <c r="K60" i="20"/>
  <c r="K22" i="9"/>
  <c r="K46" i="20" s="1"/>
  <c r="M35" i="18"/>
  <c r="N66" i="20"/>
  <c r="M28" i="17"/>
  <c r="M57" i="18"/>
  <c r="M56" i="20"/>
  <c r="N16" i="11"/>
  <c r="N15" i="15" s="1"/>
  <c r="N29" i="11"/>
  <c r="N18" i="15" s="1"/>
  <c r="N19" i="11"/>
  <c r="N16" i="15" s="1"/>
  <c r="N13" i="11"/>
  <c r="N26" i="11"/>
  <c r="N17" i="15" s="1"/>
  <c r="M32" i="11"/>
  <c r="M28" i="15" s="1"/>
  <c r="M66" i="17"/>
  <c r="M72" i="18"/>
  <c r="M14" i="15"/>
  <c r="M20" i="15" s="1"/>
  <c r="M22" i="15" s="1"/>
  <c r="M22" i="11"/>
  <c r="K16" i="20"/>
  <c r="K11" i="28"/>
  <c r="K12" i="28" s="1"/>
  <c r="L16" i="18"/>
  <c r="L84" i="18"/>
  <c r="L64" i="20"/>
  <c r="L24" i="11"/>
  <c r="L12" i="20" s="1"/>
  <c r="O11" i="11"/>
  <c r="O11" i="15"/>
  <c r="M19" i="18"/>
  <c r="N60" i="17"/>
  <c r="N74" i="18" s="1"/>
  <c r="N73" i="17"/>
  <c r="N22" i="18" s="1"/>
  <c r="L14" i="20"/>
  <c r="L26" i="15"/>
  <c r="O47" i="14" l="1"/>
  <c r="O59" i="17" s="1"/>
  <c r="O73" i="18" s="1"/>
  <c r="O55" i="14"/>
  <c r="O64" i="17" s="1"/>
  <c r="O78" i="18" s="1"/>
  <c r="K15" i="28"/>
  <c r="J15" i="28"/>
  <c r="J17" i="28" s="1"/>
  <c r="O25" i="14"/>
  <c r="O25" i="17" s="1"/>
  <c r="O64" i="18" s="1"/>
  <c r="O27" i="14"/>
  <c r="O26" i="17" s="1"/>
  <c r="O65" i="18" s="1"/>
  <c r="O64" i="14"/>
  <c r="O73" i="17" s="1"/>
  <c r="O22" i="18" s="1"/>
  <c r="O53" i="14"/>
  <c r="O62" i="17" s="1"/>
  <c r="O76" i="18" s="1"/>
  <c r="O60" i="14"/>
  <c r="O70" i="17" s="1"/>
  <c r="O51" i="14"/>
  <c r="O61" i="17" s="1"/>
  <c r="O75" i="18" s="1"/>
  <c r="K58" i="20"/>
  <c r="O19" i="14"/>
  <c r="O22" i="17" s="1"/>
  <c r="O61" i="18" s="1"/>
  <c r="O21" i="14"/>
  <c r="O23" i="17" s="1"/>
  <c r="O62" i="18" s="1"/>
  <c r="O70" i="14"/>
  <c r="O77" i="17" s="1"/>
  <c r="O26" i="18" s="1"/>
  <c r="O34" i="17"/>
  <c r="O36" i="18" s="1"/>
  <c r="O34" i="14"/>
  <c r="O37" i="17" s="1"/>
  <c r="O39" i="18" s="1"/>
  <c r="O68" i="14"/>
  <c r="O76" i="17" s="1"/>
  <c r="O25" i="18" s="1"/>
  <c r="O36" i="14"/>
  <c r="O38" i="17" s="1"/>
  <c r="O40" i="18" s="1"/>
  <c r="O66" i="14"/>
  <c r="O75" i="17" s="1"/>
  <c r="O24" i="18" s="1"/>
  <c r="O23" i="14"/>
  <c r="O24" i="17" s="1"/>
  <c r="O63" i="18" s="1"/>
  <c r="O49" i="14"/>
  <c r="O60" i="17" s="1"/>
  <c r="O74" i="18" s="1"/>
  <c r="L31" i="17"/>
  <c r="L15" i="9"/>
  <c r="O40" i="14"/>
  <c r="O41" i="17" s="1"/>
  <c r="O43" i="18" s="1"/>
  <c r="O17" i="14"/>
  <c r="O20" i="17" s="1"/>
  <c r="O59" i="18" s="1"/>
  <c r="O45" i="14"/>
  <c r="O58" i="17" s="1"/>
  <c r="O15" i="14"/>
  <c r="O18" i="17" s="1"/>
  <c r="O32" i="14"/>
  <c r="O33" i="17" s="1"/>
  <c r="L20" i="18"/>
  <c r="L79" i="17"/>
  <c r="K17" i="28"/>
  <c r="P11" i="14"/>
  <c r="P70" i="14" s="1"/>
  <c r="P11" i="9"/>
  <c r="M12" i="9"/>
  <c r="M13" i="9"/>
  <c r="M71" i="17" s="1"/>
  <c r="O66" i="20"/>
  <c r="M26" i="15"/>
  <c r="M14" i="20"/>
  <c r="P11" i="15"/>
  <c r="P11" i="11"/>
  <c r="L60" i="20"/>
  <c r="L22" i="9"/>
  <c r="L46" i="20" s="1"/>
  <c r="N57" i="18"/>
  <c r="N28" i="17"/>
  <c r="O72" i="17"/>
  <c r="O21" i="18" s="1"/>
  <c r="M64" i="20"/>
  <c r="M24" i="11"/>
  <c r="M12" i="20" s="1"/>
  <c r="N72" i="18"/>
  <c r="N66" i="17"/>
  <c r="N32" i="11"/>
  <c r="N28" i="15" s="1"/>
  <c r="N35" i="18"/>
  <c r="N19" i="18"/>
  <c r="O29" i="11"/>
  <c r="O18" i="15" s="1"/>
  <c r="O16" i="11"/>
  <c r="O15" i="15" s="1"/>
  <c r="O26" i="11"/>
  <c r="O17" i="15" s="1"/>
  <c r="O19" i="11"/>
  <c r="O16" i="15" s="1"/>
  <c r="O13" i="11"/>
  <c r="M16" i="18"/>
  <c r="M84" i="18"/>
  <c r="Q15" i="5"/>
  <c r="Q16" i="5" s="1"/>
  <c r="N22" i="11"/>
  <c r="N14" i="15"/>
  <c r="N20" i="15" s="1"/>
  <c r="N22" i="15" s="1"/>
  <c r="N56" i="20"/>
  <c r="L11" i="28"/>
  <c r="L12" i="28" s="1"/>
  <c r="L16" i="20"/>
  <c r="P55" i="14" l="1"/>
  <c r="P40" i="14"/>
  <c r="P41" i="17" s="1"/>
  <c r="P43" i="18" s="1"/>
  <c r="P66" i="14"/>
  <c r="P75" i="17" s="1"/>
  <c r="P24" i="18" s="1"/>
  <c r="P19" i="14"/>
  <c r="P22" i="17" s="1"/>
  <c r="P61" i="18" s="1"/>
  <c r="P49" i="14"/>
  <c r="P60" i="17" s="1"/>
  <c r="P74" i="18" s="1"/>
  <c r="P17" i="14"/>
  <c r="P20" i="17" s="1"/>
  <c r="P59" i="18" s="1"/>
  <c r="P21" i="14"/>
  <c r="P23" i="17" s="1"/>
  <c r="P62" i="18" s="1"/>
  <c r="P34" i="14"/>
  <c r="P37" i="17" s="1"/>
  <c r="P39" i="18" s="1"/>
  <c r="P45" i="14"/>
  <c r="P58" i="17" s="1"/>
  <c r="P23" i="14"/>
  <c r="P24" i="17" s="1"/>
  <c r="P63" i="18" s="1"/>
  <c r="P64" i="14"/>
  <c r="P73" i="17" s="1"/>
  <c r="P22" i="18" s="1"/>
  <c r="P32" i="14"/>
  <c r="P33" i="17" s="1"/>
  <c r="P47" i="14"/>
  <c r="P59" i="17" s="1"/>
  <c r="P73" i="18" s="1"/>
  <c r="P51" i="14"/>
  <c r="P61" i="17" s="1"/>
  <c r="P75" i="18" s="1"/>
  <c r="P60" i="14"/>
  <c r="P70" i="17" s="1"/>
  <c r="P15" i="14"/>
  <c r="P18" i="17" s="1"/>
  <c r="P53" i="14"/>
  <c r="P62" i="17" s="1"/>
  <c r="P76" i="18" s="1"/>
  <c r="P36" i="14"/>
  <c r="P38" i="17" s="1"/>
  <c r="P40" i="18" s="1"/>
  <c r="P27" i="14"/>
  <c r="P26" i="17" s="1"/>
  <c r="P65" i="18" s="1"/>
  <c r="P68" i="14"/>
  <c r="P76" i="17" s="1"/>
  <c r="P25" i="18" s="1"/>
  <c r="P62" i="14"/>
  <c r="P72" i="17" s="1"/>
  <c r="P21" i="18" s="1"/>
  <c r="P25" i="14"/>
  <c r="P25" i="17" s="1"/>
  <c r="P64" i="18" s="1"/>
  <c r="M20" i="18"/>
  <c r="M79" i="17"/>
  <c r="M31" i="17"/>
  <c r="M15" i="9"/>
  <c r="Q11" i="14"/>
  <c r="Q70" i="14" s="1"/>
  <c r="Q11" i="9"/>
  <c r="M62" i="20"/>
  <c r="P34" i="17"/>
  <c r="P36" i="18" s="1"/>
  <c r="L34" i="18"/>
  <c r="L15" i="28" s="1"/>
  <c r="L58" i="20"/>
  <c r="N12" i="9"/>
  <c r="N13" i="9"/>
  <c r="N71" i="17" s="1"/>
  <c r="Q62" i="14"/>
  <c r="O22" i="11"/>
  <c r="O14" i="15"/>
  <c r="O20" i="15" s="1"/>
  <c r="O22" i="15" s="1"/>
  <c r="N14" i="20"/>
  <c r="N26" i="15"/>
  <c r="M60" i="20"/>
  <c r="M22" i="9"/>
  <c r="M46" i="20" s="1"/>
  <c r="P26" i="11"/>
  <c r="P17" i="15" s="1"/>
  <c r="P13" i="11"/>
  <c r="P16" i="11"/>
  <c r="P15" i="15" s="1"/>
  <c r="P29" i="11"/>
  <c r="P18" i="15" s="1"/>
  <c r="P19" i="11"/>
  <c r="P16" i="15" s="1"/>
  <c r="M16" i="20"/>
  <c r="M11" i="28"/>
  <c r="M12" i="28" s="1"/>
  <c r="N84" i="18"/>
  <c r="N16" i="18"/>
  <c r="O19" i="18"/>
  <c r="N64" i="20"/>
  <c r="N24" i="11"/>
  <c r="N12" i="20" s="1"/>
  <c r="O56" i="20"/>
  <c r="O35" i="18"/>
  <c r="O32" i="11"/>
  <c r="O28" i="15" s="1"/>
  <c r="O66" i="17"/>
  <c r="O72" i="18"/>
  <c r="P66" i="20"/>
  <c r="Q11" i="15"/>
  <c r="Q11" i="11"/>
  <c r="O57" i="18"/>
  <c r="O28" i="17"/>
  <c r="P77" i="17"/>
  <c r="P26" i="18" s="1"/>
  <c r="P64" i="17"/>
  <c r="P78" i="18" s="1"/>
  <c r="Q25" i="14" l="1"/>
  <c r="Q21" i="14"/>
  <c r="Q23" i="17" s="1"/>
  <c r="Q62" i="18" s="1"/>
  <c r="L17" i="28"/>
  <c r="Q34" i="14"/>
  <c r="Q68" i="14"/>
  <c r="Q76" i="17" s="1"/>
  <c r="Q25" i="18" s="1"/>
  <c r="Q45" i="14"/>
  <c r="Q58" i="17" s="1"/>
  <c r="Q23" i="14"/>
  <c r="Q24" i="17" s="1"/>
  <c r="Q63" i="18" s="1"/>
  <c r="Q36" i="14"/>
  <c r="Q38" i="17" s="1"/>
  <c r="Q40" i="18" s="1"/>
  <c r="Q60" i="14"/>
  <c r="Q70" i="17" s="1"/>
  <c r="Q15" i="14"/>
  <c r="Q18" i="17" s="1"/>
  <c r="Q40" i="14"/>
  <c r="Q41" i="17" s="1"/>
  <c r="Q43" i="18" s="1"/>
  <c r="Q49" i="14"/>
  <c r="Q60" i="17" s="1"/>
  <c r="Q74" i="18" s="1"/>
  <c r="Q51" i="14"/>
  <c r="Q61" i="17" s="1"/>
  <c r="Q75" i="18" s="1"/>
  <c r="Q64" i="14"/>
  <c r="Q73" i="17" s="1"/>
  <c r="Q22" i="18" s="1"/>
  <c r="Q19" i="14"/>
  <c r="Q22" i="17" s="1"/>
  <c r="Q61" i="18" s="1"/>
  <c r="Q27" i="14"/>
  <c r="Q26" i="17" s="1"/>
  <c r="Q65" i="18" s="1"/>
  <c r="Q53" i="14"/>
  <c r="Q62" i="17" s="1"/>
  <c r="Q76" i="18" s="1"/>
  <c r="Q32" i="14"/>
  <c r="Q33" i="17" s="1"/>
  <c r="Q35" i="18" s="1"/>
  <c r="Q55" i="14"/>
  <c r="Q64" i="17" s="1"/>
  <c r="Q78" i="18" s="1"/>
  <c r="Q47" i="14"/>
  <c r="Q59" i="17" s="1"/>
  <c r="Q73" i="18" s="1"/>
  <c r="Q17" i="14"/>
  <c r="Q20" i="17" s="1"/>
  <c r="Q59" i="18" s="1"/>
  <c r="Q66" i="14"/>
  <c r="Q75" i="17" s="1"/>
  <c r="Q24" i="18" s="1"/>
  <c r="M34" i="18"/>
  <c r="M58" i="20"/>
  <c r="N20" i="18"/>
  <c r="N79" i="17"/>
  <c r="Q34" i="17"/>
  <c r="Q36" i="18" s="1"/>
  <c r="O12" i="9"/>
  <c r="O13" i="9"/>
  <c r="O71" i="17" s="1"/>
  <c r="N31" i="17"/>
  <c r="N34" i="18" s="1"/>
  <c r="N15" i="9"/>
  <c r="N62" i="20"/>
  <c r="P32" i="11"/>
  <c r="P28" i="15" s="1"/>
  <c r="P66" i="17"/>
  <c r="P72" i="18"/>
  <c r="Q66" i="20"/>
  <c r="O84" i="18"/>
  <c r="O16" i="18"/>
  <c r="N60" i="20"/>
  <c r="N22" i="9"/>
  <c r="N46" i="20" s="1"/>
  <c r="P22" i="11"/>
  <c r="P14" i="15"/>
  <c r="P20" i="15" s="1"/>
  <c r="P22" i="15" s="1"/>
  <c r="N16" i="20"/>
  <c r="N11" i="28"/>
  <c r="N12" i="28" s="1"/>
  <c r="O26" i="15"/>
  <c r="O14" i="20"/>
  <c r="P19" i="18"/>
  <c r="Q37" i="17"/>
  <c r="Q39" i="18" s="1"/>
  <c r="Q25" i="17"/>
  <c r="Q64" i="18" s="1"/>
  <c r="Q77" i="17"/>
  <c r="Q26" i="18" s="1"/>
  <c r="Q72" i="17"/>
  <c r="Q21" i="18" s="1"/>
  <c r="P57" i="18"/>
  <c r="P28" i="17"/>
  <c r="P35" i="18"/>
  <c r="Q26" i="11"/>
  <c r="Q17" i="15" s="1"/>
  <c r="Q19" i="11"/>
  <c r="Q16" i="15" s="1"/>
  <c r="Q13" i="11"/>
  <c r="Q16" i="11"/>
  <c r="Q15" i="15" s="1"/>
  <c r="Q29" i="11"/>
  <c r="Q18" i="15" s="1"/>
  <c r="P56" i="20"/>
  <c r="O62" i="20"/>
  <c r="O64" i="20"/>
  <c r="O24" i="11"/>
  <c r="O12" i="20" s="1"/>
  <c r="N15" i="28" l="1"/>
  <c r="N17" i="28" s="1"/>
  <c r="M15" i="28"/>
  <c r="M17" i="28" s="1"/>
  <c r="P13" i="9"/>
  <c r="P71" i="17" s="1"/>
  <c r="P62" i="20" s="1"/>
  <c r="P12" i="9"/>
  <c r="N58" i="20"/>
  <c r="O20" i="18"/>
  <c r="O79" i="17"/>
  <c r="O31" i="17"/>
  <c r="O15" i="9"/>
  <c r="Q22" i="11"/>
  <c r="Q14" i="15"/>
  <c r="Q20" i="15" s="1"/>
  <c r="Q22" i="15" s="1"/>
  <c r="Q28" i="17"/>
  <c r="Q57" i="18"/>
  <c r="P26" i="15"/>
  <c r="P14" i="20"/>
  <c r="Q32" i="11"/>
  <c r="Q28" i="15" s="1"/>
  <c r="Q72" i="18"/>
  <c r="Q66" i="17"/>
  <c r="P64" i="20"/>
  <c r="P24" i="11"/>
  <c r="P12" i="20" s="1"/>
  <c r="O16" i="20"/>
  <c r="O11" i="28"/>
  <c r="O12" i="28" s="1"/>
  <c r="O60" i="20"/>
  <c r="O22" i="9"/>
  <c r="O46" i="20" s="1"/>
  <c r="Q56" i="20"/>
  <c r="Q19" i="18"/>
  <c r="P84" i="18"/>
  <c r="P16" i="18"/>
  <c r="O34" i="18" l="1"/>
  <c r="O15" i="28" s="1"/>
  <c r="O58" i="20"/>
  <c r="P31" i="17"/>
  <c r="P15" i="9"/>
  <c r="Q12" i="9"/>
  <c r="Q13" i="9"/>
  <c r="Q71" i="17" s="1"/>
  <c r="Q62" i="20" s="1"/>
  <c r="P20" i="18"/>
  <c r="P79" i="17"/>
  <c r="Q84" i="18"/>
  <c r="Q16" i="18"/>
  <c r="P16" i="20"/>
  <c r="P11" i="28"/>
  <c r="P12" i="28" s="1"/>
  <c r="P60" i="20"/>
  <c r="P22" i="9"/>
  <c r="P46" i="20" s="1"/>
  <c r="Q14" i="20"/>
  <c r="Q26" i="15"/>
  <c r="Q64" i="20"/>
  <c r="Q24" i="11"/>
  <c r="Q12" i="20" s="1"/>
  <c r="O17" i="28" l="1"/>
  <c r="P34" i="18"/>
  <c r="P15" i="28" s="1"/>
  <c r="P58" i="20"/>
  <c r="Q31" i="17"/>
  <c r="Q34" i="18" s="1"/>
  <c r="Q15" i="9"/>
  <c r="Q20" i="18"/>
  <c r="Q79" i="17"/>
  <c r="Q16" i="20"/>
  <c r="Q11" i="28"/>
  <c r="Q12" i="28" s="1"/>
  <c r="Q60" i="20"/>
  <c r="Q22" i="9"/>
  <c r="Q46" i="20" s="1"/>
  <c r="Q58" i="20" l="1"/>
  <c r="Q15" i="28"/>
  <c r="Q17" i="28" s="1"/>
  <c r="P17" i="28"/>
  <c r="C40" i="28" l="1"/>
  <c r="C45" i="28" s="1"/>
  <c r="C44" i="28"/>
  <c r="C47" i="28" l="1"/>
  <c r="O18" i="5"/>
  <c r="O30" i="15" s="1"/>
  <c r="Q18" i="5"/>
  <c r="Q30" i="15" s="1"/>
  <c r="Q29" i="18" s="1"/>
  <c r="Q49" i="18" s="1"/>
  <c r="Q67" i="18" s="1"/>
  <c r="N18" i="5"/>
  <c r="N30" i="15" s="1"/>
  <c r="K18" i="5"/>
  <c r="K30" i="15" s="1"/>
  <c r="L18" i="5"/>
  <c r="L30" i="15" s="1"/>
  <c r="M18" i="5"/>
  <c r="M30" i="15" s="1"/>
  <c r="P18" i="5"/>
  <c r="P30" i="15" s="1"/>
  <c r="I18" i="5"/>
  <c r="I30" i="15" s="1"/>
  <c r="H18" i="5"/>
  <c r="H30" i="15" s="1"/>
  <c r="H29" i="18" s="1"/>
  <c r="H49" i="18" s="1"/>
  <c r="H67" i="18" s="1"/>
  <c r="J18" i="5"/>
  <c r="J30" i="15" s="1"/>
  <c r="J32" i="15" s="1"/>
  <c r="J37" i="15" s="1"/>
  <c r="Q32" i="15" l="1"/>
  <c r="Q37" i="15" s="1"/>
  <c r="Q13" i="18" s="1"/>
  <c r="H32" i="15"/>
  <c r="H37" i="15" s="1"/>
  <c r="H13" i="18" s="1"/>
  <c r="L32" i="15"/>
  <c r="L37" i="15" s="1"/>
  <c r="L29" i="18"/>
  <c r="L49" i="18" s="1"/>
  <c r="L67" i="18" s="1"/>
  <c r="M29" i="18"/>
  <c r="M49" i="18" s="1"/>
  <c r="M67" i="18" s="1"/>
  <c r="M32" i="15"/>
  <c r="M37" i="15" s="1"/>
  <c r="I29" i="18"/>
  <c r="I49" i="18" s="1"/>
  <c r="I67" i="18" s="1"/>
  <c r="I32" i="15"/>
  <c r="I37" i="15" s="1"/>
  <c r="K29" i="18"/>
  <c r="K49" i="18" s="1"/>
  <c r="K67" i="18" s="1"/>
  <c r="K32" i="15"/>
  <c r="K37" i="15" s="1"/>
  <c r="P29" i="18"/>
  <c r="P49" i="18" s="1"/>
  <c r="P67" i="18" s="1"/>
  <c r="P32" i="15"/>
  <c r="P37" i="15" s="1"/>
  <c r="J29" i="18"/>
  <c r="J49" i="18" s="1"/>
  <c r="J67" i="18" s="1"/>
  <c r="O32" i="15"/>
  <c r="O37" i="15" s="1"/>
  <c r="O29" i="18"/>
  <c r="O49" i="18" s="1"/>
  <c r="O67" i="18" s="1"/>
  <c r="J13" i="18"/>
  <c r="J18" i="20"/>
  <c r="J39" i="15"/>
  <c r="J41" i="15" s="1"/>
  <c r="N29" i="18"/>
  <c r="N49" i="18" s="1"/>
  <c r="N67" i="18" s="1"/>
  <c r="N32" i="15"/>
  <c r="N37" i="15" s="1"/>
  <c r="H39" i="15" l="1"/>
  <c r="H41" i="15" s="1"/>
  <c r="H22" i="20" s="1"/>
  <c r="Q39" i="15"/>
  <c r="Q41" i="15" s="1"/>
  <c r="Q46" i="15" s="1"/>
  <c r="Q35" i="20" s="1"/>
  <c r="H18" i="20"/>
  <c r="Q18" i="20"/>
  <c r="J46" i="15"/>
  <c r="J35" i="20" s="1"/>
  <c r="J22" i="20"/>
  <c r="J31" i="20"/>
  <c r="O13" i="18"/>
  <c r="O39" i="15"/>
  <c r="O41" i="15" s="1"/>
  <c r="O18" i="20"/>
  <c r="K39" i="15"/>
  <c r="K41" i="15" s="1"/>
  <c r="K18" i="20"/>
  <c r="K13" i="18"/>
  <c r="Q31" i="20"/>
  <c r="P18" i="20"/>
  <c r="P13" i="18"/>
  <c r="P39" i="15"/>
  <c r="P41" i="15" s="1"/>
  <c r="I18" i="20"/>
  <c r="I39" i="15"/>
  <c r="I13" i="18"/>
  <c r="M13" i="18"/>
  <c r="M39" i="15"/>
  <c r="M41" i="15" s="1"/>
  <c r="M18" i="20"/>
  <c r="N39" i="15"/>
  <c r="N41" i="15" s="1"/>
  <c r="N18" i="20"/>
  <c r="N13" i="18"/>
  <c r="J31" i="18"/>
  <c r="J45" i="18" s="1"/>
  <c r="J20" i="20"/>
  <c r="L13" i="18"/>
  <c r="L18" i="20"/>
  <c r="L39" i="15"/>
  <c r="H31" i="20" l="1"/>
  <c r="H31" i="18"/>
  <c r="H45" i="18" s="1"/>
  <c r="Q22" i="20"/>
  <c r="Q20" i="20"/>
  <c r="H46" i="15"/>
  <c r="H51" i="17" s="1"/>
  <c r="H37" i="20" s="1"/>
  <c r="H20" i="20"/>
  <c r="Q31" i="18"/>
  <c r="Q45" i="18" s="1"/>
  <c r="P46" i="15"/>
  <c r="P35" i="20" s="1"/>
  <c r="P31" i="20"/>
  <c r="P22" i="20"/>
  <c r="K46" i="15"/>
  <c r="K35" i="20" s="1"/>
  <c r="K22" i="20"/>
  <c r="K31" i="20"/>
  <c r="N31" i="20"/>
  <c r="N46" i="15"/>
  <c r="N35" i="20" s="1"/>
  <c r="N22" i="20"/>
  <c r="L31" i="18"/>
  <c r="L45" i="18" s="1"/>
  <c r="L20" i="20"/>
  <c r="I20" i="20"/>
  <c r="I31" i="18"/>
  <c r="I45" i="18" s="1"/>
  <c r="O46" i="15"/>
  <c r="O35" i="20" s="1"/>
  <c r="O31" i="20"/>
  <c r="O22" i="20"/>
  <c r="M31" i="20"/>
  <c r="M46" i="15"/>
  <c r="M35" i="20" s="1"/>
  <c r="M22" i="20"/>
  <c r="I41" i="15"/>
  <c r="K20" i="20"/>
  <c r="K31" i="18"/>
  <c r="K45" i="18" s="1"/>
  <c r="P20" i="20"/>
  <c r="P31" i="18"/>
  <c r="P45" i="18" s="1"/>
  <c r="N31" i="18"/>
  <c r="N45" i="18" s="1"/>
  <c r="N20" i="20"/>
  <c r="L41" i="15"/>
  <c r="M20" i="20"/>
  <c r="M31" i="18"/>
  <c r="M45" i="18" s="1"/>
  <c r="O20" i="20"/>
  <c r="O31" i="18"/>
  <c r="O45" i="18" s="1"/>
  <c r="H54" i="17" l="1"/>
  <c r="H81" i="17" s="1"/>
  <c r="H80" i="18"/>
  <c r="H86" i="18" s="1"/>
  <c r="H88" i="18" s="1"/>
  <c r="H90" i="18" s="1"/>
  <c r="I89" i="18" s="1"/>
  <c r="H35" i="20"/>
  <c r="L46" i="15"/>
  <c r="L22" i="20"/>
  <c r="L31" i="20"/>
  <c r="I22" i="20"/>
  <c r="I46" i="15"/>
  <c r="I35" i="20" s="1"/>
  <c r="I31" i="20"/>
  <c r="H39" i="20" l="1"/>
  <c r="H51" i="20"/>
  <c r="H68" i="20"/>
  <c r="H29" i="20"/>
  <c r="H33" i="20"/>
  <c r="I51" i="17"/>
  <c r="H35" i="17"/>
  <c r="L35" i="20"/>
  <c r="I37" i="20" l="1"/>
  <c r="I54" i="17"/>
  <c r="I80" i="18"/>
  <c r="I86" i="18" s="1"/>
  <c r="I88" i="18" s="1"/>
  <c r="I90" i="18" s="1"/>
  <c r="J51" i="17"/>
  <c r="C49" i="28"/>
  <c r="C54" i="28" s="1"/>
  <c r="C57" i="28" s="1"/>
  <c r="H43" i="17"/>
  <c r="H54" i="20"/>
  <c r="H92" i="18"/>
  <c r="J37" i="20" l="1"/>
  <c r="J54" i="17"/>
  <c r="J80" i="18"/>
  <c r="J86" i="18" s="1"/>
  <c r="J88" i="18" s="1"/>
  <c r="K51" i="17"/>
  <c r="J89" i="18"/>
  <c r="H45" i="17"/>
  <c r="H44" i="20"/>
  <c r="H42" i="20"/>
  <c r="I51" i="20"/>
  <c r="I81" i="17"/>
  <c r="I68" i="20"/>
  <c r="I29" i="20"/>
  <c r="I33" i="20"/>
  <c r="I39" i="20"/>
  <c r="C61" i="28"/>
  <c r="H56" i="28"/>
  <c r="J90" i="18" l="1"/>
  <c r="K89" i="18" s="1"/>
  <c r="I35" i="17"/>
  <c r="J51" i="20"/>
  <c r="J81" i="17"/>
  <c r="J68" i="20"/>
  <c r="K37" i="20"/>
  <c r="K54" i="17"/>
  <c r="K33" i="20" s="1"/>
  <c r="K80" i="18"/>
  <c r="K86" i="18" s="1"/>
  <c r="K88" i="18" s="1"/>
  <c r="L51" i="17"/>
  <c r="J39" i="20"/>
  <c r="H25" i="20"/>
  <c r="H49" i="20"/>
  <c r="H27" i="20"/>
  <c r="H83" i="17"/>
  <c r="J33" i="20"/>
  <c r="J29" i="20"/>
  <c r="K90" i="18" l="1"/>
  <c r="L89" i="18" s="1"/>
  <c r="I43" i="17"/>
  <c r="I54" i="20"/>
  <c r="I92" i="18"/>
  <c r="K51" i="20"/>
  <c r="K81" i="17"/>
  <c r="K68" i="20"/>
  <c r="K29" i="20"/>
  <c r="L37" i="20"/>
  <c r="L54" i="17"/>
  <c r="L29" i="20" s="1"/>
  <c r="M51" i="17"/>
  <c r="L80" i="18"/>
  <c r="L86" i="18" s="1"/>
  <c r="L88" i="18" s="1"/>
  <c r="K39" i="20"/>
  <c r="J35" i="17"/>
  <c r="J54" i="20" s="1"/>
  <c r="L90" i="18" l="1"/>
  <c r="M89" i="18" s="1"/>
  <c r="L51" i="20"/>
  <c r="L81" i="17"/>
  <c r="L68" i="20"/>
  <c r="L39" i="20"/>
  <c r="I42" i="20"/>
  <c r="I44" i="20"/>
  <c r="I45" i="17"/>
  <c r="J43" i="17"/>
  <c r="J92" i="18"/>
  <c r="M54" i="17"/>
  <c r="M29" i="20" s="1"/>
  <c r="M37" i="20"/>
  <c r="N51" i="17"/>
  <c r="M80" i="18"/>
  <c r="M86" i="18" s="1"/>
  <c r="M88" i="18" s="1"/>
  <c r="L33" i="20"/>
  <c r="K35" i="17"/>
  <c r="K54" i="20" s="1"/>
  <c r="M90" i="18" l="1"/>
  <c r="N89" i="18" s="1"/>
  <c r="K43" i="17"/>
  <c r="K92" i="18"/>
  <c r="N37" i="20"/>
  <c r="N54" i="17"/>
  <c r="N39" i="20" s="1"/>
  <c r="N80" i="18"/>
  <c r="N86" i="18" s="1"/>
  <c r="N88" i="18" s="1"/>
  <c r="O51" i="17"/>
  <c r="J45" i="17"/>
  <c r="J25" i="20" s="1"/>
  <c r="J44" i="20"/>
  <c r="J42" i="20"/>
  <c r="M33" i="20"/>
  <c r="M51" i="20"/>
  <c r="M81" i="17"/>
  <c r="M68" i="20"/>
  <c r="I49" i="20"/>
  <c r="I83" i="17"/>
  <c r="I25" i="20"/>
  <c r="I27" i="20"/>
  <c r="M39" i="20"/>
  <c r="L35" i="17"/>
  <c r="N33" i="20" l="1"/>
  <c r="N29" i="20"/>
  <c r="J27" i="20"/>
  <c r="N90" i="18"/>
  <c r="O89" i="18" s="1"/>
  <c r="K45" i="17"/>
  <c r="K27" i="20" s="1"/>
  <c r="K42" i="20"/>
  <c r="K44" i="20"/>
  <c r="L43" i="17"/>
  <c r="L92" i="18"/>
  <c r="L54" i="20"/>
  <c r="O80" i="18"/>
  <c r="O86" i="18" s="1"/>
  <c r="O88" i="18" s="1"/>
  <c r="P51" i="17"/>
  <c r="O37" i="20"/>
  <c r="O54" i="17"/>
  <c r="O33" i="20" s="1"/>
  <c r="M35" i="17"/>
  <c r="N51" i="20"/>
  <c r="N81" i="17"/>
  <c r="N68" i="20"/>
  <c r="J49" i="20"/>
  <c r="J83" i="17"/>
  <c r="K25" i="20" l="1"/>
  <c r="O39" i="20"/>
  <c r="O90" i="18"/>
  <c r="P89" i="18" s="1"/>
  <c r="N35" i="17"/>
  <c r="N54" i="20" s="1"/>
  <c r="L45" i="17"/>
  <c r="L25" i="20" s="1"/>
  <c r="L44" i="20"/>
  <c r="L42" i="20"/>
  <c r="O51" i="20"/>
  <c r="O81" i="17"/>
  <c r="O68" i="20"/>
  <c r="O29" i="20"/>
  <c r="M43" i="17"/>
  <c r="M92" i="18"/>
  <c r="Q51" i="17"/>
  <c r="P37" i="20"/>
  <c r="P54" i="17"/>
  <c r="P39" i="20" s="1"/>
  <c r="P80" i="18"/>
  <c r="P86" i="18" s="1"/>
  <c r="P88" i="18" s="1"/>
  <c r="M54" i="20"/>
  <c r="K49" i="20"/>
  <c r="K83" i="17"/>
  <c r="L27" i="20" l="1"/>
  <c r="P29" i="20"/>
  <c r="Q54" i="17"/>
  <c r="Q29" i="20" s="1"/>
  <c r="Q37" i="20"/>
  <c r="Q80" i="18"/>
  <c r="Q86" i="18" s="1"/>
  <c r="Q88" i="18" s="1"/>
  <c r="P90" i="18"/>
  <c r="P81" i="17"/>
  <c r="P51" i="20"/>
  <c r="P68" i="20"/>
  <c r="M42" i="20"/>
  <c r="M45" i="17"/>
  <c r="M27" i="20" s="1"/>
  <c r="M44" i="20"/>
  <c r="P33" i="20"/>
  <c r="O35" i="17"/>
  <c r="O54" i="20" s="1"/>
  <c r="L49" i="20"/>
  <c r="L83" i="17"/>
  <c r="N43" i="17"/>
  <c r="N92" i="18"/>
  <c r="Q39" i="20" l="1"/>
  <c r="M25" i="20"/>
  <c r="Q33" i="20"/>
  <c r="Q89" i="18"/>
  <c r="N44" i="20"/>
  <c r="N45" i="17"/>
  <c r="N25" i="20" s="1"/>
  <c r="N42" i="20"/>
  <c r="Q90" i="18"/>
  <c r="P35" i="17"/>
  <c r="P54" i="20" s="1"/>
  <c r="O43" i="17"/>
  <c r="O92" i="18"/>
  <c r="M49" i="20"/>
  <c r="M83" i="17"/>
  <c r="Q51" i="20"/>
  <c r="Q81" i="17"/>
  <c r="Q68" i="20"/>
  <c r="N27" i="20" l="1"/>
  <c r="P43" i="17"/>
  <c r="N49" i="20"/>
  <c r="N83" i="17"/>
  <c r="Q35" i="17"/>
  <c r="Q43" i="17" s="1"/>
  <c r="O44" i="20"/>
  <c r="O45" i="17"/>
  <c r="O25" i="20" s="1"/>
  <c r="O42" i="20"/>
  <c r="P92" i="18"/>
  <c r="Q45" i="17" l="1"/>
  <c r="Q44" i="20"/>
  <c r="Q42" i="20"/>
  <c r="P42" i="20"/>
  <c r="P45" i="17"/>
  <c r="P25" i="20" s="1"/>
  <c r="P44" i="20"/>
  <c r="O49" i="20"/>
  <c r="O83" i="17"/>
  <c r="Q92" i="18"/>
  <c r="O27" i="20"/>
  <c r="Q54" i="20"/>
  <c r="P27" i="20" l="1"/>
  <c r="Q25" i="20"/>
  <c r="P49" i="20"/>
  <c r="Q27" i="20"/>
  <c r="P83" i="17"/>
  <c r="Q49" i="20"/>
  <c r="Q83"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Suresh chaudhari</author>
  </authors>
  <commentList>
    <comment ref="H35" authorId="0" shapeId="0" xr:uid="{7775F648-4382-44BB-AF2A-FB4DFF1EAE8E}">
      <text>
        <r>
          <rPr>
            <b/>
            <sz val="9"/>
            <color indexed="81"/>
            <rFont val="Tahoma"/>
            <charset val="1"/>
          </rPr>
          <t xml:space="preserve">Suresh chaudhari:
As per indian corporate tax rate act,tax rate should not above 30%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Suresh chaudhari</author>
  </authors>
  <commentList>
    <comment ref="D18" authorId="0" shapeId="0" xr:uid="{0D3011E5-8E12-4AF8-96D6-2A2AE5661D31}">
      <text>
        <r>
          <rPr>
            <b/>
            <sz val="9"/>
            <color indexed="81"/>
            <rFont val="Tahoma"/>
            <charset val="1"/>
          </rPr>
          <t>Suresh chaudhari:</t>
        </r>
        <r>
          <rPr>
            <sz val="9"/>
            <color indexed="81"/>
            <rFont val="Tahoma"/>
            <charset val="1"/>
          </rPr>
          <t xml:space="preserve">
Here year 2021 is not consider for average because COVID 19 effect.
</t>
        </r>
      </text>
    </comment>
    <comment ref="D19" authorId="0" shapeId="0" xr:uid="{F9597309-99B2-4226-AC27-BB85F6776B16}">
      <text>
        <r>
          <rPr>
            <b/>
            <sz val="9"/>
            <color indexed="81"/>
            <rFont val="Tahoma"/>
            <charset val="1"/>
          </rPr>
          <t>Suresh chaudhari:</t>
        </r>
        <r>
          <rPr>
            <sz val="9"/>
            <color indexed="81"/>
            <rFont val="Tahoma"/>
            <charset val="1"/>
          </rPr>
          <t xml:space="preserve">
Here year 2021 is not consider for average because COVID 19 effect.</t>
        </r>
      </text>
    </comment>
    <comment ref="D20" authorId="0" shapeId="0" xr:uid="{F6C5AED6-5E10-476A-840F-8AA26BE9834A}">
      <text>
        <r>
          <rPr>
            <b/>
            <sz val="9"/>
            <color indexed="81"/>
            <rFont val="Tahoma"/>
            <charset val="1"/>
          </rPr>
          <t>Suresh chaudhari:</t>
        </r>
        <r>
          <rPr>
            <sz val="9"/>
            <color indexed="81"/>
            <rFont val="Tahoma"/>
            <charset val="1"/>
          </rPr>
          <t xml:space="preserve">
Here year 2021 is not consider for average because COVID 19 effect.</t>
        </r>
      </text>
    </comment>
  </commentList>
</comments>
</file>

<file path=xl/sharedStrings.xml><?xml version="1.0" encoding="utf-8"?>
<sst xmlns="http://schemas.openxmlformats.org/spreadsheetml/2006/main" count="1032" uniqueCount="357">
  <si>
    <t>Particulars</t>
  </si>
  <si>
    <t>Audited</t>
  </si>
  <si>
    <t>Revenue from Operations</t>
  </si>
  <si>
    <t>Total Income</t>
  </si>
  <si>
    <t>Cost of materials and services consumed</t>
  </si>
  <si>
    <t>Purchases of stock-in-trade</t>
  </si>
  <si>
    <t>Changes in inventories of finished goods, stock-in-trade and work-in-progress</t>
  </si>
  <si>
    <t>Employee benefits expense</t>
  </si>
  <si>
    <t>Other expenses</t>
  </si>
  <si>
    <t>Total Expenses</t>
  </si>
  <si>
    <t>EBITDA</t>
  </si>
  <si>
    <t>EBIT</t>
  </si>
  <si>
    <t xml:space="preserve">Finance costs  </t>
  </si>
  <si>
    <t>Other income</t>
  </si>
  <si>
    <t>Profit before exceptional items, share of associate's profits &amp; tax</t>
  </si>
  <si>
    <t>Exceptional items</t>
  </si>
  <si>
    <t>Share of associate's profits</t>
  </si>
  <si>
    <t>Profit before Tax</t>
  </si>
  <si>
    <t>Taxes</t>
  </si>
  <si>
    <t>Net Profit</t>
  </si>
  <si>
    <t>ASSETS</t>
  </si>
  <si>
    <t>Non-Current Assets</t>
  </si>
  <si>
    <t>Property, plant and equipment</t>
  </si>
  <si>
    <t>Capital work-in-progress</t>
  </si>
  <si>
    <t>Right-of-use asset</t>
  </si>
  <si>
    <t>Goodwill</t>
  </si>
  <si>
    <t>Other Intangible assets</t>
  </si>
  <si>
    <t>Intangible assets under development</t>
  </si>
  <si>
    <t>Investments - Accounted for using equity method</t>
  </si>
  <si>
    <t>Financial assets</t>
  </si>
  <si>
    <t>(i) Investments</t>
  </si>
  <si>
    <t>(ii) Trade receivables</t>
  </si>
  <si>
    <t>(iii) Loans</t>
  </si>
  <si>
    <t>(iv) Other financial assets</t>
  </si>
  <si>
    <t>Deferred tax assets (net)</t>
  </si>
  <si>
    <t>Income tax assets (net)</t>
  </si>
  <si>
    <t>Other non-current assets</t>
  </si>
  <si>
    <t>Total Non-current assets</t>
  </si>
  <si>
    <t>Current Assets</t>
  </si>
  <si>
    <t>Inventories</t>
  </si>
  <si>
    <t>(iii) Cash and cash equivalents</t>
  </si>
  <si>
    <t>(iv) Bank balances other than (iii) above</t>
  </si>
  <si>
    <t>(v) Loans</t>
  </si>
  <si>
    <t>(vi) Other financial assets</t>
  </si>
  <si>
    <t>Contract Assets</t>
  </si>
  <si>
    <t>Other current assets</t>
  </si>
  <si>
    <t>Total Current Assets</t>
  </si>
  <si>
    <t>Total Assets</t>
  </si>
  <si>
    <t>EQUITY AND LIABILITIES</t>
  </si>
  <si>
    <t>Equity</t>
  </si>
  <si>
    <t>Equity share capital</t>
  </si>
  <si>
    <t>Other equity</t>
  </si>
  <si>
    <t>Non-controlling interest</t>
  </si>
  <si>
    <t>Total equity</t>
  </si>
  <si>
    <t>Non-current liabilities</t>
  </si>
  <si>
    <t>Financial liabilities</t>
  </si>
  <si>
    <t>(i) Borrowings</t>
  </si>
  <si>
    <t>(ii) Lease Liability</t>
  </si>
  <si>
    <t>(iii) Other financial liabilities</t>
  </si>
  <si>
    <t>Provisions</t>
  </si>
  <si>
    <t>Deferred tax liabilities (net)</t>
  </si>
  <si>
    <t>Contract liabilities</t>
  </si>
  <si>
    <t>Other non-current liabilities</t>
  </si>
  <si>
    <t>Total Non-current liabilities</t>
  </si>
  <si>
    <t>Current liabilities</t>
  </si>
  <si>
    <t>(ii) Trade payables</t>
  </si>
  <si>
    <t>a) Total outstanding dues of Micro and Small Enterprises</t>
  </si>
  <si>
    <t>b) Total outstanding dues other than Micro and Small Enterprises</t>
  </si>
  <si>
    <t>(iii) Lease Liability</t>
  </si>
  <si>
    <t>(iv) Other financial liabilities</t>
  </si>
  <si>
    <t>Other current liabilities</t>
  </si>
  <si>
    <t>Current tax liabilities (net)</t>
  </si>
  <si>
    <t>Total Current liabilities</t>
  </si>
  <si>
    <t>TOTAL EQUITY AND LIABILITIES</t>
  </si>
  <si>
    <t>Asset classified as held for sale</t>
  </si>
  <si>
    <t>Liabilities directly associated with assets classified as held for sale</t>
  </si>
  <si>
    <t>Current Tax Assets (Net)</t>
  </si>
  <si>
    <t>KPIs</t>
  </si>
  <si>
    <t>Revenue % (y-o-y)</t>
  </si>
  <si>
    <t>GP%</t>
  </si>
  <si>
    <t>EBITDA%</t>
  </si>
  <si>
    <t>EBIT %</t>
  </si>
  <si>
    <t>NP %</t>
  </si>
  <si>
    <t>ROA</t>
  </si>
  <si>
    <t>Asset Turnover</t>
  </si>
  <si>
    <t>Assets / Equity</t>
  </si>
  <si>
    <t>ROE</t>
  </si>
  <si>
    <t>Liquidity ratios</t>
  </si>
  <si>
    <t>Current ratio</t>
  </si>
  <si>
    <t>Quick ratio</t>
  </si>
  <si>
    <t>Solvency ratios</t>
  </si>
  <si>
    <t>Debt ratio</t>
  </si>
  <si>
    <t>Debt-Equity ratio</t>
  </si>
  <si>
    <t>Interest coverage ratio</t>
  </si>
  <si>
    <t>Debt-service coverage ratio</t>
  </si>
  <si>
    <t>Other operating revenues</t>
  </si>
  <si>
    <t>Within India</t>
  </si>
  <si>
    <t>Outside India</t>
  </si>
  <si>
    <t>NA</t>
  </si>
  <si>
    <t>Sale of products &amp; services</t>
  </si>
  <si>
    <t>Other Income</t>
  </si>
  <si>
    <t>% on Sale of Products &amp; services</t>
  </si>
  <si>
    <t>Scenario:</t>
  </si>
  <si>
    <t>Best case</t>
  </si>
  <si>
    <t>Base case</t>
  </si>
  <si>
    <t>Worst case</t>
  </si>
  <si>
    <t>Scenario Manager</t>
  </si>
  <si>
    <t>Case no</t>
  </si>
  <si>
    <t>Total Company Sale Units</t>
  </si>
  <si>
    <t>Company Sale units</t>
  </si>
  <si>
    <t>Scenario for Sale Units</t>
  </si>
  <si>
    <t>Total COGS</t>
  </si>
  <si>
    <t>Freehold land</t>
  </si>
  <si>
    <t>Opening Gross Block</t>
  </si>
  <si>
    <t>Additions</t>
  </si>
  <si>
    <t>Adjustments*</t>
  </si>
  <si>
    <t>Adjustments</t>
  </si>
  <si>
    <t>Disposals / Adjustments</t>
  </si>
  <si>
    <t>Closing Gross Block</t>
  </si>
  <si>
    <t>Buildings</t>
  </si>
  <si>
    <t>Accumulated Depreciation</t>
  </si>
  <si>
    <t>Depreciation for year</t>
  </si>
  <si>
    <t>Net Block</t>
  </si>
  <si>
    <t>Plant and equipment</t>
  </si>
  <si>
    <t>Furniture and fittings</t>
  </si>
  <si>
    <t>Vehicles</t>
  </si>
  <si>
    <t>Office Equipment</t>
  </si>
  <si>
    <t>Assets given on lease</t>
  </si>
  <si>
    <t>Aircraft</t>
  </si>
  <si>
    <t>Electrical and other installations</t>
  </si>
  <si>
    <t>on lease hold premises</t>
  </si>
  <si>
    <t>Computer software</t>
  </si>
  <si>
    <t>Developed</t>
  </si>
  <si>
    <t>Acquired</t>
  </si>
  <si>
    <t>Technical knowhow</t>
  </si>
  <si>
    <t>Acquisition through business combination</t>
  </si>
  <si>
    <t>Reclassified as assets held for Sale</t>
  </si>
  <si>
    <t>Commercial vehicles given on lease</t>
  </si>
  <si>
    <t>Customer relationships</t>
  </si>
  <si>
    <t>Trademark</t>
  </si>
  <si>
    <t>Total PPE Net Block</t>
  </si>
  <si>
    <t>Total Fixed Assets - Net Block</t>
  </si>
  <si>
    <t>Depreciation for Intangible Assets</t>
  </si>
  <si>
    <t>Depreciation for PPE</t>
  </si>
  <si>
    <t>Increase in Fixed Assets</t>
  </si>
  <si>
    <t>Capital WIP</t>
  </si>
  <si>
    <t>Increase in Capital WIP</t>
  </si>
  <si>
    <t>Total Capex</t>
  </si>
  <si>
    <t>Trade Receivables</t>
  </si>
  <si>
    <t>Trade Payables</t>
  </si>
  <si>
    <t>Net Working Capital</t>
  </si>
  <si>
    <t>DSO</t>
  </si>
  <si>
    <t>DIO</t>
  </si>
  <si>
    <t>DPO</t>
  </si>
  <si>
    <t>Net Trade Cycle</t>
  </si>
  <si>
    <t>Tax Rate</t>
  </si>
  <si>
    <t>Other financial assets</t>
  </si>
  <si>
    <t>Investments</t>
  </si>
  <si>
    <t>Loans</t>
  </si>
  <si>
    <t>Expenses</t>
  </si>
  <si>
    <t>Dividends Paid</t>
  </si>
  <si>
    <t xml:space="preserve">Total Other Intangible assets </t>
  </si>
  <si>
    <t>check</t>
  </si>
  <si>
    <t>Trade receivables</t>
  </si>
  <si>
    <t>Cash and cash equivalents</t>
  </si>
  <si>
    <t>Add</t>
  </si>
  <si>
    <t>Finance costs</t>
  </si>
  <si>
    <t>Increase/(decrease) in Current Liabilities</t>
  </si>
  <si>
    <t>Borrowings</t>
  </si>
  <si>
    <t>Lease Liability</t>
  </si>
  <si>
    <t>Other financial liabilities</t>
  </si>
  <si>
    <t>Trade payables</t>
  </si>
  <si>
    <t>Less</t>
  </si>
  <si>
    <t>Share of associates profit</t>
  </si>
  <si>
    <t>Taxes paid</t>
  </si>
  <si>
    <t>Increase/(decrease) in Current Assets</t>
  </si>
  <si>
    <t>Cashflows from Operating activities</t>
  </si>
  <si>
    <t>Cashflows from Investing activities</t>
  </si>
  <si>
    <t>Increase/(decrease) in Non Current Assets</t>
  </si>
  <si>
    <t>Capital Expenditure on PPE, ROU &amp; Intangibles</t>
  </si>
  <si>
    <t>Cashflows from Financing activities</t>
  </si>
  <si>
    <t>Increase/(decrease) in Non Current Liabilities</t>
  </si>
  <si>
    <t>less</t>
  </si>
  <si>
    <t>Finance Cost</t>
  </si>
  <si>
    <t>Net Cashflows during the year</t>
  </si>
  <si>
    <t>Opening Cash &amp; Cash equivalents</t>
  </si>
  <si>
    <t>Closing Cash &amp; Cash equivalents</t>
  </si>
  <si>
    <t xml:space="preserve">check </t>
  </si>
  <si>
    <t>Profitability Ratios</t>
  </si>
  <si>
    <t>Gross Margin</t>
  </si>
  <si>
    <t>EBITDA Margin</t>
  </si>
  <si>
    <t>Operating Margin</t>
  </si>
  <si>
    <t>Pretax Margin</t>
  </si>
  <si>
    <t>Effective Tax rate</t>
  </si>
  <si>
    <t>Net Margin</t>
  </si>
  <si>
    <t>Gross Profit Margin</t>
  </si>
  <si>
    <t>DuPont/Earning Power</t>
  </si>
  <si>
    <t>Pre tax ROA</t>
  </si>
  <si>
    <t>Pre Tax ROE</t>
  </si>
  <si>
    <t>Tax Complement</t>
  </si>
  <si>
    <t>Equity Retention</t>
  </si>
  <si>
    <t>Reinvestment Rate</t>
  </si>
  <si>
    <t>Liquidity Ratio</t>
  </si>
  <si>
    <t>Cash Cycle (Days)</t>
  </si>
  <si>
    <t>Leverage</t>
  </si>
  <si>
    <t>Asset/Equity</t>
  </si>
  <si>
    <t>Debt/Equity</t>
  </si>
  <si>
    <t>Operating</t>
  </si>
  <si>
    <t>A/R Turnover</t>
  </si>
  <si>
    <t>Avg. A/R Days</t>
  </si>
  <si>
    <t>Inventory Turnover</t>
  </si>
  <si>
    <t>Avg. Inventory Days</t>
  </si>
  <si>
    <t>A/P Turnover</t>
  </si>
  <si>
    <t>Avg. A/P Days</t>
  </si>
  <si>
    <t>Fixed Asset Turnover</t>
  </si>
  <si>
    <t>ROIC</t>
  </si>
  <si>
    <t>Year to year growth</t>
  </si>
  <si>
    <t>Profit Before Tax</t>
  </si>
  <si>
    <t>Return on Capital Employed</t>
  </si>
  <si>
    <t>Date</t>
  </si>
  <si>
    <t>Price</t>
  </si>
  <si>
    <t>YearFrac</t>
  </si>
  <si>
    <t>Rate</t>
  </si>
  <si>
    <t>Ashok leyland</t>
  </si>
  <si>
    <t>Nifty 50</t>
  </si>
  <si>
    <t>Chg%</t>
  </si>
  <si>
    <t>Beta</t>
  </si>
  <si>
    <t>Less: Tax on EBIT</t>
  </si>
  <si>
    <t>Less: Capex</t>
  </si>
  <si>
    <t>Change in working capital</t>
  </si>
  <si>
    <t>Unlevered FCFF</t>
  </si>
  <si>
    <t>Risk-free rate (Rf)</t>
  </si>
  <si>
    <t>Market return (Rm)</t>
  </si>
  <si>
    <t>Equity Risk Premium (Rm-Rf)</t>
  </si>
  <si>
    <t>Cost of Equity (CAPM)</t>
  </si>
  <si>
    <t>WACC</t>
  </si>
  <si>
    <t>Debt (after tax)</t>
  </si>
  <si>
    <t>Discount rate (WACC)</t>
  </si>
  <si>
    <t>Equity value</t>
  </si>
  <si>
    <t>Debt Value</t>
  </si>
  <si>
    <t>Market value</t>
  </si>
  <si>
    <t>Company data</t>
  </si>
  <si>
    <t>Amount</t>
  </si>
  <si>
    <t>No of Outstanding shares</t>
  </si>
  <si>
    <t>Nos</t>
  </si>
  <si>
    <t>Face Value per share</t>
  </si>
  <si>
    <t>Rs.</t>
  </si>
  <si>
    <t>Current Market Price</t>
  </si>
  <si>
    <t>INR in crs</t>
  </si>
  <si>
    <t>Weightage</t>
  </si>
  <si>
    <t>Perpetual Growth rate</t>
  </si>
  <si>
    <t>Terminal value</t>
  </si>
  <si>
    <t>Intrinsic value</t>
  </si>
  <si>
    <t>Sum of PV of cashflows</t>
  </si>
  <si>
    <t>PV of Terminal value</t>
  </si>
  <si>
    <t>Enterprise value</t>
  </si>
  <si>
    <t>Add: Cash &amp; Cash Equivalents</t>
  </si>
  <si>
    <t>Less: Debt</t>
  </si>
  <si>
    <t>Less: Non-controlling interest</t>
  </si>
  <si>
    <t>Less: Preferred stock</t>
  </si>
  <si>
    <t>No of shares outstanding</t>
  </si>
  <si>
    <t>Intrinsic value per share</t>
  </si>
  <si>
    <t>Current Market price</t>
  </si>
  <si>
    <t>Upside/downside potential</t>
  </si>
  <si>
    <t>Sheet</t>
  </si>
  <si>
    <t>Assumptions</t>
  </si>
  <si>
    <t>Revenue Buildup</t>
  </si>
  <si>
    <t>Cost BulidUp</t>
  </si>
  <si>
    <t>Fixed Assets Schedule (FAS)</t>
  </si>
  <si>
    <t>Balance sheet items are predicted as a percentage of revenue using the average of the preceding five years as constant.</t>
  </si>
  <si>
    <t>BS Items</t>
  </si>
  <si>
    <t>Working Capital</t>
  </si>
  <si>
    <t>Balance Sheet</t>
  </si>
  <si>
    <t>Cash and Cash equivalents are taken as the balancing figures in the Balance Sheet.</t>
  </si>
  <si>
    <t>(INR in Crores)</t>
  </si>
  <si>
    <t>Cost Buidup</t>
  </si>
  <si>
    <t>Right-of-Use Asset</t>
  </si>
  <si>
    <t>Other Intangible Assets</t>
  </si>
  <si>
    <t>Fixed Assets Schedule</t>
  </si>
  <si>
    <t>Balance Sheet Items</t>
  </si>
  <si>
    <t>P&amp;L Input</t>
  </si>
  <si>
    <t>Balance Sheet Input</t>
  </si>
  <si>
    <t>Income Statement</t>
  </si>
  <si>
    <t>Total Current Liabilities</t>
  </si>
  <si>
    <t>Current Liabilities</t>
  </si>
  <si>
    <t>Total Non-Current Liabilities</t>
  </si>
  <si>
    <t>Non-Current Liabilities</t>
  </si>
  <si>
    <t>Total Equity</t>
  </si>
  <si>
    <t>Total Non-Current Assets</t>
  </si>
  <si>
    <t>Cash Flow Statement</t>
  </si>
  <si>
    <t>Ratio Analysis</t>
  </si>
  <si>
    <t>Interpretation of Ratios</t>
  </si>
  <si>
    <t>Equity Market Return</t>
  </si>
  <si>
    <t>Beta Calculation</t>
  </si>
  <si>
    <t>Cost of Equity</t>
  </si>
  <si>
    <t>Sensitivity Analysis</t>
  </si>
  <si>
    <t>Discount Rate</t>
  </si>
  <si>
    <t>Terminal Growth Rate</t>
  </si>
  <si>
    <t>ISIN Code</t>
  </si>
  <si>
    <t>Sector Name</t>
  </si>
  <si>
    <t>Industry</t>
  </si>
  <si>
    <t>Exchange Name</t>
  </si>
  <si>
    <t>Ashok Leyland Ltd</t>
  </si>
  <si>
    <t>INE208A01029</t>
  </si>
  <si>
    <t>Commercial Vehicles</t>
  </si>
  <si>
    <t>Automobile Sector</t>
  </si>
  <si>
    <t>ASHOKLEY</t>
  </si>
  <si>
    <t>Common Sizing</t>
  </si>
  <si>
    <t>Charts</t>
  </si>
  <si>
    <t>Revenue per unit</t>
  </si>
  <si>
    <t>Pre-Tax ROA (Return on Assets) measures the company's ability to generate profits from its assets before taxes.It fluctuates between -0.47% and 6.71%, indicating inconsistent profitability from asset utilization.Higher values (e.g.6.71%) suggest better operational efficiency, while lower values (e.g.-0.47%) might indicate challenges in converting assets into earnings.The trend should be compared to industry benchmarks for a clearer evaluation of performance.</t>
  </si>
  <si>
    <t>Market Capitalization</t>
  </si>
  <si>
    <t>Revenue from operation per case is projected as taking average growth per car of audited years as base case and Adjusted by +5% for best and -5% for worst cases and taking constant for further projected years.</t>
  </si>
  <si>
    <t>Company sale units per case is projected as taking average growth of audited years as base case and Adjusted by +5% for best and -5% for worst cases and taking constant for further projected years.</t>
  </si>
  <si>
    <t>Depreciation and amortization expense</t>
  </si>
  <si>
    <t>Projected</t>
  </si>
  <si>
    <t>Bank balances other than, above</t>
  </si>
  <si>
    <t>Depreciation &amp; Amortization</t>
  </si>
  <si>
    <t>Add: Depreciation &amp; Amortization</t>
  </si>
  <si>
    <t>Company Name</t>
  </si>
  <si>
    <t>Figures of the year 2024 are used to forecast the additions, disposals and depreciation of Fixed assets, Intangibles and ROU assets, asset held for sale  with 0.5% growth rate for the every projected years.</t>
  </si>
  <si>
    <t>Capital WIP is forecasted at same absolute growth and increased by 0.5% for every projected years.</t>
  </si>
  <si>
    <t>The "Tax Complement" represents the proportion of earnings retained after taxes, calculated as 1−Tax Rate. It reflects how much of the pre-tax earnings are available for reinvestment or distribution.In this sheet, it ranges from -27.62 to 2.33, indicating variation in the tax rate's impact across years. Lower values suggest higher tax burdens, while higher values indicate lower effective tax rates. This metric is critical for analyzing how tax policies affect profitability and reinvestment capacity.</t>
  </si>
  <si>
    <t>Other Income  are projected as % on Sale of goods and take average of its, constant for all projected years</t>
  </si>
  <si>
    <t xml:space="preserve">All the costs are projected as a % of sale of goods and take average of all audited year and multiplying to projected revenue from operation.  </t>
  </si>
  <si>
    <t>Finance costs which are calculated from balance sheet,add borrowings, lease liabilities and latest years's % rates are used for projections.</t>
  </si>
  <si>
    <t>Future years DSO,DIO and DPO have been fixed by averaging past data spanning five years but here 2021 year is not considering becaused of the effect of COVID 19</t>
  </si>
  <si>
    <t>Equity Beta</t>
  </si>
  <si>
    <t>Beta find out by slope of the Ashok leyland and market return called as Nifty 50</t>
  </si>
  <si>
    <t>DCF Analysis</t>
  </si>
  <si>
    <t>Consider Risk free Return 7.01% and Perpetual Growth Rate is 6%</t>
  </si>
  <si>
    <t>Tax Rate is 30% and it is constant for projected years.i.e indian corporate tax act.</t>
  </si>
  <si>
    <t>The effective tax rate has remained relatively stable over the projected period at 30%.In the earlier year 2020, the effective tax rate was around 38%, indicating a higher tax burden.From 2021 to 2022 is in negative and again 34% in 2024 onwards, the effective tax rate is projected to increase, settling 30.00%The consistent effective tax rate suggests a stable tax environment for the company, which is an important factor in its overall financial performance.</t>
  </si>
  <si>
    <t>Pre-Tax ROE (Return on Equity) measures the profitability generated per unit of shareholder equity before taxes.The values range from -2.25% to 41.78%, showing variability in returns provided to shareholders.Peaks like 41.78% indicate strong profitability, while lower figures (e.g.-2.25%) may reflect challenges in equity efficiency or operational issues.This metric should be compared with industry norms to assess the company's competitive financial performance.</t>
  </si>
  <si>
    <t>The Equity Retention ratio measures the proportion of earnings retained in the business after dividends.The ratio starts at peaks at 1, and then stabilizes around 0.72  in later periods, indicating varying retention strategies.The early years (high values) suggest a focus on reinvestment and growth, while the later stabilization indicates consistent payout policies.The decline after the peak could reflect higher dividend distributions or reduced profitability.A steady ratio in later years aligns with long-term financial planning and shareholder expectations.</t>
  </si>
  <si>
    <t>Projected improvement in ROCE suggests more  effective utilization of capital in the  future. Optimize capital investments and ensure efficient allocation to high return projects.For projected year improve from 14.12% to 16.31%.</t>
  </si>
  <si>
    <t>The Reinvestment Rate reflects the percentage of earnings reinvested into the business for growth.It begins at -0.77%, fluctuates between -0.322% and 21.25%, then stabilizes around 9.59% to 22.65%, indicating changes in growth strategy.The peak of 22.65% corresponds to the highest equity retention, suggesting a focused reinvestment phase.Lower reinvestment rates might indicate prioritization of dividends or limited growth opportunities.The stabilization in later years reflects a matured business focusing on consistent reinvestment for steady growth.</t>
  </si>
  <si>
    <t>The A/R Turnover Ratio in the image ranges from 6.25 to 21.16, reflecting how efficiently the company collects revenue from its credit sales.Higher ratios (e.g., 21.16) indicate strong credit management and quick collection of receivables, which improves cash flow.Lower ratios (e.g., 6.25) suggest slower collection, which could lead to cash flow constraints or a buildup of outstanding receivables.The increase over time to 21.16 shows improved efficiency in managing accounts receivable, likely reducing credit risks.Sustaining a high A/R Turnover ratio ensures better liquidity and operational stability by minimizing the time sales revenue is tied up in receivables.</t>
  </si>
  <si>
    <t>The Avg. A/R Days in the image range from 24.88 to 56.68, representing the average number of days the company takes to collect payments from its customers.Lower values (e.g., 24.88 days) indicate faster collection of receivables, which supports better cash flow and liquidity.Higher values (e.g., 56.68 days) suggest slightly slower collections, but the range is generally low and stable at 34.56 in projected years, indicating strong credit control practices.The relatively stable trend implies consistency in the company's credit and collection processes over time.Reducing Avg. A/R Days further, if feasible, would enhance working capital management and accelerate cash inflows.</t>
  </si>
  <si>
    <t>The Inventory Turnover Ratio shows following trend:
It starts at 5.98, indicating slower inventory turnover, which could suggest inefficiencies or higher inventory levels relative to sales.It peaks at 9.64, demonstrating significant improvement in inventory management and faster turnover, reflecting efficient operations.The ratio stabilizes around 8.59 in later years, suggesting consistency in inventory management practices.The overall improvement from earlier years to later years indicates enhanced operational efficiency, but maintaining a balance is critical to avoid stockouts or excess inventory.</t>
  </si>
  <si>
    <t>The Avg. Inventory Days ranges from 75.62 to 42.02, representing the average number of days inventory is held before being sold.The high value of 75.62 days in the earlier years indicates slower inventory turnover, leading to increased holding costs and potential inefficiencies.The subsequent decline to values around 42.02 days reflects improved inventory management and quicker sales cycles.This stabilization in later years suggests the company has optimized its inventory levels to align with sales demand.Reducing Avg. Inventory Days further could enhance cash flow and reduce storage costs, boosting overall operational efficiency.</t>
  </si>
  <si>
    <t>The A/P Turnover Ratio in the image ranges from 2.95 to 4.29, reflecting how efficiently the company pays off its accounts payable.The higher ratio of 4.29 indicates the company is paying its suppliers more quickly, which could strengthen supplier relationships but may strain cash flow.Lower ratios (e.g., 2.95) suggest a slower payment cycle, which can improve liquidity but might risk supplier trust or result in missed discounts.The ratio shows a generally increasing trend over time, indicating an effort to settle payables more promptly.Maintaining a balanced A/P Turnover Ratio is key to managing cash flow effectively while preserving strong supplier relationships.</t>
  </si>
  <si>
    <t>The Fixed Asset Turnover Ratio in the image ranges from 2.83 to 49.89, indicating how efficiently the company generates revenue from its fixed assets.The lower values in earlier years (e.g., 2.83) suggest underutilization of fixed assets or slower revenue generation relative to investments in fixed assets.The steady increase to 49.89 in later years reflects improved efficiency, with fixed assets contributing more significantly to revenue generation.This upward trend indicates better asset management, possibly due to higher sales or optimized utilization of fixed resources.Sustaining a high Fixed Asset Turnover Ratio ensures effective use of investments in fixed assets, boosting overall operational performance.</t>
  </si>
  <si>
    <t>The Return on Invested Capital (ROIC) in the image ranges from -0.88% to 5.15%, reflecting the company’s ability to generate returns on capital invested in its operations.The negative ROIC of -0.25% in the earliest period indicates the company failed to generate sufficient profits to cover its invested capital, signaling inefficiency.The increase to 3.26% and 5.15% in subsequent periods shows significant improvement, indicating effective deployment of capital and stronger profitability.The later decline to 3.23to 4.42% suggests slight pressure on profitability or efficiency but still represents a positive return. Maintaining a consistently high ROIC is essential for creating value for investors and ensuring long-term financial health.</t>
  </si>
  <si>
    <t>The pre-tax margin represents the percentage of revenue remaining after accounting for operating expenses, excluding taxes.The pre-tax margin has shown volatility, starting at 3.37% in 2020, negative in 2021 to 2022 and improve 8.97% by 2024.From 2025 onwards, the pre-tax margin is projected to improve 4.95% to 6.38%, indicating consistent operational efficiency.The initial fluctuation might indicate external challenges or operational inefficiencies, which appear resolved over time.Improve margins in projections suggest a focus on cost control and predictable growth.</t>
  </si>
  <si>
    <t>The Cash Cycle (Days) in the image ranges from -3.77 to -20.54 in Audited years, representing the time it takes for the company to convert its investments in inventory into cash from sales.A shorter cash cycle and it is negative very good, indicates efficient management of inventory and receivables, leading to quicker cash recovery.if is it postive  cash cycle values suggest a delay in either inventory turnover or receivables collection, which may strain cash flow.The relative stability in later periods at -20.54 days implies consistent operational performance and cash flow predictability.</t>
  </si>
  <si>
    <t>The Avg. A/P Days in the image ranges from 77.52 to 161.97, representing the average number of days the company takes to pay its suppliers.The low value of 77.52 days suggests faster payments, which may enhance supplier trust but could strain the company’s cash flow.The higher value of 161.97 days indicates slower payment cycles, allowing the company to retain cash longer for operational needs.The gradual stabilization around 102.17 days in later periods reflects a consistent and balanced approach to managing payment terms.Optimizing Avg. A/P Days is critical to maintaining strong supplier relationships while effectively managing working capital.</t>
  </si>
  <si>
    <t>Ashok Leyland's operating margin has been unstable, reflecting fluctuations in profitability and cost management. It dropped from 11.31% in 2020 to 7.24% in 2022, indicating challenges in controlling operating expenses. However, it rebounded sharply to 15.32% by 2024, suggesting improved efficiency and revenue growth. Looking ahead (2024-2034), the margin is expected to gradually rise from 11.85% to 13.25%, signaling better cost control and business stability. The lower margins highlight the company's sensitivity to costs and price fluctuations in the industry, while the projected stability suggests improved operational efficiency, favorable market conditions, and sustained investor confidence in the long term.</t>
  </si>
  <si>
    <t>The EBITDA margin for Ashok Leyland Limited improved from 14.73% in 2020 to 17.35% in 2024, indicating stronger operational efficiency and improved profitability. However, it declined to 10.54% in 2022, reflecting challenges in managing operating expenses and potential cost pressures. This fluctuation highlights the company's sensitivity to costs and revenue changes, impacting its financial stability.From 2025 onwards, the margin is projected to stabilize at 13.50%, suggesting improved cost control, steady cash flow generation, and sustained operational performance. This stability may also indicate favorable market conditions and competitiveness within the industry. As EBITDA margin is a key metric for investors and creditors, maintaining consistency will enhance the company’s attractiveness for investments and financial support. Overall, this trend presents a cautiously optimistic outlook for Ashok Leyland’s long-term efficiency and growth.</t>
  </si>
  <si>
    <t>The gross margin for Ashok Leyland Limited has fluctuated over the years, peaking at 39.20% in 2020, reflecting strong profitability and favorable market conditions. However, it declined to 30.84% in 2023, indicating rising production costs, pricing pressure, or reduced revenue efficiency. This suggests challenges in cost management and potential impacts from competitive forces in the industry.Future projections indicate stabilization around 35.43% from 2025 onwards, signaling improved cost control, better production efficiency, and steady revenue growth. A stable gross margin supports long-term business sustainability and reinvestment opportunities. Compared to industry benchmarks, maintaining a strong margin enhances Ashok Leyland's competitive positioning. This reflects a cautious yet optimistic outlook for operational efficiency and suggests that the company has steady room for expansion and future growth.</t>
  </si>
  <si>
    <t>The net margin reflects the percentage of revenue that remains as profit after covering all expenses, including taxes and interest. It is a key indicator of overall profitability, cost efficiency, and financial stability.In 2020, the net margin stood at 2% but later declined into negative territory, highlighting financial challenges and rising cost pressures. However, it improved to 3.27% in 2023 and 5.89% in 2024, signaling efforts to enhance operational efficiency and control expenses. Despite this recovery, the decline in earlier years suggests the impact of market conditions, competitive pricing pressures, or increased financial obligations.Future projections indicate net margins stabilizing between 3.47% and 4.46%, reflecting a consistent yet modest profitability level. This stability suggests the company is implementing balanced financial strategies, focusing on long-term sustainability rather than aggressive profit expansion. Maintaining steady net margins also strengthens investor confidence, supports reinvestment opportunities, and enhances competitive positioning in the industry.</t>
  </si>
  <si>
    <t>Asset Turnover reflects the company's efficiency in generating sales from its assets, indicating how well resources are utilized to drive revenue. A higher ratio suggests better asset productivity, while a lower ratio may indicate inefficiencies or underutilization.The ratio has shown an upward trend from 48.52% to 84.76% in audited years, demonstrating improved asset utilization and revenue generation. However, in projected years (73.51% to 76.48%), it indicates slight fluctuations, suggesting varying efficiency in asset deployment. A higher asset turnover ratio can enhance profitability and return on investment, provided cost structures remain stable.This metric is particularly useful when benchmarked against industry peers, offering insights into competitive performance. A strong ratio indicates financial health, operational efficiency, and growth potential, making the company more attractive to investors. On the other hand, fluctuations may highlight the need for better asset management strategies to sustain long-term efficiency and revenue growth.</t>
  </si>
  <si>
    <t>Return on Equity (ROE) measures a company's profitability and efficiency in generating returns from shareholders' equity. It is a key indicator of financial performance, capital utilization, and shareholder value creation.In the given data, ROE fluctuates from -3.22% to 29.25%, highlighting variations in financial performance across different years. The negative ROE during certain periods, such as due to COVID-19, reflects financial struggles, possibly due to declining revenues or increased costs. A higher ROE in certain years suggests effective capital utilization and strong profitability, indicating the company's ability to reward investors.However, a declining trend in ROE may point to challenges in sustaining efficient returns, such as rising debt, increased operating costs, or weak revenue growth. Benchmarking ROE against industry peers helps assess the company’s competitive strength and financial health. A stable or improving ROE with controlled debt levels is a positive sign for investors, reflecting long-term growth potential and business stability.</t>
  </si>
  <si>
    <t>The Quick Ratio in the image ranges from 0.83 to 1.06, reflecting the company’s ability to meet short-term liabilities using its most liquid assets (excluding inventory). This metric is crucial in assessing liquidity, financial stability, and cash flow management.Values below 1 (as seen in most data points) suggest potential liquidity concerns, indicating that the company may struggle to cover short-term obligations without selling inventory or securing additional financing. A low quick ratio may also signal slow receivables collection, rising short-term liabilities, or inefficient working capital management.However, the increasing trend from 0.97 to 1.06 reflects improving liquidity and financial health over time. Ratios above 1 in later periods indicate a stronger position to handle short-term liabilities, providing greater financial flexibility and reduced reliance on inventory for cash flow.Comparing the quick ratio with industry benchmarks helps assess how efficiently the company manages liquidity relative to competitors. Lenders and investors prefer companies with a stable or rising quick ratio, as it signals lower financial risk and better debt repayment ability.</t>
  </si>
  <si>
    <t>The Current Ratio in the image ranges from 0.98 to 1.20, reflecting the company’s ability to cover short-term liabilities using current assets. This ratio is a key measure of liquidity, financial stability, and working capital efficiency.Ratios below 1 (early periods) suggest liquidity risks, indicating that the company may struggle to meet short-term obligations without relying on external financing or asset liquidation. A low current ratio may signal rising short-term liabilities, inefficient cash flow management, or slow asset turnover.wever, the increasing trend over time, reaching 1.20, demonstrates significant improvement in financial stability and a stronger ability to manage liabilities. A ratio above 1.5 in later periods suggests a healthy liquidity position, ensuring the company can meet its obligations comfortably.</t>
  </si>
  <si>
    <t>The Asset-to-Equity Ratio in the image ranges from 4.29 to 8.59, reflecting the extent to which the company’s assets are financed by shareholders’ equity versus debt. This ratio is a key indicator of financial leverage, risk exposure, and capital structure efficiency.Higher ratios (e.g., 8.59) suggest a greater reliance on debt financing, which can increase financial risk due to higher interest obligations. However, if managed well, it can support business growth and improve return on equity (ROE) by leveraging debt for expansion.he declining trend toward 4.29 indicates a gradual reduction in financial leverage, signaling improved equity funding and lower dependence on debt. A lower ratio reduces financial risk, making the company more resilient to economic downturns, interest rate fluctuations, and financial shocks.Comparing the asset-to-equity ratio with industry benchmarks helps evaluate whether the company’s capital structure is competitive and sustainable. While moderate leverage can enhance profitability, excessively high debt levels may reduce financial stability.</t>
  </si>
  <si>
    <t>The Debt/Equity Ratio in the image ranges from 1.82 to 4.99, indicating the proportion of the company’s debt relative to shareholders’ equity. This ratio provides insights into the company’s financial leverage, risk level, solvency, investor confidence, cost of capital, industry positioning, and growth potential.Higher ratios (e.g., 4.99) suggest significant reliance on debt financing, which may increase financial risk but could also enable business expansion due to the lower cost of capital compared to equity. However, excessive debt can reduce solvency and stability, increasing the risk of financial distress.The declining trend over time toward 1.82 reflects improved financial stability, with a reduced dependence on debt and a stronger equity base. A lower ratio is generally favorable, as it indicates conservative financing, reduced vulnerability to interest rate fluctuations, and greater investor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</si>
</sst>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409]d\-mmm\-yy;@"/>
    <numFmt numFmtId="166" formatCode="0.0"/>
  </numFmts>
  <fonts count="31" x14ac:knownFonts="1">
    <font>
      <sz val="11"/>
      <color theme="1"/>
      <name val="Calibri"/>
      <family val="2"/>
      <scheme val="minor"/>
    </font>
    <font>
      <b/>
      <sz val="11"/>
      <color theme="1"/>
      <name val="Calibri Light"/>
      <family val="1"/>
      <scheme val="major"/>
    </font>
    <font>
      <sz val="11"/>
      <color theme="1"/>
      <name val="Calibri Light"/>
      <family val="1"/>
      <scheme val="major"/>
    </font>
    <font>
      <sz val="11"/>
      <color theme="1"/>
      <name val="Calibri"/>
      <family val="2"/>
      <scheme val="minor"/>
    </font>
    <font>
      <i/>
      <sz val="11"/>
      <color theme="1"/>
      <name val="Calibri Light"/>
      <family val="1"/>
      <scheme val="major"/>
    </font>
    <font>
      <i/>
      <sz val="11"/>
      <color theme="1"/>
      <name val="Calibri"/>
      <family val="2"/>
      <scheme val="minor"/>
    </font>
    <font>
      <sz val="11"/>
      <color theme="1"/>
      <name val="Cambria"/>
      <family val="1"/>
    </font>
    <font>
      <sz val="11"/>
      <color rgb="FF0070C0"/>
      <name val="Cambria"/>
      <family val="1"/>
    </font>
    <font>
      <b/>
      <sz val="11"/>
      <color theme="1"/>
      <name val="Cambria"/>
      <family val="1"/>
    </font>
    <font>
      <b/>
      <sz val="11"/>
      <color rgb="FF0070C0"/>
      <name val="Cambria"/>
      <family val="1"/>
    </font>
    <font>
      <b/>
      <sz val="11"/>
      <name val="Cambria"/>
      <family val="1"/>
    </font>
    <font>
      <sz val="11"/>
      <name val="Cambria"/>
      <family val="1"/>
    </font>
    <font>
      <sz val="11"/>
      <color theme="1"/>
      <name val="Calibri Light"/>
      <family val="2"/>
      <scheme val="major"/>
    </font>
    <font>
      <sz val="10"/>
      <name val="Calibri Light"/>
      <family val="1"/>
      <scheme val="major"/>
    </font>
    <font>
      <i/>
      <sz val="11"/>
      <color theme="1"/>
      <name val="Cambria"/>
      <family val="1"/>
    </font>
    <font>
      <b/>
      <sz val="11"/>
      <color theme="4"/>
      <name val="Cambria"/>
      <family val="1"/>
    </font>
    <font>
      <sz val="11"/>
      <color theme="4"/>
      <name val="Cambria"/>
      <family val="1"/>
    </font>
    <font>
      <b/>
      <sz val="12"/>
      <color theme="0"/>
      <name val="Cambria"/>
      <family val="1"/>
    </font>
    <font>
      <b/>
      <sz val="12"/>
      <color theme="1"/>
      <name val="Cambria"/>
      <family val="1"/>
    </font>
    <font>
      <b/>
      <sz val="14"/>
      <color theme="0"/>
      <name val="Cambria"/>
      <family val="1"/>
    </font>
    <font>
      <sz val="11"/>
      <name val="Calibri"/>
      <family val="2"/>
      <scheme val="minor"/>
    </font>
    <font>
      <b/>
      <sz val="11"/>
      <color rgb="FFFF0000"/>
      <name val="Cambria"/>
      <family val="1"/>
    </font>
    <font>
      <b/>
      <sz val="11"/>
      <color theme="1"/>
      <name val="Calibri"/>
      <family val="2"/>
      <scheme val="minor"/>
    </font>
    <font>
      <sz val="11"/>
      <color theme="0"/>
      <name val="Cambria"/>
      <family val="1"/>
    </font>
    <font>
      <b/>
      <sz val="11"/>
      <color theme="0"/>
      <name val="Cambria"/>
      <family val="1"/>
    </font>
    <font>
      <sz val="11"/>
      <color rgb="FF1F1F1F"/>
      <name val="Cambria"/>
      <family val="1"/>
    </font>
    <font>
      <sz val="11"/>
      <color rgb="FF22222F"/>
      <name val="Cambria"/>
      <family val="1"/>
    </font>
    <font>
      <i/>
      <sz val="11"/>
      <color theme="4"/>
      <name val="Cambria"/>
      <family val="1"/>
    </font>
    <font>
      <i/>
      <sz val="11"/>
      <name val="Cambria"/>
      <family val="1"/>
    </font>
    <font>
      <b/>
      <sz val="9"/>
      <color indexed="81"/>
      <name val="Tahoma"/>
      <charset val="1"/>
    </font>
    <font>
      <sz val="9"/>
      <color indexed="81"/>
      <name val="Tahoma"/>
      <charset val="1"/>
    </font>
  </fonts>
  <fills count="16">
    <fill>
      <patternFill patternType="none"/>
    </fill>
    <fill>
      <patternFill patternType="gray125"/>
    </fill>
    <fill>
      <patternFill patternType="solid">
        <fgColor theme="0"/>
        <bgColor indexed="64"/>
      </patternFill>
    </fill>
    <fill>
      <patternFill patternType="solid">
        <fgColor theme="4" tint="0.79998168889431442"/>
        <bgColor indexed="65"/>
      </patternFill>
    </fill>
    <fill>
      <patternFill patternType="solid">
        <fgColor rgb="FFFFFFCC"/>
        <bgColor indexed="64"/>
      </patternFill>
    </fill>
    <fill>
      <patternFill patternType="lightGray"/>
    </fill>
    <fill>
      <patternFill patternType="solid">
        <fgColor theme="0" tint="-0.14999847407452621"/>
        <bgColor indexed="64"/>
      </patternFill>
    </fill>
    <fill>
      <patternFill patternType="solid">
        <fgColor theme="8" tint="-0.249977111117893"/>
        <bgColor indexed="64"/>
      </patternFill>
    </fill>
    <fill>
      <patternFill patternType="solid">
        <fgColor theme="4"/>
        <bgColor indexed="64"/>
      </patternFill>
    </fill>
    <fill>
      <patternFill patternType="solid">
        <fgColor rgb="FF0070C0"/>
        <bgColor indexed="64"/>
      </patternFill>
    </fill>
    <fill>
      <patternFill patternType="solid">
        <fgColor theme="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19">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auto="1"/>
      </right>
      <top/>
      <bottom/>
      <diagonal/>
    </border>
    <border>
      <left style="dotted">
        <color auto="1"/>
      </left>
      <right style="dotted">
        <color auto="1"/>
      </right>
      <top style="dotted">
        <color auto="1"/>
      </top>
      <bottom style="dotted">
        <color auto="1"/>
      </bottom>
      <diagonal/>
    </border>
    <border>
      <left style="dotted">
        <color auto="1"/>
      </left>
      <right style="dotted">
        <color auto="1"/>
      </right>
      <top/>
      <bottom style="dotted">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auto="1"/>
      </left>
      <right/>
      <top/>
      <bottom style="thin">
        <color auto="1"/>
      </bottom>
      <diagonal/>
    </border>
    <border>
      <left style="thin">
        <color auto="1"/>
      </left>
      <right/>
      <top/>
      <bottom/>
      <diagonal/>
    </border>
    <border>
      <left/>
      <right style="thin">
        <color indexed="64"/>
      </right>
      <top style="thin">
        <color indexed="64"/>
      </top>
      <bottom/>
      <diagonal/>
    </border>
    <border>
      <left/>
      <right/>
      <top style="thin">
        <color auto="1"/>
      </top>
      <bottom style="double">
        <color auto="1"/>
      </bottom>
      <diagonal/>
    </border>
    <border>
      <left style="thin">
        <color auto="1"/>
      </left>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top style="thin">
        <color auto="1"/>
      </top>
      <bottom/>
      <diagonal/>
    </border>
    <border>
      <left style="thin">
        <color indexed="64"/>
      </left>
      <right style="thin">
        <color indexed="64"/>
      </right>
      <top style="thin">
        <color indexed="64"/>
      </top>
      <bottom style="thin">
        <color indexed="64"/>
      </bottom>
      <diagonal/>
    </border>
    <border>
      <left style="thin">
        <color auto="1"/>
      </left>
      <right/>
      <top style="double">
        <color auto="1"/>
      </top>
      <bottom style="double">
        <color auto="1"/>
      </bottom>
      <diagonal/>
    </border>
    <border>
      <left/>
      <right/>
      <top style="double">
        <color auto="1"/>
      </top>
      <bottom style="double">
        <color auto="1"/>
      </bottom>
      <diagonal/>
    </border>
  </borders>
  <cellStyleXfs count="5">
    <xf numFmtId="0" fontId="0" fillId="0" borderId="0"/>
    <xf numFmtId="9" fontId="3" fillId="0" borderId="0" applyFont="0" applyFill="0" applyBorder="0" applyAlignment="0" applyProtection="0"/>
    <xf numFmtId="43" fontId="3" fillId="0" borderId="0" applyFont="0" applyFill="0" applyBorder="0" applyAlignment="0" applyProtection="0"/>
    <xf numFmtId="0" fontId="3" fillId="3" borderId="0" applyNumberFormat="0" applyBorder="0" applyAlignment="0" applyProtection="0"/>
    <xf numFmtId="0" fontId="12" fillId="0" borderId="0"/>
  </cellStyleXfs>
  <cellXfs count="255">
    <xf numFmtId="0" fontId="0" fillId="0" borderId="0" xfId="0"/>
    <xf numFmtId="4" fontId="0" fillId="0" borderId="0" xfId="0" applyNumberFormat="1"/>
    <xf numFmtId="10" fontId="0" fillId="0" borderId="0" xfId="0" applyNumberFormat="1"/>
    <xf numFmtId="2" fontId="0" fillId="0" borderId="0" xfId="0" applyNumberFormat="1"/>
    <xf numFmtId="9" fontId="0" fillId="0" borderId="0" xfId="1" applyFont="1"/>
    <xf numFmtId="0" fontId="0" fillId="0" borderId="0" xfId="0" applyBorder="1"/>
    <xf numFmtId="0" fontId="0" fillId="2" borderId="0" xfId="0" applyFill="1"/>
    <xf numFmtId="164" fontId="0" fillId="0" borderId="0" xfId="1" applyNumberFormat="1" applyFont="1"/>
    <xf numFmtId="0" fontId="2" fillId="0" borderId="4" xfId="0" applyFont="1" applyBorder="1" applyAlignment="1">
      <alignment vertical="center"/>
    </xf>
    <xf numFmtId="0" fontId="0" fillId="0" borderId="0" xfId="0" applyAlignment="1">
      <alignment horizontal="center"/>
    </xf>
    <xf numFmtId="0" fontId="0" fillId="0" borderId="0" xfId="0" applyFill="1" applyBorder="1" applyAlignment="1"/>
    <xf numFmtId="0" fontId="6" fillId="0" borderId="0" xfId="0" applyFont="1"/>
    <xf numFmtId="0" fontId="8" fillId="0" borderId="0" xfId="0" applyFont="1"/>
    <xf numFmtId="0" fontId="6" fillId="0" borderId="0" xfId="0" applyFont="1" applyAlignment="1">
      <alignment horizontal="center"/>
    </xf>
    <xf numFmtId="10" fontId="7" fillId="0" borderId="0" xfId="1" applyNumberFormat="1" applyFont="1" applyAlignment="1">
      <alignment horizontal="center"/>
    </xf>
    <xf numFmtId="0" fontId="6" fillId="0" borderId="0" xfId="0" applyFont="1" applyAlignment="1"/>
    <xf numFmtId="10" fontId="6" fillId="0" borderId="0" xfId="0" applyNumberFormat="1" applyFont="1"/>
    <xf numFmtId="43" fontId="7" fillId="0" borderId="0" xfId="2" applyFont="1" applyAlignment="1"/>
    <xf numFmtId="0" fontId="6" fillId="6" borderId="0" xfId="0" applyFont="1" applyFill="1" applyAlignment="1"/>
    <xf numFmtId="43" fontId="11" fillId="6" borderId="0" xfId="2" applyFont="1" applyFill="1" applyAlignment="1"/>
    <xf numFmtId="10" fontId="7" fillId="0" borderId="0" xfId="1" applyNumberFormat="1" applyFont="1" applyAlignment="1"/>
    <xf numFmtId="10" fontId="6" fillId="4" borderId="5" xfId="3" applyNumberFormat="1" applyFont="1" applyFill="1" applyBorder="1" applyAlignment="1"/>
    <xf numFmtId="43" fontId="9" fillId="0" borderId="3" xfId="2" applyFont="1" applyBorder="1" applyAlignment="1"/>
    <xf numFmtId="43" fontId="10" fillId="6" borderId="3" xfId="2" applyFont="1" applyFill="1" applyBorder="1" applyAlignment="1"/>
    <xf numFmtId="10" fontId="6" fillId="4" borderId="6" xfId="3" applyNumberFormat="1" applyFont="1" applyFill="1" applyBorder="1" applyAlignment="1"/>
    <xf numFmtId="43" fontId="7" fillId="6" borderId="0" xfId="2" applyFont="1" applyFill="1" applyAlignment="1"/>
    <xf numFmtId="164" fontId="13" fillId="5" borderId="0" xfId="4" applyNumberFormat="1" applyFont="1" applyFill="1" applyAlignment="1">
      <alignment vertical="top" wrapText="1"/>
    </xf>
    <xf numFmtId="0" fontId="6" fillId="0" borderId="4" xfId="0" applyFont="1" applyBorder="1" applyAlignment="1"/>
    <xf numFmtId="0" fontId="8" fillId="0" borderId="8" xfId="0" applyFont="1" applyBorder="1" applyAlignment="1"/>
    <xf numFmtId="0" fontId="8" fillId="0" borderId="4" xfId="0" applyFont="1" applyBorder="1" applyAlignment="1"/>
    <xf numFmtId="10" fontId="11" fillId="0" borderId="0" xfId="1" applyNumberFormat="1" applyFont="1" applyAlignment="1"/>
    <xf numFmtId="43" fontId="11" fillId="0" borderId="0" xfId="2" applyFont="1" applyAlignment="1"/>
    <xf numFmtId="10" fontId="11" fillId="6" borderId="0" xfId="1" applyNumberFormat="1" applyFont="1" applyFill="1" applyAlignment="1"/>
    <xf numFmtId="43" fontId="10" fillId="6" borderId="0" xfId="2" applyFont="1" applyFill="1" applyAlignment="1"/>
    <xf numFmtId="43" fontId="10" fillId="0" borderId="3" xfId="2" applyFont="1" applyBorder="1" applyAlignment="1"/>
    <xf numFmtId="43" fontId="7" fillId="0" borderId="3" xfId="2" applyFont="1" applyBorder="1" applyAlignment="1"/>
    <xf numFmtId="43" fontId="11" fillId="6" borderId="3" xfId="2" applyFont="1" applyFill="1" applyBorder="1" applyAlignment="1"/>
    <xf numFmtId="0" fontId="6" fillId="0" borderId="10" xfId="0" applyFont="1" applyBorder="1" applyAlignment="1">
      <alignment horizontal="center"/>
    </xf>
    <xf numFmtId="0" fontId="6" fillId="0" borderId="0" xfId="0" applyFont="1" applyBorder="1" applyAlignment="1">
      <alignment horizontal="center"/>
    </xf>
    <xf numFmtId="0" fontId="6" fillId="6" borderId="0" xfId="0" applyFont="1" applyFill="1" applyBorder="1" applyAlignment="1">
      <alignment horizontal="center"/>
    </xf>
    <xf numFmtId="0" fontId="6" fillId="0" borderId="9" xfId="0" applyFont="1" applyBorder="1" applyAlignment="1">
      <alignment horizontal="center"/>
    </xf>
    <xf numFmtId="0" fontId="6" fillId="0" borderId="2" xfId="0" applyFont="1" applyBorder="1" applyAlignment="1">
      <alignment horizontal="center"/>
    </xf>
    <xf numFmtId="0" fontId="6" fillId="6" borderId="2" xfId="0" applyFont="1" applyFill="1" applyBorder="1" applyAlignment="1">
      <alignment horizontal="center"/>
    </xf>
    <xf numFmtId="0" fontId="0" fillId="0" borderId="11" xfId="0" applyBorder="1"/>
    <xf numFmtId="0" fontId="6" fillId="0" borderId="4" xfId="0" applyFont="1" applyBorder="1"/>
    <xf numFmtId="0" fontId="8" fillId="2" borderId="4" xfId="0" applyFont="1" applyFill="1" applyBorder="1" applyAlignment="1">
      <alignment horizontal="left"/>
    </xf>
    <xf numFmtId="0" fontId="6" fillId="2" borderId="4" xfId="0" applyFont="1" applyFill="1" applyBorder="1" applyAlignment="1">
      <alignment horizontal="left"/>
    </xf>
    <xf numFmtId="0" fontId="6" fillId="0" borderId="4" xfId="0" applyFont="1" applyBorder="1" applyAlignment="1">
      <alignment wrapText="1"/>
    </xf>
    <xf numFmtId="0" fontId="8" fillId="0" borderId="4" xfId="0" applyFont="1" applyBorder="1"/>
    <xf numFmtId="43" fontId="11" fillId="2" borderId="0" xfId="2" applyFont="1" applyFill="1" applyAlignment="1"/>
    <xf numFmtId="43" fontId="15" fillId="2" borderId="0" xfId="2" applyFont="1" applyFill="1" applyAlignment="1"/>
    <xf numFmtId="43" fontId="16" fillId="2" borderId="0" xfId="2" applyFont="1" applyFill="1" applyAlignment="1"/>
    <xf numFmtId="43" fontId="16" fillId="0" borderId="3" xfId="2" applyFont="1" applyBorder="1" applyAlignment="1"/>
    <xf numFmtId="43" fontId="15" fillId="2" borderId="12" xfId="2" applyFont="1" applyFill="1" applyBorder="1" applyAlignment="1"/>
    <xf numFmtId="43" fontId="10" fillId="6" borderId="12" xfId="2" applyFont="1" applyFill="1" applyBorder="1" applyAlignment="1"/>
    <xf numFmtId="0" fontId="8" fillId="2" borderId="4" xfId="0" applyFont="1" applyFill="1" applyBorder="1"/>
    <xf numFmtId="0" fontId="6" fillId="2" borderId="4" xfId="0" applyFont="1" applyFill="1" applyBorder="1"/>
    <xf numFmtId="0" fontId="14" fillId="2" borderId="4" xfId="0" applyFont="1" applyFill="1" applyBorder="1"/>
    <xf numFmtId="0" fontId="0" fillId="2" borderId="11" xfId="0" applyFill="1" applyBorder="1"/>
    <xf numFmtId="0" fontId="6" fillId="2" borderId="4" xfId="0" applyFont="1" applyFill="1" applyBorder="1" applyAlignment="1">
      <alignment wrapText="1"/>
    </xf>
    <xf numFmtId="0" fontId="0" fillId="6" borderId="0" xfId="0" applyFill="1"/>
    <xf numFmtId="43" fontId="6" fillId="6" borderId="0" xfId="2" applyFont="1" applyFill="1" applyAlignment="1"/>
    <xf numFmtId="0" fontId="3" fillId="6" borderId="0" xfId="0" applyFont="1" applyFill="1"/>
    <xf numFmtId="10" fontId="4" fillId="4" borderId="5" xfId="1" applyNumberFormat="1" applyFont="1" applyFill="1" applyBorder="1"/>
    <xf numFmtId="0" fontId="8" fillId="0" borderId="11" xfId="0" applyFont="1" applyBorder="1" applyAlignment="1">
      <alignment horizontal="center" vertical="center" wrapText="1"/>
    </xf>
    <xf numFmtId="10" fontId="6" fillId="4" borderId="5" xfId="1" applyNumberFormat="1" applyFont="1" applyFill="1" applyBorder="1"/>
    <xf numFmtId="0" fontId="19" fillId="2" borderId="0" xfId="0" applyFont="1" applyFill="1" applyAlignment="1"/>
    <xf numFmtId="43" fontId="7" fillId="0" borderId="0" xfId="0" applyNumberFormat="1" applyFont="1" applyAlignment="1">
      <alignment wrapText="1"/>
    </xf>
    <xf numFmtId="0" fontId="8" fillId="0" borderId="4" xfId="0" applyFont="1" applyBorder="1" applyAlignment="1">
      <alignment wrapText="1"/>
    </xf>
    <xf numFmtId="0" fontId="8" fillId="0" borderId="8" xfId="0" applyFont="1" applyBorder="1" applyAlignment="1">
      <alignment wrapText="1"/>
    </xf>
    <xf numFmtId="43" fontId="10" fillId="0" borderId="13" xfId="0" applyNumberFormat="1" applyFont="1" applyBorder="1" applyAlignment="1">
      <alignment wrapText="1"/>
    </xf>
    <xf numFmtId="43" fontId="10" fillId="0" borderId="3" xfId="0" applyNumberFormat="1" applyFont="1" applyBorder="1" applyAlignment="1">
      <alignment wrapText="1"/>
    </xf>
    <xf numFmtId="0" fontId="8" fillId="0" borderId="8" xfId="0" applyFont="1" applyBorder="1" applyAlignment="1">
      <alignment horizontal="left" vertical="center" wrapText="1"/>
    </xf>
    <xf numFmtId="0" fontId="8" fillId="0" borderId="8" xfId="0" applyFont="1" applyBorder="1"/>
    <xf numFmtId="0" fontId="17" fillId="8" borderId="0" xfId="0" applyFont="1" applyFill="1" applyAlignment="1">
      <alignment horizontal="center"/>
    </xf>
    <xf numFmtId="0" fontId="6" fillId="10" borderId="0" xfId="0" applyFont="1" applyFill="1" applyBorder="1" applyAlignment="1">
      <alignment horizontal="center"/>
    </xf>
    <xf numFmtId="43" fontId="6" fillId="4" borderId="0" xfId="2" applyFont="1" applyFill="1"/>
    <xf numFmtId="43" fontId="6" fillId="4" borderId="14" xfId="2" applyFont="1" applyFill="1" applyBorder="1"/>
    <xf numFmtId="43" fontId="16" fillId="2" borderId="12" xfId="2" applyFont="1" applyFill="1" applyBorder="1" applyAlignment="1"/>
    <xf numFmtId="43" fontId="11" fillId="6" borderId="12" xfId="2" applyFont="1" applyFill="1" applyBorder="1" applyAlignment="1"/>
    <xf numFmtId="43" fontId="16" fillId="2" borderId="3" xfId="2" applyFont="1" applyFill="1" applyBorder="1" applyAlignment="1"/>
    <xf numFmtId="43" fontId="6" fillId="4" borderId="4" xfId="2" applyFont="1" applyFill="1" applyBorder="1"/>
    <xf numFmtId="0" fontId="0" fillId="0" borderId="15" xfId="0" applyBorder="1"/>
    <xf numFmtId="0" fontId="0" fillId="0" borderId="1" xfId="0" applyBorder="1"/>
    <xf numFmtId="0" fontId="0" fillId="10" borderId="1" xfId="0" applyFill="1" applyBorder="1"/>
    <xf numFmtId="43" fontId="10" fillId="0" borderId="0" xfId="2" applyFont="1" applyAlignment="1"/>
    <xf numFmtId="0" fontId="10" fillId="0" borderId="4" xfId="0" applyFont="1" applyBorder="1"/>
    <xf numFmtId="0" fontId="17" fillId="2" borderId="0" xfId="0" applyFont="1" applyFill="1" applyAlignment="1"/>
    <xf numFmtId="0" fontId="6" fillId="6" borderId="0" xfId="0" applyFont="1" applyFill="1" applyAlignment="1">
      <alignment horizontal="center"/>
    </xf>
    <xf numFmtId="43" fontId="10" fillId="0" borderId="12" xfId="2" applyFont="1" applyBorder="1" applyAlignment="1"/>
    <xf numFmtId="0" fontId="10" fillId="2" borderId="4" xfId="0" applyFont="1" applyFill="1" applyBorder="1"/>
    <xf numFmtId="0" fontId="0" fillId="0" borderId="4" xfId="0" applyBorder="1"/>
    <xf numFmtId="43" fontId="8" fillId="0" borderId="3" xfId="2" applyFont="1" applyBorder="1" applyAlignment="1"/>
    <xf numFmtId="43" fontId="8" fillId="6" borderId="3" xfId="2" applyFont="1" applyFill="1" applyBorder="1" applyAlignment="1"/>
    <xf numFmtId="43" fontId="8" fillId="6" borderId="12" xfId="2" applyFont="1" applyFill="1" applyBorder="1" applyAlignment="1"/>
    <xf numFmtId="0" fontId="8" fillId="6" borderId="4" xfId="0" applyFont="1" applyFill="1" applyBorder="1"/>
    <xf numFmtId="0" fontId="20" fillId="6" borderId="0" xfId="0" applyFont="1" applyFill="1"/>
    <xf numFmtId="43" fontId="7" fillId="11" borderId="0" xfId="2" applyFont="1" applyFill="1" applyAlignment="1"/>
    <xf numFmtId="43" fontId="11" fillId="11" borderId="0" xfId="2" applyFont="1" applyFill="1" applyAlignment="1"/>
    <xf numFmtId="0" fontId="11" fillId="6" borderId="0" xfId="0" applyFont="1" applyFill="1" applyBorder="1" applyAlignment="1">
      <alignment horizontal="center"/>
    </xf>
    <xf numFmtId="0" fontId="6" fillId="2" borderId="11" xfId="0" applyFont="1" applyFill="1" applyBorder="1"/>
    <xf numFmtId="0" fontId="21" fillId="2" borderId="4" xfId="0" applyFont="1" applyFill="1" applyBorder="1"/>
    <xf numFmtId="0" fontId="6" fillId="11" borderId="4" xfId="0" applyFont="1" applyFill="1" applyBorder="1"/>
    <xf numFmtId="0" fontId="10" fillId="6" borderId="4" xfId="0" applyFont="1" applyFill="1" applyBorder="1"/>
    <xf numFmtId="43" fontId="10" fillId="6" borderId="13" xfId="2" applyFont="1" applyFill="1" applyBorder="1" applyAlignment="1"/>
    <xf numFmtId="43" fontId="8" fillId="6" borderId="13" xfId="2" applyFont="1" applyFill="1" applyBorder="1" applyAlignment="1"/>
    <xf numFmtId="0" fontId="10" fillId="11" borderId="4" xfId="0" applyFont="1" applyFill="1" applyBorder="1"/>
    <xf numFmtId="43" fontId="10" fillId="11" borderId="13" xfId="2" applyFont="1" applyFill="1" applyBorder="1" applyAlignment="1"/>
    <xf numFmtId="43" fontId="10" fillId="11" borderId="3" xfId="2" applyFont="1" applyFill="1" applyBorder="1" applyAlignment="1"/>
    <xf numFmtId="10" fontId="6" fillId="0" borderId="0" xfId="1" applyNumberFormat="1" applyFont="1" applyAlignment="1">
      <alignment horizontal="center"/>
    </xf>
    <xf numFmtId="0" fontId="0" fillId="6" borderId="0" xfId="0" applyFill="1" applyAlignment="1">
      <alignment horizontal="center"/>
    </xf>
    <xf numFmtId="0" fontId="0" fillId="0" borderId="0" xfId="0"/>
    <xf numFmtId="0" fontId="6" fillId="0" borderId="0" xfId="0" applyFont="1"/>
    <xf numFmtId="0" fontId="0" fillId="8" borderId="0" xfId="0" applyFill="1" applyAlignment="1"/>
    <xf numFmtId="2" fontId="6" fillId="0" borderId="0" xfId="0" applyNumberFormat="1" applyFont="1"/>
    <xf numFmtId="10" fontId="6" fillId="0" borderId="0" xfId="1" applyNumberFormat="1" applyFont="1"/>
    <xf numFmtId="165" fontId="6" fillId="0" borderId="0" xfId="0" applyNumberFormat="1" applyFont="1" applyAlignment="1">
      <alignment horizontal="center"/>
    </xf>
    <xf numFmtId="43" fontId="7" fillId="0" borderId="0" xfId="2" applyFont="1" applyAlignment="1">
      <alignment horizontal="center"/>
    </xf>
    <xf numFmtId="0" fontId="8" fillId="0" borderId="0" xfId="0" applyFont="1" applyAlignment="1">
      <alignment horizontal="center"/>
    </xf>
    <xf numFmtId="0" fontId="8" fillId="12" borderId="0" xfId="0" applyFont="1" applyFill="1" applyAlignment="1">
      <alignment horizontal="center"/>
    </xf>
    <xf numFmtId="10" fontId="8" fillId="12" borderId="0" xfId="1" applyNumberFormat="1" applyFont="1" applyFill="1" applyAlignment="1">
      <alignment horizontal="center"/>
    </xf>
    <xf numFmtId="0" fontId="8" fillId="13" borderId="0" xfId="0" applyFont="1" applyFill="1"/>
    <xf numFmtId="2" fontId="8" fillId="13" borderId="0" xfId="0" applyNumberFormat="1" applyFont="1" applyFill="1"/>
    <xf numFmtId="9" fontId="6" fillId="0" borderId="0" xfId="0" applyNumberFormat="1" applyFont="1"/>
    <xf numFmtId="0" fontId="6" fillId="0" borderId="0" xfId="0" applyNumberFormat="1" applyFont="1"/>
    <xf numFmtId="0" fontId="22" fillId="0" borderId="3" xfId="0" applyFont="1" applyBorder="1"/>
    <xf numFmtId="10" fontId="8" fillId="0" borderId="3" xfId="0" applyNumberFormat="1" applyFont="1" applyBorder="1"/>
    <xf numFmtId="0" fontId="6" fillId="0" borderId="3" xfId="0" applyFont="1" applyBorder="1"/>
    <xf numFmtId="9" fontId="6" fillId="0" borderId="3" xfId="1" applyFont="1" applyBorder="1"/>
    <xf numFmtId="0" fontId="8" fillId="0" borderId="3" xfId="0" applyFont="1" applyBorder="1"/>
    <xf numFmtId="0" fontId="10" fillId="14" borderId="0" xfId="0" applyFont="1" applyFill="1"/>
    <xf numFmtId="43" fontId="10" fillId="14" borderId="0" xfId="2" applyFont="1" applyFill="1" applyAlignment="1"/>
    <xf numFmtId="164" fontId="13" fillId="5" borderId="0" xfId="4" applyNumberFormat="1" applyFont="1" applyFill="1" applyAlignment="1">
      <alignment horizontal="center" vertical="top" wrapText="1"/>
    </xf>
    <xf numFmtId="2" fontId="23" fillId="0" borderId="16" xfId="1" applyNumberFormat="1" applyFont="1" applyBorder="1"/>
    <xf numFmtId="10" fontId="6" fillId="0" borderId="16" xfId="1" applyNumberFormat="1" applyFont="1" applyBorder="1"/>
    <xf numFmtId="2" fontId="6" fillId="0" borderId="16" xfId="0" applyNumberFormat="1" applyFont="1" applyBorder="1"/>
    <xf numFmtId="2" fontId="6" fillId="15" borderId="16" xfId="0" applyNumberFormat="1" applyFont="1" applyFill="1" applyBorder="1"/>
    <xf numFmtId="0" fontId="17" fillId="8" borderId="0" xfId="0" applyFont="1" applyFill="1"/>
    <xf numFmtId="0" fontId="24" fillId="8" borderId="0" xfId="0" applyFont="1" applyFill="1"/>
    <xf numFmtId="0" fontId="10" fillId="2" borderId="16" xfId="0" applyFont="1" applyFill="1" applyBorder="1"/>
    <xf numFmtId="0" fontId="26" fillId="0" borderId="16" xfId="0" applyFont="1" applyBorder="1"/>
    <xf numFmtId="0" fontId="6" fillId="0" borderId="16" xfId="0" applyFont="1" applyBorder="1"/>
    <xf numFmtId="0" fontId="25" fillId="0" borderId="16" xfId="0" applyFont="1" applyBorder="1" applyAlignment="1">
      <alignment horizontal="left" vertical="center"/>
    </xf>
    <xf numFmtId="0" fontId="6" fillId="0" borderId="15" xfId="0" applyFont="1" applyBorder="1"/>
    <xf numFmtId="0" fontId="6" fillId="0" borderId="10" xfId="0" applyFont="1" applyBorder="1"/>
    <xf numFmtId="0" fontId="6" fillId="0" borderId="0" xfId="0" applyFont="1" applyBorder="1"/>
    <xf numFmtId="0" fontId="6" fillId="0" borderId="9" xfId="0" applyFont="1" applyBorder="1"/>
    <xf numFmtId="0" fontId="6" fillId="0" borderId="2" xfId="0" applyFont="1" applyBorder="1"/>
    <xf numFmtId="0" fontId="6" fillId="0" borderId="7" xfId="0" applyFont="1" applyBorder="1"/>
    <xf numFmtId="0" fontId="24" fillId="8" borderId="0" xfId="0" applyFont="1" applyFill="1" applyAlignment="1">
      <alignment horizontal="center"/>
    </xf>
    <xf numFmtId="0" fontId="6" fillId="0" borderId="15" xfId="0" applyFont="1" applyBorder="1" applyAlignment="1">
      <alignment horizontal="center"/>
    </xf>
    <xf numFmtId="0" fontId="6" fillId="0" borderId="11" xfId="0" applyFont="1" applyBorder="1"/>
    <xf numFmtId="0" fontId="0" fillId="0" borderId="2" xfId="0" applyBorder="1"/>
    <xf numFmtId="0" fontId="0" fillId="0" borderId="10" xfId="0" applyBorder="1"/>
    <xf numFmtId="0" fontId="0" fillId="8" borderId="0" xfId="0" applyFill="1"/>
    <xf numFmtId="0" fontId="0" fillId="0" borderId="0" xfId="0" applyAlignment="1">
      <alignment horizontal="right"/>
    </xf>
    <xf numFmtId="43" fontId="11" fillId="0" borderId="0" xfId="2" applyFont="1" applyAlignment="1">
      <alignment horizontal="right"/>
    </xf>
    <xf numFmtId="43" fontId="10" fillId="0" borderId="3" xfId="2" applyFont="1" applyBorder="1" applyAlignment="1">
      <alignment horizontal="right"/>
    </xf>
    <xf numFmtId="0" fontId="0" fillId="2" borderId="4" xfId="0" applyFill="1" applyBorder="1"/>
    <xf numFmtId="10" fontId="11" fillId="6" borderId="0" xfId="1" applyNumberFormat="1" applyFont="1" applyFill="1" applyAlignment="1">
      <alignment wrapText="1"/>
    </xf>
    <xf numFmtId="10" fontId="0" fillId="0" borderId="0" xfId="1" applyNumberFormat="1" applyFont="1"/>
    <xf numFmtId="0" fontId="0" fillId="0" borderId="0" xfId="0"/>
    <xf numFmtId="0" fontId="0" fillId="0" borderId="0" xfId="0"/>
    <xf numFmtId="10" fontId="16" fillId="2" borderId="0" xfId="1" applyNumberFormat="1" applyFont="1" applyFill="1" applyAlignment="1"/>
    <xf numFmtId="10" fontId="15" fillId="2" borderId="0" xfId="1" applyNumberFormat="1" applyFont="1" applyFill="1" applyAlignment="1"/>
    <xf numFmtId="0" fontId="17" fillId="8" borderId="0" xfId="0" applyFont="1" applyFill="1" applyAlignment="1">
      <alignment horizontal="center"/>
    </xf>
    <xf numFmtId="0" fontId="0" fillId="0" borderId="0" xfId="0"/>
    <xf numFmtId="0" fontId="5" fillId="0" borderId="0" xfId="0" applyFont="1" applyFill="1" applyBorder="1" applyAlignment="1">
      <alignment horizontal="centerContinuous"/>
    </xf>
    <xf numFmtId="0" fontId="5" fillId="0" borderId="0" xfId="0" applyFont="1" applyFill="1" applyBorder="1" applyAlignment="1">
      <alignment horizontal="center"/>
    </xf>
    <xf numFmtId="10" fontId="6" fillId="0" borderId="0" xfId="0" applyNumberFormat="1" applyFont="1" applyAlignment="1">
      <alignment horizontal="center" vertical="center"/>
    </xf>
    <xf numFmtId="10" fontId="6" fillId="6" borderId="0" xfId="0" applyNumberFormat="1" applyFont="1" applyFill="1" applyAlignment="1">
      <alignment horizontal="center" vertical="center"/>
    </xf>
    <xf numFmtId="0" fontId="0" fillId="2" borderId="0" xfId="0" applyFill="1" applyAlignment="1"/>
    <xf numFmtId="0" fontId="17" fillId="2" borderId="0" xfId="0" applyFont="1" applyFill="1" applyAlignment="1">
      <alignment horizontal="center"/>
    </xf>
    <xf numFmtId="0" fontId="6" fillId="0" borderId="4" xfId="0" applyFont="1" applyBorder="1" applyAlignment="1">
      <alignment horizontal="center" vertical="center"/>
    </xf>
    <xf numFmtId="0" fontId="8" fillId="0" borderId="4" xfId="0" applyFont="1" applyBorder="1" applyAlignment="1">
      <alignment horizontal="center" vertical="center"/>
    </xf>
    <xf numFmtId="0" fontId="2" fillId="0" borderId="4" xfId="0" applyFont="1" applyBorder="1" applyAlignment="1">
      <alignment horizontal="center" vertical="center"/>
    </xf>
    <xf numFmtId="0" fontId="6" fillId="0" borderId="0" xfId="0" applyFont="1" applyAlignment="1">
      <alignment horizontal="center" vertical="center"/>
    </xf>
    <xf numFmtId="0" fontId="6" fillId="6" borderId="0" xfId="0" applyFont="1" applyFill="1" applyAlignment="1">
      <alignment horizontal="center" vertical="center"/>
    </xf>
    <xf numFmtId="10" fontId="6" fillId="0" borderId="0" xfId="1" applyNumberFormat="1" applyFont="1" applyAlignment="1">
      <alignment horizontal="center" vertical="center"/>
    </xf>
    <xf numFmtId="10" fontId="6" fillId="6" borderId="0" xfId="1" applyNumberFormat="1" applyFont="1" applyFill="1" applyAlignment="1">
      <alignment horizontal="center" vertical="center"/>
    </xf>
    <xf numFmtId="43" fontId="11" fillId="2" borderId="0" xfId="2" applyFont="1" applyFill="1" applyAlignment="1">
      <alignment horizontal="center" vertical="center"/>
    </xf>
    <xf numFmtId="43" fontId="11" fillId="6" borderId="0" xfId="2" applyFont="1" applyFill="1" applyAlignment="1">
      <alignment horizontal="center" vertical="center"/>
    </xf>
    <xf numFmtId="2" fontId="6" fillId="0" borderId="0" xfId="1" applyNumberFormat="1" applyFont="1" applyAlignment="1">
      <alignment horizontal="center" vertical="center"/>
    </xf>
    <xf numFmtId="2" fontId="6" fillId="6" borderId="0" xfId="1" applyNumberFormat="1" applyFont="1" applyFill="1" applyAlignment="1">
      <alignment horizontal="center" vertical="center"/>
    </xf>
    <xf numFmtId="2" fontId="6" fillId="0" borderId="0" xfId="0" applyNumberFormat="1" applyFont="1" applyAlignment="1">
      <alignment horizontal="center" vertical="center"/>
    </xf>
    <xf numFmtId="2" fontId="6" fillId="6" borderId="0" xfId="0" applyNumberFormat="1" applyFont="1"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10" fontId="11" fillId="2" borderId="0" xfId="1" applyNumberFormat="1" applyFont="1" applyFill="1" applyAlignment="1"/>
    <xf numFmtId="43" fontId="11" fillId="6" borderId="0" xfId="2" applyNumberFormat="1" applyFont="1" applyFill="1" applyAlignment="1"/>
    <xf numFmtId="10" fontId="16" fillId="6" borderId="0" xfId="1" applyNumberFormat="1" applyFont="1" applyFill="1" applyAlignment="1"/>
    <xf numFmtId="10" fontId="15" fillId="6" borderId="0" xfId="1" applyNumberFormat="1" applyFont="1" applyFill="1" applyAlignment="1"/>
    <xf numFmtId="164" fontId="16" fillId="6" borderId="0" xfId="1" applyNumberFormat="1" applyFont="1" applyFill="1" applyAlignment="1"/>
    <xf numFmtId="43" fontId="27" fillId="2" borderId="0" xfId="2" applyFont="1" applyFill="1" applyAlignment="1"/>
    <xf numFmtId="43" fontId="28" fillId="6" borderId="0" xfId="2" applyFont="1" applyFill="1" applyAlignment="1"/>
    <xf numFmtId="0" fontId="6" fillId="0" borderId="16" xfId="0" applyFont="1" applyBorder="1" applyAlignment="1">
      <alignment wrapText="1"/>
    </xf>
    <xf numFmtId="0" fontId="6" fillId="0" borderId="0" xfId="0" applyFont="1" applyFill="1" applyBorder="1" applyAlignment="1"/>
    <xf numFmtId="43" fontId="15" fillId="2" borderId="17" xfId="2" applyFont="1" applyFill="1" applyBorder="1" applyAlignment="1"/>
    <xf numFmtId="43" fontId="15" fillId="2" borderId="18" xfId="2" applyFont="1" applyFill="1" applyBorder="1" applyAlignment="1"/>
    <xf numFmtId="43" fontId="10" fillId="6" borderId="18" xfId="2" applyFont="1" applyFill="1" applyBorder="1" applyAlignment="1"/>
    <xf numFmtId="166" fontId="0" fillId="0" borderId="0" xfId="0" applyNumberFormat="1"/>
    <xf numFmtId="43" fontId="11" fillId="0" borderId="11" xfId="2" applyFont="1" applyBorder="1" applyAlignment="1">
      <alignment horizontal="center"/>
    </xf>
    <xf numFmtId="0" fontId="6" fillId="0" borderId="4" xfId="0" applyFont="1" applyBorder="1" applyAlignment="1">
      <alignment horizontal="center"/>
    </xf>
    <xf numFmtId="43" fontId="11" fillId="0" borderId="7" xfId="2" applyFont="1" applyBorder="1" applyAlignment="1">
      <alignment horizontal="center"/>
    </xf>
    <xf numFmtId="0" fontId="6" fillId="0" borderId="1" xfId="0" applyFont="1" applyBorder="1" applyAlignment="1">
      <alignment horizontal="center"/>
    </xf>
    <xf numFmtId="0" fontId="6" fillId="0" borderId="7" xfId="0" applyFont="1" applyBorder="1" applyAlignment="1">
      <alignment horizontal="center"/>
    </xf>
    <xf numFmtId="0" fontId="0" fillId="0" borderId="9" xfId="0" applyBorder="1" applyAlignment="1">
      <alignment horizontal="center"/>
    </xf>
    <xf numFmtId="0" fontId="0" fillId="0" borderId="7" xfId="0" applyBorder="1" applyAlignment="1">
      <alignment horizontal="center"/>
    </xf>
    <xf numFmtId="2" fontId="6" fillId="0" borderId="16" xfId="0" applyNumberFormat="1" applyFont="1" applyBorder="1" applyAlignment="1">
      <alignment horizontal="center"/>
    </xf>
    <xf numFmtId="10" fontId="10" fillId="0" borderId="3" xfId="1" applyNumberFormat="1" applyFont="1" applyBorder="1" applyAlignment="1">
      <alignment horizontal="center"/>
    </xf>
    <xf numFmtId="0" fontId="10" fillId="0" borderId="8" xfId="0" applyFont="1" applyBorder="1"/>
    <xf numFmtId="0" fontId="6" fillId="0" borderId="0" xfId="0" applyFont="1" applyBorder="1" applyAlignment="1"/>
    <xf numFmtId="4" fontId="0" fillId="0" borderId="0" xfId="0" applyNumberFormat="1" applyBorder="1"/>
    <xf numFmtId="0" fontId="11" fillId="0" borderId="4" xfId="0" applyFont="1" applyBorder="1" applyAlignment="1">
      <alignment horizontal="center" vertical="center"/>
    </xf>
    <xf numFmtId="2" fontId="22" fillId="0" borderId="0" xfId="0" applyNumberFormat="1" applyFont="1"/>
    <xf numFmtId="0" fontId="6" fillId="0" borderId="0" xfId="0" applyFont="1"/>
    <xf numFmtId="0" fontId="6" fillId="0" borderId="2" xfId="0" applyFont="1" applyBorder="1"/>
    <xf numFmtId="0" fontId="6" fillId="0" borderId="0" xfId="0" applyFont="1" applyAlignment="1">
      <alignment horizontal="right"/>
    </xf>
    <xf numFmtId="0" fontId="0" fillId="0" borderId="15" xfId="0" applyBorder="1" applyAlignment="1">
      <alignment horizontal="center"/>
    </xf>
    <xf numFmtId="0" fontId="0" fillId="0" borderId="7" xfId="0" applyBorder="1"/>
    <xf numFmtId="0" fontId="6" fillId="0" borderId="1" xfId="0" applyFont="1" applyBorder="1"/>
    <xf numFmtId="0" fontId="0" fillId="0" borderId="11" xfId="0" applyBorder="1" applyAlignment="1">
      <alignment horizontal="center"/>
    </xf>
    <xf numFmtId="0" fontId="6" fillId="0" borderId="11" xfId="0" applyFont="1" applyBorder="1" applyAlignment="1">
      <alignment horizontal="center"/>
    </xf>
    <xf numFmtId="0" fontId="6" fillId="0" borderId="0" xfId="0" applyFont="1"/>
    <xf numFmtId="43" fontId="6" fillId="6" borderId="0" xfId="3" applyNumberFormat="1" applyFont="1" applyFill="1" applyBorder="1" applyAlignment="1"/>
    <xf numFmtId="10" fontId="6" fillId="6" borderId="0" xfId="3" applyNumberFormat="1" applyFont="1" applyFill="1" applyBorder="1" applyAlignment="1"/>
    <xf numFmtId="43" fontId="15" fillId="0" borderId="0" xfId="2" applyFont="1" applyAlignment="1"/>
    <xf numFmtId="0" fontId="8" fillId="2" borderId="0" xfId="0" applyFont="1" applyFill="1" applyAlignment="1">
      <alignment horizontal="center"/>
    </xf>
    <xf numFmtId="10" fontId="8" fillId="2" borderId="0" xfId="1" applyNumberFormat="1" applyFont="1" applyFill="1" applyAlignment="1">
      <alignment horizontal="center"/>
    </xf>
    <xf numFmtId="0" fontId="6" fillId="0" borderId="0" xfId="0" applyFont="1"/>
    <xf numFmtId="0" fontId="6" fillId="0" borderId="10" xfId="0" applyFont="1" applyBorder="1"/>
    <xf numFmtId="0" fontId="6" fillId="0" borderId="0" xfId="0" applyFont="1" applyBorder="1"/>
    <xf numFmtId="0" fontId="6" fillId="0" borderId="4" xfId="0" applyFont="1" applyBorder="1"/>
    <xf numFmtId="0" fontId="6" fillId="0" borderId="2" xfId="0" applyFont="1" applyBorder="1"/>
    <xf numFmtId="0" fontId="24" fillId="8" borderId="0" xfId="0" applyFont="1" applyFill="1" applyAlignment="1">
      <alignment horizontal="center"/>
    </xf>
    <xf numFmtId="0" fontId="17" fillId="8" borderId="0" xfId="0" applyFont="1" applyFill="1" applyAlignment="1">
      <alignment horizont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7" xfId="0" applyFont="1" applyBorder="1" applyAlignment="1">
      <alignment horizontal="center" vertical="center" wrapText="1"/>
    </xf>
    <xf numFmtId="0" fontId="8" fillId="0" borderId="4" xfId="0" applyFont="1" applyBorder="1" applyAlignment="1">
      <alignment vertical="center" wrapText="1"/>
    </xf>
    <xf numFmtId="0" fontId="8" fillId="0" borderId="7" xfId="0" applyFont="1" applyBorder="1" applyAlignment="1">
      <alignment vertical="center" wrapText="1"/>
    </xf>
    <xf numFmtId="0" fontId="19" fillId="7" borderId="0" xfId="0" applyFont="1" applyFill="1" applyAlignment="1">
      <alignment horizontal="center"/>
    </xf>
    <xf numFmtId="0" fontId="19" fillId="8" borderId="0" xfId="0" applyFont="1" applyFill="1" applyAlignment="1">
      <alignment horizontal="center"/>
    </xf>
    <xf numFmtId="0" fontId="17" fillId="8" borderId="4" xfId="0" applyFont="1" applyFill="1" applyBorder="1" applyAlignment="1">
      <alignment horizontal="center"/>
    </xf>
    <xf numFmtId="0" fontId="18" fillId="8" borderId="4" xfId="0" applyFont="1" applyFill="1" applyBorder="1" applyAlignment="1">
      <alignment horizontal="center"/>
    </xf>
    <xf numFmtId="0" fontId="19" fillId="9" borderId="0" xfId="0" applyFont="1" applyFill="1" applyAlignment="1">
      <alignment horizontal="center"/>
    </xf>
    <xf numFmtId="0" fontId="8" fillId="0" borderId="0" xfId="0" applyFont="1" applyBorder="1" applyAlignment="1">
      <alignment horizontal="center" vertical="center" wrapText="1"/>
    </xf>
    <xf numFmtId="0" fontId="8" fillId="2" borderId="11"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24" fillId="8" borderId="0" xfId="0" applyFont="1" applyFill="1" applyAlignment="1">
      <alignment horizontal="center" vertical="center" textRotation="90" wrapText="1"/>
    </xf>
  </cellXfs>
  <cellStyles count="5">
    <cellStyle name="20% - Accent1" xfId="3" builtinId="30"/>
    <cellStyle name="Comma" xfId="2" builtinId="3"/>
    <cellStyle name="Normal" xfId="0" builtinId="0"/>
    <cellStyle name="Normal 7 2" xfId="4" xr:uid="{56FFA0F2-F00B-447B-A4F2-168E279A8EAF}"/>
    <cellStyle name="Percent" xfId="1" builtinId="5"/>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PAT Vs EBITDA</a:t>
            </a:r>
          </a:p>
        </c:rich>
      </c:tx>
      <c:layout>
        <c:manualLayout>
          <c:xMode val="edge"/>
          <c:yMode val="edge"/>
          <c:x val="0.39692312002393337"/>
          <c:y val="1.602564102564102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7.1097112860892389E-2"/>
          <c:y val="0.16912037037037039"/>
          <c:w val="0.83385433070866144"/>
          <c:h val="0.60368802857976089"/>
        </c:manualLayout>
      </c:layout>
      <c:barChart>
        <c:barDir val="bar"/>
        <c:grouping val="clustered"/>
        <c:varyColors val="0"/>
        <c:ser>
          <c:idx val="1"/>
          <c:order val="1"/>
          <c:tx>
            <c:strRef>
              <c:f>'Income Statement'!$B$22</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'Income Statement'!$D$8:$R$8</c:f>
              <c:numCache>
                <c:formatCode>General</c:formatCode>
                <c:ptCount val="15"/>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numCache>
            </c:numRef>
          </c:cat>
          <c:val>
            <c:numRef>
              <c:f>'Income Statement'!$D$22:$Q$22</c:f>
              <c:numCache>
                <c:formatCode>_(* #,##0.00_);_(* \(#,##0.00\);_(* "-"??_);_(@_)</c:formatCode>
                <c:ptCount val="14"/>
                <c:pt idx="0">
                  <c:v>2462.4399999999987</c:v>
                </c:pt>
                <c:pt idx="1">
                  <c:v>2765.2400000000052</c:v>
                </c:pt>
                <c:pt idx="2">
                  <c:v>5092.9000000000015</c:v>
                </c:pt>
                <c:pt idx="3">
                  <c:v>7942.8699999999953</c:v>
                </c:pt>
                <c:pt idx="4">
                  <c:v>7646.1026993850246</c:v>
                </c:pt>
                <c:pt idx="5">
                  <c:v>9465.675122186818</c:v>
                </c:pt>
                <c:pt idx="6">
                  <c:v>11726.779885565527</c:v>
                </c:pt>
                <c:pt idx="7">
                  <c:v>14537.69958045207</c:v>
                </c:pt>
                <c:pt idx="8">
                  <c:v>18033.422293839918</c:v>
                </c:pt>
                <c:pt idx="9">
                  <c:v>22382.247422389308</c:v>
                </c:pt>
                <c:pt idx="10">
                  <c:v>27794.028005875472</c:v>
                </c:pt>
                <c:pt idx="11">
                  <c:v>34530.455335607228</c:v>
                </c:pt>
                <c:pt idx="12">
                  <c:v>42917.892236768676</c:v>
                </c:pt>
                <c:pt idx="13">
                  <c:v>53363.387036614469</c:v>
                </c:pt>
              </c:numCache>
            </c:numRef>
          </c:val>
          <c:extLst>
            <c:ext xmlns:c16="http://schemas.microsoft.com/office/drawing/2014/chart" uri="{C3380CC4-5D6E-409C-BE32-E72D297353CC}">
              <c16:uniqueId val="{00000000-D20B-44D6-8CAA-F9975224B67C}"/>
            </c:ext>
          </c:extLst>
        </c:ser>
        <c:ser>
          <c:idx val="2"/>
          <c:order val="2"/>
          <c:tx>
            <c:strRef>
              <c:f>'Income Statement'!$B$37</c:f>
              <c:strCache>
                <c:ptCount val="1"/>
                <c:pt idx="0">
                  <c:v>Profit Before Tax</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'Income Statement'!$D$8:$R$8</c:f>
              <c:numCache>
                <c:formatCode>General</c:formatCode>
                <c:ptCount val="15"/>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numCache>
            </c:numRef>
          </c:cat>
          <c:val>
            <c:numRef>
              <c:f>'Income Statement'!$D$37:$Q$37</c:f>
              <c:numCache>
                <c:formatCode>_(* #,##0.00_);_(* \(#,##0.00\);_(* "-"??_);_(@_)</c:formatCode>
                <c:ptCount val="14"/>
                <c:pt idx="0">
                  <c:v>-67.08000000000122</c:v>
                </c:pt>
                <c:pt idx="1">
                  <c:v>-199.5899999999948</c:v>
                </c:pt>
                <c:pt idx="2">
                  <c:v>2268.5900000000015</c:v>
                </c:pt>
                <c:pt idx="3">
                  <c:v>4106.0699999999952</c:v>
                </c:pt>
                <c:pt idx="4">
                  <c:v>2806.472519052626</c:v>
                </c:pt>
                <c:pt idx="5">
                  <c:v>3693.9422710375311</c:v>
                </c:pt>
                <c:pt idx="6">
                  <c:v>4798.2036686705815</c:v>
                </c:pt>
                <c:pt idx="7">
                  <c:v>6172.4726733670432</c:v>
                </c:pt>
                <c:pt idx="8">
                  <c:v>7883.0955022442831</c:v>
                </c:pt>
                <c:pt idx="9">
                  <c:v>10012.797235684942</c:v>
                </c:pt>
                <c:pt idx="10">
                  <c:v>12664.735327601044</c:v>
                </c:pt>
                <c:pt idx="11">
                  <c:v>15967.557596406266</c:v>
                </c:pt>
                <c:pt idx="12">
                  <c:v>20081.713779760859</c:v>
                </c:pt>
                <c:pt idx="13">
                  <c:v>25207.331523331886</c:v>
                </c:pt>
              </c:numCache>
            </c:numRef>
          </c:val>
          <c:extLst>
            <c:ext xmlns:c16="http://schemas.microsoft.com/office/drawing/2014/chart" uri="{C3380CC4-5D6E-409C-BE32-E72D297353CC}">
              <c16:uniqueId val="{00000001-D20B-44D6-8CAA-F9975224B67C}"/>
            </c:ext>
          </c:extLst>
        </c:ser>
        <c:dLbls>
          <c:showLegendKey val="0"/>
          <c:showVal val="0"/>
          <c:showCatName val="0"/>
          <c:showSerName val="0"/>
          <c:showPercent val="0"/>
          <c:showBubbleSize val="0"/>
        </c:dLbls>
        <c:gapWidth val="115"/>
        <c:overlap val="-20"/>
        <c:axId val="2113771183"/>
        <c:axId val="2113757871"/>
        <c:extLst>
          <c:ext xmlns:c15="http://schemas.microsoft.com/office/drawing/2012/chart" uri="{02D57815-91ED-43cb-92C2-25804820EDAC}">
            <c15:filteredBarSeries>
              <c15:ser>
                <c:idx val="0"/>
                <c:order val="0"/>
                <c:tx>
                  <c:strRef>
                    <c:extLst>
                      <c:ext uri="{02D57815-91ED-43cb-92C2-25804820EDAC}">
                        <c15:formulaRef>
                          <c15:sqref>'Income Statement'!$C$8</c15:sqref>
                        </c15:formulaRef>
                      </c:ext>
                    </c:extLst>
                    <c:strCache>
                      <c:ptCount val="1"/>
                      <c:pt idx="0">
                        <c:v>2020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c:ext uri="{02D57815-91ED-43cb-92C2-25804820EDAC}">
                        <c15:formulaRef>
                          <c15:sqref>'Income Statement'!$D$8:$R$8</c15:sqref>
                        </c15:formulaRef>
                      </c:ext>
                    </c:extLst>
                    <c:numCache>
                      <c:formatCode>General</c:formatCode>
                      <c:ptCount val="15"/>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numCache>
                  </c:numRef>
                </c:cat>
                <c:val>
                  <c:numRef>
                    <c:extLst>
                      <c:ext uri="{02D57815-91ED-43cb-92C2-25804820EDAC}">
                        <c15:formulaRef>
                          <c15:sqref>'Income Statement'!$D$8:$Q$8</c15:sqref>
                        </c15:formulaRef>
                      </c:ext>
                    </c:extLst>
                    <c:numCache>
                      <c:formatCode>General</c:formatCode>
                      <c:ptCount val="14"/>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numCache>
                  </c:numRef>
                </c:val>
                <c:extLst>
                  <c:ext xmlns:c16="http://schemas.microsoft.com/office/drawing/2014/chart" uri="{C3380CC4-5D6E-409C-BE32-E72D297353CC}">
                    <c16:uniqueId val="{00000002-D20B-44D6-8CAA-F9975224B67C}"/>
                  </c:ext>
                </c:extLst>
              </c15:ser>
            </c15:filteredBarSeries>
          </c:ext>
        </c:extLst>
      </c:barChart>
      <c:catAx>
        <c:axId val="2113771183"/>
        <c:scaling>
          <c:orientation val="minMax"/>
        </c:scaling>
        <c:delete val="0"/>
        <c:axPos val="l"/>
        <c:numFmt formatCode="General" sourceLinked="0"/>
        <c:majorTickMark val="none"/>
        <c:minorTickMark val="none"/>
        <c:tickLblPos val="nextTo"/>
        <c:spPr>
          <a:noFill/>
          <a:ln w="12700" cap="flat" cmpd="sng" algn="ctr">
            <a:solidFill>
              <a:schemeClr val="lt1">
                <a:lumMod val="95000"/>
                <a:alpha val="54000"/>
              </a:schemeClr>
            </a:solidFill>
            <a:round/>
          </a:ln>
          <a:effectLst/>
        </c:spPr>
        <c:txPr>
          <a:bodyPr rot="-6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3757871"/>
        <c:crosses val="autoZero"/>
        <c:auto val="0"/>
        <c:lblAlgn val="ctr"/>
        <c:lblOffset val="100"/>
        <c:tickLblSkip val="1"/>
        <c:noMultiLvlLbl val="0"/>
      </c:catAx>
      <c:valAx>
        <c:axId val="2113757871"/>
        <c:scaling>
          <c:orientation val="minMax"/>
        </c:scaling>
        <c:delete val="0"/>
        <c:axPos val="b"/>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3771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ROE  Vs ROCE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Ratio_Analysis!$B$33</c:f>
              <c:strCache>
                <c:ptCount val="1"/>
                <c:pt idx="0">
                  <c:v>ROE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Ratio_Analysis!$C$8:$R$8</c:f>
              <c:numCache>
                <c:formatCode>General</c:formatCode>
                <c:ptCount val="16"/>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Ratio_Analysis!$C$33:$Q$33</c:f>
              <c:numCache>
                <c:formatCode>0.00%</c:formatCode>
                <c:ptCount val="15"/>
                <c:pt idx="1">
                  <c:v>-7.7220976812073109E-3</c:v>
                </c:pt>
                <c:pt idx="2">
                  <c:v>-3.2216996624240546E-2</c:v>
                </c:pt>
                <c:pt idx="3">
                  <c:v>0.14045768455147034</c:v>
                </c:pt>
                <c:pt idx="4">
                  <c:v>0.23847350213347573</c:v>
                </c:pt>
                <c:pt idx="5">
                  <c:v>0.15692700028374915</c:v>
                </c:pt>
                <c:pt idx="6">
                  <c:v>0.18274229571941536</c:v>
                </c:pt>
                <c:pt idx="7">
                  <c:v>0.20630457276905242</c:v>
                </c:pt>
                <c:pt idx="8">
                  <c:v>0.22701102844671436</c:v>
                </c:pt>
                <c:pt idx="9">
                  <c:v>0.2446019531435191</c:v>
                </c:pt>
                <c:pt idx="10">
                  <c:v>0.25911120428988749</c:v>
                </c:pt>
                <c:pt idx="11">
                  <c:v>0.27077958026489013</c:v>
                </c:pt>
                <c:pt idx="12">
                  <c:v>0.27996397342349882</c:v>
                </c:pt>
                <c:pt idx="13">
                  <c:v>0.28706282025022789</c:v>
                </c:pt>
                <c:pt idx="14">
                  <c:v>0.29246507417336182</c:v>
                </c:pt>
              </c:numCache>
            </c:numRef>
          </c:val>
          <c:smooth val="0"/>
          <c:extLst>
            <c:ext xmlns:c16="http://schemas.microsoft.com/office/drawing/2014/chart" uri="{C3380CC4-5D6E-409C-BE32-E72D297353CC}">
              <c16:uniqueId val="{00000000-83EF-47EC-B16D-1A032D9B011B}"/>
            </c:ext>
          </c:extLst>
        </c:ser>
        <c:ser>
          <c:idx val="1"/>
          <c:order val="1"/>
          <c:tx>
            <c:strRef>
              <c:f>Ratio_Analysis!$B$37</c:f>
              <c:strCache>
                <c:ptCount val="1"/>
                <c:pt idx="0">
                  <c:v>Return on Capital Employed</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Ratio_Analysis!$C$8:$R$8</c:f>
              <c:numCache>
                <c:formatCode>General</c:formatCode>
                <c:ptCount val="16"/>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Ratio_Analysis!$C$37:$Q$37</c:f>
              <c:numCache>
                <c:formatCode>0.00%</c:formatCode>
                <c:ptCount val="15"/>
                <c:pt idx="0">
                  <c:v>0.11173662954350762</c:v>
                </c:pt>
                <c:pt idx="1">
                  <c:v>6.6198734556836461E-2</c:v>
                </c:pt>
                <c:pt idx="2">
                  <c:v>8.0143097000204028E-2</c:v>
                </c:pt>
                <c:pt idx="3">
                  <c:v>0.1396221024037948</c:v>
                </c:pt>
                <c:pt idx="4">
                  <c:v>0.18379557439031535</c:v>
                </c:pt>
                <c:pt idx="5">
                  <c:v>0.14124734198174954</c:v>
                </c:pt>
                <c:pt idx="6">
                  <c:v>0.14666091992477873</c:v>
                </c:pt>
                <c:pt idx="7">
                  <c:v>0.15093740835575675</c:v>
                </c:pt>
                <c:pt idx="8">
                  <c:v>0.15428111309509207</c:v>
                </c:pt>
                <c:pt idx="9">
                  <c:v>0.15687302242328358</c:v>
                </c:pt>
                <c:pt idx="10">
                  <c:v>0.15886740294790422</c:v>
                </c:pt>
                <c:pt idx="11">
                  <c:v>0.16039214424711939</c:v>
                </c:pt>
                <c:pt idx="12">
                  <c:v>0.16155111375834116</c:v>
                </c:pt>
                <c:pt idx="13">
                  <c:v>0.16242736920934098</c:v>
                </c:pt>
                <c:pt idx="14">
                  <c:v>0.16308653600045969</c:v>
                </c:pt>
              </c:numCache>
            </c:numRef>
          </c:val>
          <c:smooth val="0"/>
          <c:extLst>
            <c:ext xmlns:c16="http://schemas.microsoft.com/office/drawing/2014/chart" uri="{C3380CC4-5D6E-409C-BE32-E72D297353CC}">
              <c16:uniqueId val="{00000001-83EF-47EC-B16D-1A032D9B011B}"/>
            </c:ext>
          </c:extLst>
        </c:ser>
        <c:dLbls>
          <c:showLegendKey val="0"/>
          <c:showVal val="0"/>
          <c:showCatName val="0"/>
          <c:showSerName val="0"/>
          <c:showPercent val="0"/>
          <c:showBubbleSize val="0"/>
        </c:dLbls>
        <c:smooth val="0"/>
        <c:axId val="1294276320"/>
        <c:axId val="1294288800"/>
      </c:lineChart>
      <c:catAx>
        <c:axId val="12942763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4288800"/>
        <c:crosses val="autoZero"/>
        <c:auto val="1"/>
        <c:lblAlgn val="ctr"/>
        <c:lblOffset val="100"/>
        <c:noMultiLvlLbl val="0"/>
      </c:catAx>
      <c:valAx>
        <c:axId val="1294288800"/>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4276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EBITDA</a:t>
            </a:r>
            <a:r>
              <a:rPr lang="en-US" baseline="0"/>
              <a:t> Vs Net Profit</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0582641896725453"/>
          <c:y val="0.11105275195443048"/>
          <c:w val="0.85964564688050649"/>
          <c:h val="0.75687920150069388"/>
        </c:manualLayout>
      </c:layout>
      <c:barChart>
        <c:barDir val="col"/>
        <c:grouping val="clustered"/>
        <c:varyColors val="0"/>
        <c:ser>
          <c:idx val="0"/>
          <c:order val="0"/>
          <c:tx>
            <c:strRef>
              <c:f>'Income Statement'!$B$22</c:f>
              <c:strCache>
                <c:ptCount val="1"/>
                <c:pt idx="0">
                  <c:v>EBITDA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'Income Statement'!$C$8:$R$8</c:f>
              <c:numCache>
                <c:formatCode>General</c:formatCode>
                <c:ptCount val="16"/>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'Income Statement'!$C$22:$Q$22</c:f>
              <c:numCache>
                <c:formatCode>_(* #,##0.00_);_(* \(#,##0.00\);_(* "-"??_);_(@_)</c:formatCode>
                <c:ptCount val="15"/>
                <c:pt idx="0">
                  <c:v>3233.3500000000022</c:v>
                </c:pt>
                <c:pt idx="1">
                  <c:v>2462.4399999999987</c:v>
                </c:pt>
                <c:pt idx="2">
                  <c:v>2765.2400000000052</c:v>
                </c:pt>
                <c:pt idx="3">
                  <c:v>5092.9000000000015</c:v>
                </c:pt>
                <c:pt idx="4">
                  <c:v>7942.8699999999953</c:v>
                </c:pt>
                <c:pt idx="5">
                  <c:v>7646.1026993850246</c:v>
                </c:pt>
                <c:pt idx="6">
                  <c:v>9465.675122186818</c:v>
                </c:pt>
                <c:pt idx="7">
                  <c:v>11726.779885565527</c:v>
                </c:pt>
                <c:pt idx="8">
                  <c:v>14537.69958045207</c:v>
                </c:pt>
                <c:pt idx="9">
                  <c:v>18033.422293839918</c:v>
                </c:pt>
                <c:pt idx="10">
                  <c:v>22382.247422389308</c:v>
                </c:pt>
                <c:pt idx="11">
                  <c:v>27794.028005875472</c:v>
                </c:pt>
                <c:pt idx="12">
                  <c:v>34530.455335607228</c:v>
                </c:pt>
                <c:pt idx="13">
                  <c:v>42917.892236768676</c:v>
                </c:pt>
                <c:pt idx="14">
                  <c:v>53363.387036614469</c:v>
                </c:pt>
              </c:numCache>
            </c:numRef>
          </c:val>
          <c:extLst>
            <c:ext xmlns:c16="http://schemas.microsoft.com/office/drawing/2014/chart" uri="{C3380CC4-5D6E-409C-BE32-E72D297353CC}">
              <c16:uniqueId val="{00000000-2B26-4507-930B-0ED79832C319}"/>
            </c:ext>
          </c:extLst>
        </c:ser>
        <c:ser>
          <c:idx val="1"/>
          <c:order val="1"/>
          <c:tx>
            <c:strRef>
              <c:f>'Income Statement'!$B$41</c:f>
              <c:strCache>
                <c:ptCount val="1"/>
                <c:pt idx="0">
                  <c:v>Net 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'Income Statement'!$C$8:$R$8</c:f>
              <c:numCache>
                <c:formatCode>General</c:formatCode>
                <c:ptCount val="16"/>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'Income Statement'!$C$41:$Q$41</c:f>
              <c:numCache>
                <c:formatCode>_(* #,##0.00_);_(* \(#,##0.00\);_(* "-"??_);_(@_)</c:formatCode>
                <c:ptCount val="15"/>
                <c:pt idx="0">
                  <c:v>459.80000000000223</c:v>
                </c:pt>
                <c:pt idx="1">
                  <c:v>-69.600000000001216</c:v>
                </c:pt>
                <c:pt idx="2">
                  <c:v>-285.44999999999482</c:v>
                </c:pt>
                <c:pt idx="3">
                  <c:v>1361.6600000000017</c:v>
                </c:pt>
                <c:pt idx="4">
                  <c:v>2696.3399999999951</c:v>
                </c:pt>
                <c:pt idx="5">
                  <c:v>1964.5307633368384</c:v>
                </c:pt>
                <c:pt idx="6">
                  <c:v>2585.7595897262718</c:v>
                </c:pt>
                <c:pt idx="7">
                  <c:v>3358.7425680694068</c:v>
                </c:pt>
                <c:pt idx="8">
                  <c:v>4320.73087135693</c:v>
                </c:pt>
                <c:pt idx="9">
                  <c:v>5518.1668515709989</c:v>
                </c:pt>
                <c:pt idx="10">
                  <c:v>7008.9580649794598</c:v>
                </c:pt>
                <c:pt idx="11">
                  <c:v>8865.3147293207312</c:v>
                </c:pt>
                <c:pt idx="12">
                  <c:v>11177.290317484387</c:v>
                </c:pt>
                <c:pt idx="13">
                  <c:v>14057.199645832603</c:v>
                </c:pt>
                <c:pt idx="14">
                  <c:v>17645.13206633232</c:v>
                </c:pt>
              </c:numCache>
            </c:numRef>
          </c:val>
          <c:extLst>
            <c:ext xmlns:c16="http://schemas.microsoft.com/office/drawing/2014/chart" uri="{C3380CC4-5D6E-409C-BE32-E72D297353CC}">
              <c16:uniqueId val="{00000001-2B26-4507-930B-0ED79832C319}"/>
            </c:ext>
          </c:extLst>
        </c:ser>
        <c:dLbls>
          <c:showLegendKey val="0"/>
          <c:showVal val="0"/>
          <c:showCatName val="0"/>
          <c:showSerName val="0"/>
          <c:showPercent val="0"/>
          <c:showBubbleSize val="0"/>
        </c:dLbls>
        <c:gapWidth val="100"/>
        <c:overlap val="-24"/>
        <c:axId val="1294303360"/>
        <c:axId val="1294305856"/>
      </c:barChart>
      <c:catAx>
        <c:axId val="1294303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4305856"/>
        <c:crosses val="autoZero"/>
        <c:auto val="1"/>
        <c:lblAlgn val="ctr"/>
        <c:lblOffset val="100"/>
        <c:noMultiLvlLbl val="0"/>
      </c:catAx>
      <c:valAx>
        <c:axId val="1294305856"/>
        <c:scaling>
          <c:orientation val="minMax"/>
        </c:scaling>
        <c:delete val="0"/>
        <c:axPos val="l"/>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43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Vs YoY Growth</a:t>
            </a:r>
          </a:p>
          <a:p>
            <a:pPr>
              <a:defRPr/>
            </a:pPr>
            <a:endParaRPr lang="en-US"/>
          </a:p>
        </c:rich>
      </c:tx>
      <c:layout>
        <c:manualLayout>
          <c:xMode val="edge"/>
          <c:yMode val="edge"/>
          <c:x val="0.24338188976377953"/>
          <c:y val="3.24074074074074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4749130708541069"/>
          <c:y val="0.18332530120481927"/>
          <c:w val="0.75510393194597425"/>
          <c:h val="0.66222205356860508"/>
        </c:manualLayout>
      </c:layout>
      <c:barChart>
        <c:barDir val="col"/>
        <c:grouping val="clustered"/>
        <c:varyColors val="0"/>
        <c:ser>
          <c:idx val="0"/>
          <c:order val="0"/>
          <c:tx>
            <c:strRef>
              <c:f>'Revenue Build Up'!$B$15</c:f>
              <c:strCache>
                <c:ptCount val="1"/>
                <c:pt idx="0">
                  <c:v>Revenue from Operations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'Revenue Build Up'!$C$8:$R$8</c:f>
              <c:numCache>
                <c:formatCode>General</c:formatCode>
                <c:ptCount val="16"/>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'Revenue Build Up'!$D$15:$Q$15</c:f>
              <c:numCache>
                <c:formatCode>_(* #,##0.00_);_(* \(#,##0.00\);_(* "-"??_);_(@_)</c:formatCode>
                <c:ptCount val="14"/>
                <c:pt idx="0">
                  <c:v>19454.100000000002</c:v>
                </c:pt>
                <c:pt idx="1">
                  <c:v>26237.15</c:v>
                </c:pt>
                <c:pt idx="2">
                  <c:v>41672.600000000006</c:v>
                </c:pt>
                <c:pt idx="3">
                  <c:v>45790.64</c:v>
                </c:pt>
                <c:pt idx="4">
                  <c:v>56642.794208691434</c:v>
                </c:pt>
                <c:pt idx="5">
                  <c:v>70122.297472604128</c:v>
                </c:pt>
                <c:pt idx="6">
                  <c:v>86872.699191201726</c:v>
                </c:pt>
                <c:pt idx="7">
                  <c:v>107696.16338916784</c:v>
                </c:pt>
                <c:pt idx="8">
                  <c:v>133592.69003155819</c:v>
                </c:pt>
                <c:pt idx="9">
                  <c:v>165809.05129306993</c:v>
                </c:pt>
                <c:pt idx="10">
                  <c:v>205899.85126593101</c:v>
                </c:pt>
                <c:pt idx="11">
                  <c:v>255803.71496507947</c:v>
                </c:pt>
                <c:pt idx="12">
                  <c:v>317938.35806490155</c:v>
                </c:pt>
                <c:pt idx="13">
                  <c:v>395319.21935037855</c:v>
                </c:pt>
              </c:numCache>
            </c:numRef>
          </c:val>
          <c:extLst>
            <c:ext xmlns:c16="http://schemas.microsoft.com/office/drawing/2014/chart" uri="{C3380CC4-5D6E-409C-BE32-E72D297353CC}">
              <c16:uniqueId val="{00000000-71FE-43DD-862C-8CA2BF0BF7E2}"/>
            </c:ext>
          </c:extLst>
        </c:ser>
        <c:dLbls>
          <c:showLegendKey val="0"/>
          <c:showVal val="0"/>
          <c:showCatName val="0"/>
          <c:showSerName val="0"/>
          <c:showPercent val="0"/>
          <c:showBubbleSize val="0"/>
        </c:dLbls>
        <c:gapWidth val="219"/>
        <c:overlap val="-27"/>
        <c:axId val="1229046704"/>
        <c:axId val="1229047120"/>
      </c:barChart>
      <c:lineChart>
        <c:grouping val="standard"/>
        <c:varyColors val="0"/>
        <c:ser>
          <c:idx val="1"/>
          <c:order val="1"/>
          <c:tx>
            <c:strRef>
              <c:f>'Revenue Build Up'!$B$16</c:f>
              <c:strCache>
                <c:ptCount val="1"/>
                <c:pt idx="0">
                  <c:v>Year to year growth</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val>
            <c:numRef>
              <c:f>'Revenue Build Up'!$D$16:$Q$16</c:f>
              <c:numCache>
                <c:formatCode>0.00%</c:formatCode>
                <c:ptCount val="14"/>
                <c:pt idx="0">
                  <c:v>-0.11375970501934507</c:v>
                </c:pt>
                <c:pt idx="1">
                  <c:v>0.34866943215054924</c:v>
                </c:pt>
                <c:pt idx="2">
                  <c:v>0.58830513222663305</c:v>
                </c:pt>
                <c:pt idx="3">
                  <c:v>9.8818888190321585E-2</c:v>
                </c:pt>
                <c:pt idx="4">
                  <c:v>0.236995032362322</c:v>
                </c:pt>
                <c:pt idx="5">
                  <c:v>0.2379738403132019</c:v>
                </c:pt>
                <c:pt idx="6">
                  <c:v>0.23887411454454632</c:v>
                </c:pt>
                <c:pt idx="7">
                  <c:v>0.2397009001888486</c:v>
                </c:pt>
                <c:pt idx="8">
                  <c:v>0.240459138259284</c:v>
                </c:pt>
                <c:pt idx="9">
                  <c:v>0.24115362340485369</c:v>
                </c:pt>
                <c:pt idx="10">
                  <c:v>0.24178897147176848</c:v>
                </c:pt>
                <c:pt idx="11">
                  <c:v>0.24236959566665672</c:v>
                </c:pt>
                <c:pt idx="12">
                  <c:v>0.24289969013274204</c:v>
                </c:pt>
                <c:pt idx="13">
                  <c:v>0.24338321980539712</c:v>
                </c:pt>
              </c:numCache>
            </c:numRef>
          </c:val>
          <c:smooth val="0"/>
          <c:extLst>
            <c:ext xmlns:c16="http://schemas.microsoft.com/office/drawing/2014/chart" uri="{C3380CC4-5D6E-409C-BE32-E72D297353CC}">
              <c16:uniqueId val="{00000001-71FE-43DD-862C-8CA2BF0BF7E2}"/>
            </c:ext>
          </c:extLst>
        </c:ser>
        <c:dLbls>
          <c:showLegendKey val="0"/>
          <c:showVal val="0"/>
          <c:showCatName val="0"/>
          <c:showSerName val="0"/>
          <c:showPercent val="0"/>
          <c:showBubbleSize val="0"/>
        </c:dLbls>
        <c:marker val="1"/>
        <c:smooth val="0"/>
        <c:axId val="1229047952"/>
        <c:axId val="1229047536"/>
      </c:lineChart>
      <c:catAx>
        <c:axId val="1229046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9047120"/>
        <c:crosses val="autoZero"/>
        <c:auto val="1"/>
        <c:lblAlgn val="ctr"/>
        <c:lblOffset val="100"/>
        <c:noMultiLvlLbl val="0"/>
      </c:catAx>
      <c:valAx>
        <c:axId val="1229047120"/>
        <c:scaling>
          <c:orientation val="minMax"/>
        </c:scaling>
        <c:delete val="0"/>
        <c:axPos val="l"/>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9046704"/>
        <c:crosses val="autoZero"/>
        <c:crossBetween val="between"/>
      </c:valAx>
      <c:valAx>
        <c:axId val="1229047536"/>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9047952"/>
        <c:crosses val="max"/>
        <c:crossBetween val="between"/>
      </c:valAx>
      <c:catAx>
        <c:axId val="1229047952"/>
        <c:scaling>
          <c:orientation val="minMax"/>
        </c:scaling>
        <c:delete val="1"/>
        <c:axPos val="b"/>
        <c:majorTickMark val="none"/>
        <c:minorTickMark val="none"/>
        <c:tickLblPos val="nextTo"/>
        <c:crossAx val="122904753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png"/><Relationship Id="rId4" Type="http://schemas.openxmlformats.org/officeDocument/2006/relationships/chart" Target="../charts/chart4.xml"/></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1038225</xdr:colOff>
      <xdr:row>6</xdr:row>
      <xdr:rowOff>0</xdr:rowOff>
    </xdr:to>
    <xdr:pic>
      <xdr:nvPicPr>
        <xdr:cNvPr id="5" name="Picture 4">
          <a:extLst>
            <a:ext uri="{FF2B5EF4-FFF2-40B4-BE49-F238E27FC236}">
              <a16:creationId xmlns:a16="http://schemas.microsoft.com/office/drawing/2014/main" id="{7B02721B-5E9F-456A-838D-8A12FC0A2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24200" cy="1143000"/>
        </a:xfrm>
        <a:prstGeom prst="rect">
          <a:avLst/>
        </a:prstGeom>
      </xdr:spPr>
    </xdr:pic>
    <xdr:clientData/>
  </xdr:twoCellAnchor>
  <xdr:twoCellAnchor editAs="oneCell">
    <xdr:from>
      <xdr:col>6</xdr:col>
      <xdr:colOff>0</xdr:colOff>
      <xdr:row>6</xdr:row>
      <xdr:rowOff>190499</xdr:rowOff>
    </xdr:from>
    <xdr:to>
      <xdr:col>15</xdr:col>
      <xdr:colOff>343714</xdr:colOff>
      <xdr:row>30</xdr:row>
      <xdr:rowOff>9524</xdr:rowOff>
    </xdr:to>
    <xdr:pic>
      <xdr:nvPicPr>
        <xdr:cNvPr id="3" name="Picture 2">
          <a:extLst>
            <a:ext uri="{FF2B5EF4-FFF2-40B4-BE49-F238E27FC236}">
              <a16:creationId xmlns:a16="http://schemas.microsoft.com/office/drawing/2014/main" id="{6966BB1B-CA3A-4311-BA3F-63777BC6455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15050" y="1333499"/>
          <a:ext cx="5830114" cy="4391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2571750</xdr:colOff>
      <xdr:row>5</xdr:row>
      <xdr:rowOff>171450</xdr:rowOff>
    </xdr:to>
    <xdr:pic>
      <xdr:nvPicPr>
        <xdr:cNvPr id="3" name="Picture 2">
          <a:extLst>
            <a:ext uri="{FF2B5EF4-FFF2-40B4-BE49-F238E27FC236}">
              <a16:creationId xmlns:a16="http://schemas.microsoft.com/office/drawing/2014/main" id="{7A743FFA-89E7-4569-9D55-77747C2EE87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628900" cy="1123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2355273</xdr:colOff>
      <xdr:row>5</xdr:row>
      <xdr:rowOff>181841</xdr:rowOff>
    </xdr:to>
    <xdr:pic>
      <xdr:nvPicPr>
        <xdr:cNvPr id="3" name="Picture 2">
          <a:extLst>
            <a:ext uri="{FF2B5EF4-FFF2-40B4-BE49-F238E27FC236}">
              <a16:creationId xmlns:a16="http://schemas.microsoft.com/office/drawing/2014/main" id="{1C389360-F44A-4499-A221-1101E42E416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2415886" cy="11343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2619375</xdr:colOff>
      <xdr:row>5</xdr:row>
      <xdr:rowOff>180974</xdr:rowOff>
    </xdr:to>
    <xdr:pic>
      <xdr:nvPicPr>
        <xdr:cNvPr id="3" name="Picture 2">
          <a:extLst>
            <a:ext uri="{FF2B5EF4-FFF2-40B4-BE49-F238E27FC236}">
              <a16:creationId xmlns:a16="http://schemas.microsoft.com/office/drawing/2014/main" id="{148EE43B-A6C6-407A-9D7C-6149D742C6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676525" cy="11334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361950</xdr:colOff>
      <xdr:row>5</xdr:row>
      <xdr:rowOff>190499</xdr:rowOff>
    </xdr:to>
    <xdr:pic>
      <xdr:nvPicPr>
        <xdr:cNvPr id="3" name="Picture 2">
          <a:extLst>
            <a:ext uri="{FF2B5EF4-FFF2-40B4-BE49-F238E27FC236}">
              <a16:creationId xmlns:a16="http://schemas.microsoft.com/office/drawing/2014/main" id="{A06F8258-1DBB-41A1-A09C-E44A15F3DC1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619375" cy="114299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xdr:colOff>
      <xdr:row>0</xdr:row>
      <xdr:rowOff>1</xdr:rowOff>
    </xdr:from>
    <xdr:to>
      <xdr:col>1</xdr:col>
      <xdr:colOff>2600326</xdr:colOff>
      <xdr:row>5</xdr:row>
      <xdr:rowOff>161925</xdr:rowOff>
    </xdr:to>
    <xdr:pic>
      <xdr:nvPicPr>
        <xdr:cNvPr id="3" name="Picture 2">
          <a:extLst>
            <a:ext uri="{FF2B5EF4-FFF2-40B4-BE49-F238E27FC236}">
              <a16:creationId xmlns:a16="http://schemas.microsoft.com/office/drawing/2014/main" id="{9F9F202B-CBF0-4869-B644-D6EC791212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
          <a:ext cx="2657474" cy="11144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2619375</xdr:colOff>
      <xdr:row>6</xdr:row>
      <xdr:rowOff>0</xdr:rowOff>
    </xdr:to>
    <xdr:pic>
      <xdr:nvPicPr>
        <xdr:cNvPr id="3" name="Picture 2">
          <a:extLst>
            <a:ext uri="{FF2B5EF4-FFF2-40B4-BE49-F238E27FC236}">
              <a16:creationId xmlns:a16="http://schemas.microsoft.com/office/drawing/2014/main" id="{3139F61A-A42F-4735-9FE3-EF00DA3E97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676525" cy="1143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2676525</xdr:colOff>
      <xdr:row>6</xdr:row>
      <xdr:rowOff>0</xdr:rowOff>
    </xdr:to>
    <xdr:pic>
      <xdr:nvPicPr>
        <xdr:cNvPr id="3" name="Picture 2">
          <a:extLst>
            <a:ext uri="{FF2B5EF4-FFF2-40B4-BE49-F238E27FC236}">
              <a16:creationId xmlns:a16="http://schemas.microsoft.com/office/drawing/2014/main" id="{51BBCD72-E11D-4B75-96D4-637FD79E51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2733674" cy="1143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238125</xdr:colOff>
      <xdr:row>5</xdr:row>
      <xdr:rowOff>180975</xdr:rowOff>
    </xdr:to>
    <xdr:pic>
      <xdr:nvPicPr>
        <xdr:cNvPr id="3" name="Picture 2">
          <a:extLst>
            <a:ext uri="{FF2B5EF4-FFF2-40B4-BE49-F238E27FC236}">
              <a16:creationId xmlns:a16="http://schemas.microsoft.com/office/drawing/2014/main" id="{DC0AAAD5-3837-466C-B66F-1214E4B6A1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90825" cy="113347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1</xdr:col>
      <xdr:colOff>2581275</xdr:colOff>
      <xdr:row>6</xdr:row>
      <xdr:rowOff>0</xdr:rowOff>
    </xdr:to>
    <xdr:pic>
      <xdr:nvPicPr>
        <xdr:cNvPr id="3" name="Picture 2">
          <a:extLst>
            <a:ext uri="{FF2B5EF4-FFF2-40B4-BE49-F238E27FC236}">
              <a16:creationId xmlns:a16="http://schemas.microsoft.com/office/drawing/2014/main" id="{E6F26B03-09EE-440D-884E-7FBDB6852E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1"/>
          <a:ext cx="2638424" cy="114299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2324101</xdr:colOff>
      <xdr:row>5</xdr:row>
      <xdr:rowOff>180975</xdr:rowOff>
    </xdr:to>
    <xdr:pic>
      <xdr:nvPicPr>
        <xdr:cNvPr id="3" name="Picture 2">
          <a:extLst>
            <a:ext uri="{FF2B5EF4-FFF2-40B4-BE49-F238E27FC236}">
              <a16:creationId xmlns:a16="http://schemas.microsoft.com/office/drawing/2014/main" id="{93874E98-BD1F-4B60-8978-8C58D7FB11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2381250" cy="113347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2438400</xdr:colOff>
      <xdr:row>6</xdr:row>
      <xdr:rowOff>0</xdr:rowOff>
    </xdr:to>
    <xdr:pic>
      <xdr:nvPicPr>
        <xdr:cNvPr id="3" name="Picture 2">
          <a:extLst>
            <a:ext uri="{FF2B5EF4-FFF2-40B4-BE49-F238E27FC236}">
              <a16:creationId xmlns:a16="http://schemas.microsoft.com/office/drawing/2014/main" id="{7766EE0A-7762-453E-AC5F-C63C2193F3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95550" cy="1143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438150</xdr:colOff>
      <xdr:row>5</xdr:row>
      <xdr:rowOff>180974</xdr:rowOff>
    </xdr:to>
    <xdr:pic>
      <xdr:nvPicPr>
        <xdr:cNvPr id="3" name="Picture 2">
          <a:extLst>
            <a:ext uri="{FF2B5EF4-FFF2-40B4-BE49-F238E27FC236}">
              <a16:creationId xmlns:a16="http://schemas.microsoft.com/office/drawing/2014/main" id="{460E0E7E-1EEB-4A0B-AB18-53A9F712C1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71725" cy="1133474"/>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9</xdr:col>
      <xdr:colOff>561974</xdr:colOff>
      <xdr:row>7</xdr:row>
      <xdr:rowOff>66675</xdr:rowOff>
    </xdr:from>
    <xdr:to>
      <xdr:col>21</xdr:col>
      <xdr:colOff>242887</xdr:colOff>
      <xdr:row>28</xdr:row>
      <xdr:rowOff>28575</xdr:rowOff>
    </xdr:to>
    <xdr:graphicFrame macro="">
      <xdr:nvGraphicFramePr>
        <xdr:cNvPr id="5" name="Chart 3">
          <a:extLst>
            <a:ext uri="{FF2B5EF4-FFF2-40B4-BE49-F238E27FC236}">
              <a16:creationId xmlns:a16="http://schemas.microsoft.com/office/drawing/2014/main" id="{733A2FB5-7A64-4F56-9FA7-9FB186DD00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28</xdr:row>
      <xdr:rowOff>121445</xdr:rowOff>
    </xdr:from>
    <xdr:to>
      <xdr:col>9</xdr:col>
      <xdr:colOff>504143</xdr:colOff>
      <xdr:row>49</xdr:row>
      <xdr:rowOff>50007</xdr:rowOff>
    </xdr:to>
    <xdr:graphicFrame macro="">
      <xdr:nvGraphicFramePr>
        <xdr:cNvPr id="2" name="Chart 1">
          <a:extLst>
            <a:ext uri="{FF2B5EF4-FFF2-40B4-BE49-F238E27FC236}">
              <a16:creationId xmlns:a16="http://schemas.microsoft.com/office/drawing/2014/main" id="{004F3D98-DB17-4CB6-A688-DBA0964EC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583064</xdr:colOff>
      <xdr:row>28</xdr:row>
      <xdr:rowOff>80962</xdr:rowOff>
    </xdr:from>
    <xdr:to>
      <xdr:col>21</xdr:col>
      <xdr:colOff>252411</xdr:colOff>
      <xdr:row>49</xdr:row>
      <xdr:rowOff>29935</xdr:rowOff>
    </xdr:to>
    <xdr:graphicFrame macro="">
      <xdr:nvGraphicFramePr>
        <xdr:cNvPr id="4" name="Chart 1">
          <a:extLst>
            <a:ext uri="{FF2B5EF4-FFF2-40B4-BE49-F238E27FC236}">
              <a16:creationId xmlns:a16="http://schemas.microsoft.com/office/drawing/2014/main" id="{B2F953B2-68F6-411F-9E72-0CF10B54B6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23813</xdr:colOff>
      <xdr:row>7</xdr:row>
      <xdr:rowOff>64294</xdr:rowOff>
    </xdr:from>
    <xdr:to>
      <xdr:col>9</xdr:col>
      <xdr:colOff>507206</xdr:colOff>
      <xdr:row>28</xdr:row>
      <xdr:rowOff>16669</xdr:rowOff>
    </xdr:to>
    <xdr:graphicFrame macro="">
      <xdr:nvGraphicFramePr>
        <xdr:cNvPr id="6" name="Chart 1">
          <a:extLst>
            <a:ext uri="{FF2B5EF4-FFF2-40B4-BE49-F238E27FC236}">
              <a16:creationId xmlns:a16="http://schemas.microsoft.com/office/drawing/2014/main" id="{B1294133-9DF4-489E-8044-77E5BDCF9A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0</xdr:rowOff>
    </xdr:from>
    <xdr:to>
      <xdr:col>5</xdr:col>
      <xdr:colOff>85725</xdr:colOff>
      <xdr:row>5</xdr:row>
      <xdr:rowOff>180975</xdr:rowOff>
    </xdr:to>
    <xdr:pic>
      <xdr:nvPicPr>
        <xdr:cNvPr id="7" name="Picture 6">
          <a:extLst>
            <a:ext uri="{FF2B5EF4-FFF2-40B4-BE49-F238E27FC236}">
              <a16:creationId xmlns:a16="http://schemas.microsoft.com/office/drawing/2014/main" id="{8B11179B-9411-47E6-8476-05E171425A3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2581275" cy="113347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971550</xdr:colOff>
      <xdr:row>5</xdr:row>
      <xdr:rowOff>190499</xdr:rowOff>
    </xdr:to>
    <xdr:pic>
      <xdr:nvPicPr>
        <xdr:cNvPr id="3" name="Picture 2">
          <a:extLst>
            <a:ext uri="{FF2B5EF4-FFF2-40B4-BE49-F238E27FC236}">
              <a16:creationId xmlns:a16="http://schemas.microsoft.com/office/drawing/2014/main" id="{B00E48B2-C43B-427F-9F66-8A0D2AAE10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47900" cy="1142999"/>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171450</xdr:colOff>
      <xdr:row>5</xdr:row>
      <xdr:rowOff>180975</xdr:rowOff>
    </xdr:to>
    <xdr:pic>
      <xdr:nvPicPr>
        <xdr:cNvPr id="3" name="Picture 2">
          <a:extLst>
            <a:ext uri="{FF2B5EF4-FFF2-40B4-BE49-F238E27FC236}">
              <a16:creationId xmlns:a16="http://schemas.microsoft.com/office/drawing/2014/main" id="{1B241DE9-BA53-4062-A77A-17FA984EBD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00275" cy="113347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2171700</xdr:colOff>
      <xdr:row>5</xdr:row>
      <xdr:rowOff>180975</xdr:rowOff>
    </xdr:to>
    <xdr:pic>
      <xdr:nvPicPr>
        <xdr:cNvPr id="3" name="Picture 2">
          <a:extLst>
            <a:ext uri="{FF2B5EF4-FFF2-40B4-BE49-F238E27FC236}">
              <a16:creationId xmlns:a16="http://schemas.microsoft.com/office/drawing/2014/main" id="{3FC20194-72F6-4D3B-9D6E-33315C5F19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28850" cy="1133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9.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0135-2931-449F-A4E9-0EE208429A32}">
  <dimension ref="B4:Y66"/>
  <sheetViews>
    <sheetView showGridLines="0" tabSelected="1" topLeftCell="B1" workbookViewId="0">
      <selection activeCell="D16" sqref="D16"/>
    </sheetView>
  </sheetViews>
  <sheetFormatPr defaultRowHeight="15" x14ac:dyDescent="0.25"/>
  <cols>
    <col min="1" max="1" width="0.85546875" customWidth="1"/>
    <col min="2" max="2" width="30.42578125" customWidth="1"/>
    <col min="3" max="3" width="21.85546875" customWidth="1"/>
    <col min="4" max="4" width="20.28515625" customWidth="1"/>
  </cols>
  <sheetData>
    <row r="4" spans="2:24" x14ac:dyDescent="0.25">
      <c r="D4" s="9"/>
    </row>
    <row r="7" spans="2:24" x14ac:dyDescent="0.25">
      <c r="B7" s="154"/>
      <c r="C7" s="154"/>
      <c r="D7" s="154"/>
      <c r="E7" s="154"/>
      <c r="F7" s="154"/>
      <c r="G7" s="154"/>
      <c r="H7" s="154"/>
      <c r="I7" s="154"/>
      <c r="J7" s="154"/>
      <c r="K7" s="154"/>
      <c r="L7" s="154"/>
      <c r="M7" s="154"/>
      <c r="N7" s="154"/>
      <c r="O7" s="154"/>
      <c r="P7" s="154"/>
      <c r="Q7" s="154"/>
      <c r="R7" s="154"/>
      <c r="S7" s="154"/>
      <c r="T7" s="154"/>
      <c r="U7" s="154"/>
      <c r="V7" s="154"/>
      <c r="W7" s="154"/>
      <c r="X7" s="154"/>
    </row>
    <row r="8" spans="2:24" x14ac:dyDescent="0.25">
      <c r="B8" s="139" t="s">
        <v>319</v>
      </c>
      <c r="C8" s="140" t="s">
        <v>302</v>
      </c>
      <c r="D8" s="11"/>
    </row>
    <row r="9" spans="2:24" x14ac:dyDescent="0.25">
      <c r="B9" s="139" t="s">
        <v>298</v>
      </c>
      <c r="C9" s="141" t="s">
        <v>303</v>
      </c>
      <c r="D9" s="11"/>
    </row>
    <row r="10" spans="2:24" x14ac:dyDescent="0.25">
      <c r="B10" s="139" t="s">
        <v>299</v>
      </c>
      <c r="C10" s="141" t="s">
        <v>305</v>
      </c>
      <c r="D10" s="11"/>
    </row>
    <row r="11" spans="2:24" x14ac:dyDescent="0.25">
      <c r="B11" s="139" t="s">
        <v>300</v>
      </c>
      <c r="C11" s="141" t="s">
        <v>304</v>
      </c>
      <c r="D11" s="11"/>
    </row>
    <row r="12" spans="2:24" x14ac:dyDescent="0.25">
      <c r="B12" s="139" t="s">
        <v>301</v>
      </c>
      <c r="C12" s="142" t="s">
        <v>306</v>
      </c>
      <c r="D12" s="11"/>
    </row>
    <row r="13" spans="2:24" x14ac:dyDescent="0.25">
      <c r="B13" s="139" t="s">
        <v>247</v>
      </c>
      <c r="C13" s="208">
        <v>204.22</v>
      </c>
      <c r="D13" s="11"/>
    </row>
    <row r="16" spans="2:24" x14ac:dyDescent="0.25">
      <c r="B16" s="11"/>
      <c r="C16" s="31"/>
      <c r="D16" s="11"/>
    </row>
    <row r="17" spans="2:25" x14ac:dyDescent="0.25">
      <c r="B17" s="11"/>
      <c r="C17" s="11"/>
      <c r="D17" s="11"/>
    </row>
    <row r="18" spans="2:25" x14ac:dyDescent="0.25">
      <c r="B18" s="11"/>
      <c r="C18" s="11"/>
      <c r="D18" s="11"/>
    </row>
    <row r="19" spans="2:25" x14ac:dyDescent="0.25">
      <c r="B19" s="11"/>
      <c r="C19" s="11"/>
      <c r="D19" s="11"/>
    </row>
    <row r="20" spans="2:25" x14ac:dyDescent="0.25">
      <c r="B20" s="138" t="s">
        <v>106</v>
      </c>
      <c r="C20" s="149" t="s">
        <v>107</v>
      </c>
      <c r="D20" s="11"/>
    </row>
    <row r="21" spans="2:25" x14ac:dyDescent="0.25">
      <c r="B21" s="11" t="s">
        <v>104</v>
      </c>
      <c r="C21" s="13">
        <f>IF(B21="Best Case",1,IF(B21="Base Case",2,3))</f>
        <v>2</v>
      </c>
      <c r="D21" s="11"/>
    </row>
    <row r="22" spans="2:25" x14ac:dyDescent="0.25">
      <c r="B22" s="11"/>
      <c r="C22" s="11"/>
      <c r="D22" s="11"/>
    </row>
    <row r="23" spans="2:25" x14ac:dyDescent="0.25">
      <c r="B23" s="234" t="s">
        <v>241</v>
      </c>
      <c r="C23" s="234"/>
      <c r="D23" s="234"/>
    </row>
    <row r="24" spans="2:25" x14ac:dyDescent="0.25">
      <c r="B24" s="146" t="s">
        <v>0</v>
      </c>
      <c r="C24" s="147"/>
      <c r="D24" s="148" t="s">
        <v>242</v>
      </c>
    </row>
    <row r="25" spans="2:25" x14ac:dyDescent="0.25">
      <c r="B25" s="143" t="s">
        <v>243</v>
      </c>
      <c r="C25" s="204" t="s">
        <v>244</v>
      </c>
      <c r="D25" s="201">
        <v>27856000000</v>
      </c>
    </row>
    <row r="26" spans="2:25" x14ac:dyDescent="0.25">
      <c r="B26" s="144" t="s">
        <v>245</v>
      </c>
      <c r="C26" s="38" t="s">
        <v>246</v>
      </c>
      <c r="D26" s="202">
        <v>1</v>
      </c>
    </row>
    <row r="27" spans="2:25" x14ac:dyDescent="0.25">
      <c r="B27" s="144" t="s">
        <v>247</v>
      </c>
      <c r="C27" s="38" t="s">
        <v>246</v>
      </c>
      <c r="D27" s="202">
        <v>204.22</v>
      </c>
    </row>
    <row r="28" spans="2:25" x14ac:dyDescent="0.25">
      <c r="B28" s="146" t="s">
        <v>311</v>
      </c>
      <c r="C28" s="41" t="s">
        <v>248</v>
      </c>
      <c r="D28" s="203">
        <f>D25*D27/10^7</f>
        <v>568875.23199999996</v>
      </c>
    </row>
    <row r="29" spans="2:25" x14ac:dyDescent="0.25">
      <c r="B29" s="11"/>
      <c r="C29" s="11"/>
      <c r="D29" s="11"/>
    </row>
    <row r="30" spans="2:25" x14ac:dyDescent="0.25">
      <c r="B30" s="11"/>
      <c r="C30" s="11"/>
      <c r="D30" s="11"/>
    </row>
    <row r="31" spans="2:25" ht="15.75" x14ac:dyDescent="0.25">
      <c r="B31" s="74" t="s">
        <v>264</v>
      </c>
      <c r="C31" s="137"/>
      <c r="D31" s="235" t="s">
        <v>265</v>
      </c>
      <c r="E31" s="235"/>
      <c r="F31" s="235"/>
      <c r="G31" s="235"/>
      <c r="H31" s="235"/>
      <c r="I31" s="235"/>
      <c r="J31" s="235"/>
      <c r="K31" s="235"/>
      <c r="L31" s="235"/>
      <c r="M31" s="235"/>
      <c r="N31" s="235"/>
      <c r="O31" s="235"/>
      <c r="P31" s="235"/>
      <c r="Q31" s="235"/>
      <c r="R31" s="235"/>
      <c r="S31" s="235"/>
      <c r="T31" s="235"/>
      <c r="U31" s="235"/>
      <c r="V31" s="235"/>
      <c r="W31" s="235"/>
      <c r="X31" s="235"/>
      <c r="Y31" s="153"/>
    </row>
    <row r="32" spans="2:25" x14ac:dyDescent="0.25">
      <c r="B32" s="150"/>
      <c r="C32" s="151"/>
      <c r="D32" s="229"/>
      <c r="E32" s="229"/>
      <c r="F32" s="229"/>
      <c r="G32" s="229"/>
      <c r="H32" s="229"/>
      <c r="I32" s="229"/>
      <c r="J32" s="229"/>
      <c r="K32" s="229"/>
      <c r="L32" s="229"/>
      <c r="M32" s="229"/>
      <c r="N32" s="229"/>
      <c r="O32" s="229"/>
      <c r="P32" s="229"/>
      <c r="Q32" s="229"/>
      <c r="R32" s="229"/>
      <c r="S32" s="229"/>
      <c r="T32" s="229"/>
      <c r="U32" s="229"/>
      <c r="V32" s="229"/>
      <c r="W32" s="229"/>
      <c r="X32" s="229"/>
      <c r="Y32" s="153"/>
    </row>
    <row r="33" spans="2:25" x14ac:dyDescent="0.25">
      <c r="B33" s="37"/>
      <c r="C33" s="44"/>
      <c r="D33" s="229" t="s">
        <v>312</v>
      </c>
      <c r="E33" s="229"/>
      <c r="F33" s="229"/>
      <c r="G33" s="229"/>
      <c r="H33" s="229"/>
      <c r="I33" s="229"/>
      <c r="J33" s="229"/>
      <c r="K33" s="229"/>
      <c r="L33" s="229"/>
      <c r="M33" s="229"/>
      <c r="N33" s="229"/>
      <c r="O33" s="229"/>
      <c r="P33" s="229"/>
      <c r="Q33" s="229"/>
      <c r="R33" s="229"/>
      <c r="S33" s="229"/>
      <c r="T33" s="229"/>
      <c r="U33" s="229"/>
      <c r="V33" s="229"/>
      <c r="W33" s="229"/>
      <c r="X33" s="229"/>
      <c r="Y33" s="153"/>
    </row>
    <row r="34" spans="2:25" x14ac:dyDescent="0.25">
      <c r="B34" s="37"/>
      <c r="C34" s="202"/>
      <c r="D34" s="229"/>
      <c r="E34" s="229"/>
      <c r="F34" s="229"/>
      <c r="G34" s="229"/>
      <c r="H34" s="229"/>
      <c r="I34" s="229"/>
      <c r="J34" s="229"/>
      <c r="K34" s="229"/>
      <c r="L34" s="229"/>
      <c r="M34" s="229"/>
      <c r="N34" s="229"/>
      <c r="O34" s="229"/>
      <c r="P34" s="229"/>
      <c r="Q34" s="229"/>
      <c r="R34" s="229"/>
      <c r="S34" s="229"/>
      <c r="T34" s="229"/>
      <c r="U34" s="229"/>
      <c r="V34" s="229"/>
      <c r="W34" s="229"/>
      <c r="X34" s="229"/>
      <c r="Y34" s="153"/>
    </row>
    <row r="35" spans="2:25" x14ac:dyDescent="0.25">
      <c r="B35" s="37" t="s">
        <v>266</v>
      </c>
      <c r="C35" s="202"/>
      <c r="D35" s="229" t="s">
        <v>313</v>
      </c>
      <c r="E35" s="229"/>
      <c r="F35" s="229"/>
      <c r="G35" s="229"/>
      <c r="H35" s="229"/>
      <c r="I35" s="229"/>
      <c r="J35" s="229"/>
      <c r="K35" s="229"/>
      <c r="L35" s="229"/>
      <c r="M35" s="229"/>
      <c r="N35" s="229"/>
      <c r="O35" s="229"/>
      <c r="P35" s="229"/>
      <c r="Q35" s="229"/>
      <c r="R35" s="229"/>
      <c r="S35" s="229"/>
      <c r="T35" s="229"/>
      <c r="U35" s="229"/>
      <c r="V35" s="229"/>
      <c r="W35" s="229"/>
      <c r="X35" s="229"/>
      <c r="Y35" s="153"/>
    </row>
    <row r="36" spans="2:25" x14ac:dyDescent="0.25">
      <c r="B36" s="37"/>
      <c r="C36" s="202"/>
      <c r="D36" s="229"/>
      <c r="E36" s="229"/>
      <c r="F36" s="229"/>
      <c r="G36" s="229"/>
      <c r="H36" s="229"/>
      <c r="I36" s="229"/>
      <c r="J36" s="229"/>
      <c r="K36" s="229"/>
      <c r="L36" s="229"/>
      <c r="M36" s="229"/>
      <c r="N36" s="229"/>
      <c r="O36" s="229"/>
      <c r="P36" s="229"/>
      <c r="Q36" s="229"/>
      <c r="R36" s="229"/>
      <c r="S36" s="229"/>
      <c r="T36" s="229"/>
      <c r="U36" s="229"/>
      <c r="V36" s="229"/>
      <c r="W36" s="229"/>
      <c r="X36" s="229"/>
      <c r="Y36" s="153"/>
    </row>
    <row r="37" spans="2:25" s="166" customFormat="1" x14ac:dyDescent="0.25">
      <c r="B37" s="37"/>
      <c r="C37" s="202"/>
      <c r="D37" s="230" t="s">
        <v>323</v>
      </c>
      <c r="E37" s="231"/>
      <c r="F37" s="231"/>
      <c r="G37" s="231"/>
      <c r="H37" s="231"/>
      <c r="I37" s="231"/>
      <c r="J37" s="231"/>
      <c r="K37" s="231"/>
      <c r="L37" s="231"/>
      <c r="M37" s="231"/>
      <c r="N37" s="231"/>
      <c r="O37" s="231"/>
      <c r="P37" s="231"/>
      <c r="Q37" s="231"/>
      <c r="R37" s="231"/>
      <c r="S37" s="231"/>
      <c r="T37" s="231"/>
      <c r="U37" s="231"/>
      <c r="V37" s="231"/>
      <c r="W37" s="231"/>
      <c r="X37" s="232"/>
      <c r="Y37" s="153"/>
    </row>
    <row r="38" spans="2:25" x14ac:dyDescent="0.25">
      <c r="B38" s="40"/>
      <c r="C38" s="205"/>
      <c r="Y38" s="153"/>
    </row>
    <row r="39" spans="2:25" s="166" customFormat="1" x14ac:dyDescent="0.25">
      <c r="B39" s="37"/>
      <c r="C39" s="202"/>
      <c r="D39" s="143"/>
      <c r="E39" s="220"/>
      <c r="F39" s="220"/>
      <c r="G39" s="220"/>
      <c r="H39" s="220"/>
      <c r="I39" s="220"/>
      <c r="J39" s="220"/>
      <c r="K39" s="220"/>
      <c r="L39" s="220"/>
      <c r="M39" s="220"/>
      <c r="N39" s="220"/>
      <c r="O39" s="220"/>
      <c r="P39" s="220"/>
      <c r="Q39" s="220"/>
      <c r="R39" s="220"/>
      <c r="S39" s="220"/>
      <c r="T39" s="220"/>
      <c r="U39" s="220"/>
      <c r="V39" s="220"/>
      <c r="W39" s="220"/>
      <c r="X39" s="151"/>
      <c r="Y39" s="153"/>
    </row>
    <row r="40" spans="2:25" x14ac:dyDescent="0.25">
      <c r="B40" s="37"/>
      <c r="C40" s="202"/>
      <c r="D40" s="229" t="s">
        <v>324</v>
      </c>
      <c r="E40" s="229"/>
      <c r="F40" s="229"/>
      <c r="G40" s="229"/>
      <c r="H40" s="229"/>
      <c r="I40" s="229"/>
      <c r="J40" s="229"/>
      <c r="K40" s="229"/>
      <c r="L40" s="229"/>
      <c r="M40" s="229"/>
      <c r="N40" s="229"/>
      <c r="O40" s="229"/>
      <c r="P40" s="229"/>
      <c r="Q40" s="229"/>
      <c r="R40" s="229"/>
      <c r="S40" s="229"/>
      <c r="T40" s="229"/>
      <c r="U40" s="229"/>
      <c r="V40" s="229"/>
      <c r="W40" s="229"/>
      <c r="X40" s="229"/>
      <c r="Y40" s="153"/>
    </row>
    <row r="41" spans="2:25" s="166" customFormat="1" x14ac:dyDescent="0.25">
      <c r="B41" s="37"/>
      <c r="C41" s="202"/>
      <c r="D41" s="215"/>
      <c r="E41" s="215"/>
      <c r="F41" s="215"/>
      <c r="G41" s="215"/>
      <c r="H41" s="215"/>
      <c r="I41" s="215"/>
      <c r="J41" s="215"/>
      <c r="K41" s="215"/>
      <c r="L41" s="215"/>
      <c r="M41" s="215"/>
      <c r="N41" s="215"/>
      <c r="O41" s="215"/>
      <c r="P41" s="215"/>
      <c r="Q41" s="215"/>
      <c r="R41" s="215"/>
      <c r="S41" s="215"/>
      <c r="T41" s="215"/>
      <c r="U41" s="215"/>
      <c r="V41" s="215"/>
      <c r="W41" s="215"/>
      <c r="X41" s="215"/>
      <c r="Y41" s="153"/>
    </row>
    <row r="42" spans="2:25" x14ac:dyDescent="0.25">
      <c r="B42" s="37" t="s">
        <v>267</v>
      </c>
      <c r="C42" s="202"/>
      <c r="D42" s="229" t="s">
        <v>325</v>
      </c>
      <c r="E42" s="229"/>
      <c r="F42" s="229"/>
      <c r="G42" s="229"/>
      <c r="H42" s="229"/>
      <c r="I42" s="229"/>
      <c r="J42" s="229"/>
      <c r="K42" s="229"/>
      <c r="L42" s="229"/>
      <c r="M42" s="229"/>
      <c r="N42" s="229"/>
      <c r="O42" s="229"/>
      <c r="P42" s="229"/>
      <c r="Q42" s="229"/>
      <c r="R42" s="229"/>
      <c r="S42" s="229"/>
      <c r="T42" s="229"/>
      <c r="U42" s="229"/>
      <c r="V42" s="229"/>
      <c r="W42" s="229"/>
      <c r="X42" s="229"/>
      <c r="Y42" s="153"/>
    </row>
    <row r="43" spans="2:25" x14ac:dyDescent="0.25">
      <c r="C43" s="202"/>
      <c r="D43" s="229"/>
      <c r="E43" s="229"/>
      <c r="F43" s="229"/>
      <c r="G43" s="229"/>
      <c r="H43" s="229"/>
      <c r="I43" s="229"/>
      <c r="J43" s="229"/>
      <c r="K43" s="229"/>
      <c r="L43" s="229"/>
      <c r="M43" s="229"/>
      <c r="N43" s="229"/>
      <c r="O43" s="229"/>
      <c r="P43" s="229"/>
      <c r="Q43" s="229"/>
      <c r="R43" s="229"/>
      <c r="S43" s="229"/>
      <c r="T43" s="229"/>
      <c r="U43" s="229"/>
      <c r="V43" s="229"/>
      <c r="W43" s="229"/>
      <c r="X43" s="229"/>
      <c r="Y43" s="153"/>
    </row>
    <row r="44" spans="2:25" x14ac:dyDescent="0.25">
      <c r="B44" s="37"/>
      <c r="C44" s="202"/>
      <c r="D44" s="229" t="s">
        <v>331</v>
      </c>
      <c r="E44" s="229"/>
      <c r="F44" s="229"/>
      <c r="G44" s="229"/>
      <c r="H44" s="229"/>
      <c r="I44" s="229"/>
      <c r="J44" s="229"/>
      <c r="K44" s="229"/>
      <c r="L44" s="229"/>
      <c r="M44" s="229"/>
      <c r="N44" s="229"/>
      <c r="O44" s="229"/>
      <c r="P44" s="229"/>
      <c r="Q44" s="229"/>
      <c r="R44" s="229"/>
      <c r="S44" s="229"/>
      <c r="T44" s="229"/>
      <c r="U44" s="229"/>
      <c r="V44" s="229"/>
      <c r="W44" s="229"/>
      <c r="X44" s="229"/>
      <c r="Y44" s="153"/>
    </row>
    <row r="45" spans="2:25" x14ac:dyDescent="0.25">
      <c r="B45" s="40"/>
      <c r="C45" s="205"/>
      <c r="D45" s="233"/>
      <c r="E45" s="233"/>
      <c r="F45" s="233"/>
      <c r="G45" s="233"/>
      <c r="H45" s="233"/>
      <c r="I45" s="233"/>
      <c r="J45" s="233"/>
      <c r="K45" s="233"/>
      <c r="L45" s="233"/>
      <c r="M45" s="233"/>
      <c r="N45" s="233"/>
      <c r="O45" s="233"/>
      <c r="P45" s="233"/>
      <c r="Q45" s="233"/>
      <c r="R45" s="233"/>
      <c r="S45" s="233"/>
      <c r="T45" s="233"/>
      <c r="U45" s="233"/>
      <c r="V45" s="233"/>
      <c r="W45" s="233"/>
      <c r="X45" s="233"/>
      <c r="Y45" s="153"/>
    </row>
    <row r="46" spans="2:25" s="166" customFormat="1" x14ac:dyDescent="0.25">
      <c r="B46" s="37"/>
      <c r="C46" s="202"/>
      <c r="D46" s="145"/>
      <c r="E46" s="145"/>
      <c r="F46" s="145"/>
      <c r="G46" s="145"/>
      <c r="H46" s="145"/>
      <c r="I46" s="145"/>
      <c r="J46" s="145"/>
      <c r="K46" s="145"/>
      <c r="L46" s="145"/>
      <c r="M46" s="145"/>
      <c r="N46" s="145"/>
      <c r="O46" s="145"/>
      <c r="P46" s="145"/>
      <c r="Q46" s="145"/>
      <c r="R46" s="145"/>
      <c r="S46" s="145"/>
      <c r="T46" s="145"/>
      <c r="U46" s="145"/>
      <c r="V46" s="145"/>
      <c r="W46" s="145"/>
      <c r="X46" s="145"/>
      <c r="Y46" s="153"/>
    </row>
    <row r="47" spans="2:25" x14ac:dyDescent="0.25">
      <c r="B47" s="37"/>
      <c r="C47" s="202"/>
      <c r="D47" s="229" t="s">
        <v>320</v>
      </c>
      <c r="E47" s="229"/>
      <c r="F47" s="229"/>
      <c r="G47" s="229"/>
      <c r="H47" s="229"/>
      <c r="I47" s="229"/>
      <c r="J47" s="229"/>
      <c r="K47" s="229"/>
      <c r="L47" s="229"/>
      <c r="M47" s="229"/>
      <c r="N47" s="229"/>
      <c r="O47" s="229"/>
      <c r="P47" s="229"/>
      <c r="Q47" s="229"/>
      <c r="R47" s="229"/>
      <c r="S47" s="229"/>
      <c r="T47" s="229"/>
      <c r="U47" s="229"/>
      <c r="V47" s="229"/>
      <c r="W47" s="229"/>
      <c r="X47" s="229"/>
      <c r="Y47" s="153"/>
    </row>
    <row r="48" spans="2:25" x14ac:dyDescent="0.25">
      <c r="B48" s="37"/>
      <c r="C48" s="202"/>
      <c r="D48" s="229"/>
      <c r="E48" s="229"/>
      <c r="F48" s="229"/>
      <c r="G48" s="229"/>
      <c r="H48" s="229"/>
      <c r="I48" s="229"/>
      <c r="J48" s="229"/>
      <c r="K48" s="229"/>
      <c r="L48" s="229"/>
      <c r="M48" s="229"/>
      <c r="N48" s="229"/>
      <c r="O48" s="229"/>
      <c r="P48" s="229"/>
      <c r="Q48" s="229"/>
      <c r="R48" s="229"/>
      <c r="S48" s="229"/>
      <c r="T48" s="229"/>
      <c r="U48" s="229"/>
      <c r="V48" s="229"/>
      <c r="W48" s="229"/>
      <c r="X48" s="229"/>
      <c r="Y48" s="153"/>
    </row>
    <row r="49" spans="2:25" x14ac:dyDescent="0.25">
      <c r="B49" s="37" t="s">
        <v>268</v>
      </c>
      <c r="C49" s="202"/>
      <c r="D49" s="229" t="s">
        <v>321</v>
      </c>
      <c r="E49" s="229"/>
      <c r="F49" s="229"/>
      <c r="G49" s="229"/>
      <c r="H49" s="229"/>
      <c r="I49" s="229"/>
      <c r="J49" s="229"/>
      <c r="K49" s="229"/>
      <c r="L49" s="229"/>
      <c r="M49" s="229"/>
      <c r="N49" s="229"/>
      <c r="O49" s="229"/>
      <c r="P49" s="229"/>
      <c r="Q49" s="229"/>
      <c r="R49" s="229"/>
      <c r="S49" s="229"/>
      <c r="T49" s="229"/>
      <c r="U49" s="229"/>
      <c r="V49" s="229"/>
      <c r="W49" s="229"/>
      <c r="X49" s="229"/>
      <c r="Y49" s="153"/>
    </row>
    <row r="50" spans="2:25" x14ac:dyDescent="0.25">
      <c r="B50" s="40"/>
      <c r="C50" s="205"/>
      <c r="D50" s="233"/>
      <c r="E50" s="233"/>
      <c r="F50" s="233"/>
      <c r="G50" s="233"/>
      <c r="H50" s="233"/>
      <c r="I50" s="233"/>
      <c r="J50" s="233"/>
      <c r="K50" s="233"/>
      <c r="L50" s="233"/>
      <c r="M50" s="233"/>
      <c r="N50" s="233"/>
      <c r="O50" s="233"/>
      <c r="P50" s="233"/>
      <c r="Q50" s="233"/>
      <c r="R50" s="233"/>
      <c r="S50" s="233"/>
      <c r="T50" s="233"/>
      <c r="U50" s="233"/>
      <c r="V50" s="233"/>
      <c r="W50" s="233"/>
      <c r="X50" s="233"/>
      <c r="Y50" s="153"/>
    </row>
    <row r="51" spans="2:25" x14ac:dyDescent="0.25">
      <c r="B51" s="37"/>
      <c r="C51" s="202"/>
      <c r="D51" s="229"/>
      <c r="E51" s="229"/>
      <c r="F51" s="229"/>
      <c r="G51" s="229"/>
      <c r="H51" s="229"/>
      <c r="I51" s="229"/>
      <c r="J51" s="229"/>
      <c r="K51" s="229"/>
      <c r="L51" s="229"/>
      <c r="M51" s="229"/>
      <c r="N51" s="229"/>
      <c r="O51" s="229"/>
      <c r="P51" s="229"/>
      <c r="Q51" s="229"/>
      <c r="R51" s="229"/>
      <c r="S51" s="229"/>
      <c r="T51" s="229"/>
      <c r="U51" s="229"/>
      <c r="V51" s="229"/>
      <c r="W51" s="229"/>
      <c r="X51" s="229"/>
      <c r="Y51" s="153"/>
    </row>
    <row r="52" spans="2:25" x14ac:dyDescent="0.25">
      <c r="B52" s="37" t="s">
        <v>270</v>
      </c>
      <c r="C52" s="202"/>
      <c r="D52" s="229" t="s">
        <v>269</v>
      </c>
      <c r="E52" s="229"/>
      <c r="F52" s="229"/>
      <c r="G52" s="229"/>
      <c r="H52" s="229"/>
      <c r="I52" s="229"/>
      <c r="J52" s="229"/>
      <c r="K52" s="229"/>
      <c r="L52" s="229"/>
      <c r="M52" s="229"/>
      <c r="N52" s="229"/>
      <c r="O52" s="229"/>
      <c r="P52" s="229"/>
      <c r="Q52" s="229"/>
      <c r="R52" s="229"/>
      <c r="S52" s="229"/>
      <c r="T52" s="229"/>
      <c r="U52" s="229"/>
      <c r="V52" s="229"/>
      <c r="W52" s="229"/>
      <c r="X52" s="229"/>
      <c r="Y52" s="153"/>
    </row>
    <row r="53" spans="2:25" x14ac:dyDescent="0.25">
      <c r="B53" s="40"/>
      <c r="C53" s="205"/>
      <c r="D53" s="233"/>
      <c r="E53" s="233"/>
      <c r="F53" s="233"/>
      <c r="G53" s="233"/>
      <c r="H53" s="233"/>
      <c r="I53" s="233"/>
      <c r="J53" s="233"/>
      <c r="K53" s="233"/>
      <c r="L53" s="233"/>
      <c r="M53" s="233"/>
      <c r="N53" s="233"/>
      <c r="O53" s="233"/>
      <c r="P53" s="233"/>
      <c r="Q53" s="233"/>
      <c r="R53" s="233"/>
      <c r="S53" s="233"/>
      <c r="T53" s="233"/>
      <c r="U53" s="233"/>
      <c r="V53" s="233"/>
      <c r="W53" s="233"/>
      <c r="X53" s="233"/>
      <c r="Y53" s="153"/>
    </row>
    <row r="54" spans="2:25" x14ac:dyDescent="0.25">
      <c r="B54" s="37"/>
      <c r="C54" s="202"/>
      <c r="D54" s="229"/>
      <c r="E54" s="229"/>
      <c r="F54" s="229"/>
      <c r="G54" s="229"/>
      <c r="H54" s="229"/>
      <c r="I54" s="229"/>
      <c r="J54" s="229"/>
      <c r="K54" s="229"/>
      <c r="L54" s="229"/>
      <c r="M54" s="229"/>
      <c r="N54" s="229"/>
      <c r="O54" s="229"/>
      <c r="P54" s="229"/>
      <c r="Q54" s="229"/>
      <c r="R54" s="229"/>
      <c r="S54" s="229"/>
      <c r="T54" s="229"/>
      <c r="U54" s="229"/>
      <c r="V54" s="229"/>
      <c r="W54" s="229"/>
      <c r="X54" s="229"/>
      <c r="Y54" s="153"/>
    </row>
    <row r="55" spans="2:25" x14ac:dyDescent="0.25">
      <c r="B55" s="37" t="s">
        <v>271</v>
      </c>
      <c r="C55" s="202"/>
      <c r="D55" s="229" t="s">
        <v>326</v>
      </c>
      <c r="E55" s="229"/>
      <c r="F55" s="229"/>
      <c r="G55" s="229"/>
      <c r="H55" s="229"/>
      <c r="I55" s="229"/>
      <c r="J55" s="229"/>
      <c r="K55" s="229"/>
      <c r="L55" s="229"/>
      <c r="M55" s="229"/>
      <c r="N55" s="229"/>
      <c r="O55" s="229"/>
      <c r="P55" s="229"/>
      <c r="Q55" s="229"/>
      <c r="R55" s="229"/>
      <c r="S55" s="229"/>
      <c r="T55" s="229"/>
      <c r="U55" s="229"/>
      <c r="V55" s="229"/>
      <c r="W55" s="229"/>
      <c r="X55" s="229"/>
      <c r="Y55" s="153"/>
    </row>
    <row r="56" spans="2:25" x14ac:dyDescent="0.25">
      <c r="B56" s="40"/>
      <c r="C56" s="205"/>
      <c r="D56" s="233"/>
      <c r="E56" s="233"/>
      <c r="F56" s="233"/>
      <c r="G56" s="233"/>
      <c r="H56" s="233"/>
      <c r="I56" s="233"/>
      <c r="J56" s="233"/>
      <c r="K56" s="233"/>
      <c r="L56" s="233"/>
      <c r="M56" s="233"/>
      <c r="N56" s="233"/>
      <c r="O56" s="233"/>
      <c r="P56" s="233"/>
      <c r="Q56" s="233"/>
      <c r="R56" s="233"/>
      <c r="S56" s="233"/>
      <c r="T56" s="233"/>
      <c r="U56" s="233"/>
      <c r="V56" s="233"/>
      <c r="W56" s="233"/>
      <c r="X56" s="233"/>
      <c r="Y56" s="153"/>
    </row>
    <row r="57" spans="2:25" s="166" customFormat="1" x14ac:dyDescent="0.25">
      <c r="B57" s="37"/>
      <c r="C57" s="202"/>
      <c r="D57" s="145"/>
      <c r="E57" s="145"/>
      <c r="F57" s="145"/>
      <c r="G57" s="145"/>
      <c r="H57" s="145"/>
      <c r="I57" s="145"/>
      <c r="J57" s="145"/>
      <c r="K57" s="145"/>
      <c r="L57" s="145"/>
      <c r="M57" s="145"/>
      <c r="N57" s="145"/>
      <c r="O57" s="145"/>
      <c r="P57" s="145"/>
      <c r="Q57" s="145"/>
      <c r="R57" s="145"/>
      <c r="S57" s="145"/>
      <c r="T57" s="145"/>
      <c r="U57" s="145"/>
      <c r="V57" s="145"/>
      <c r="W57" s="145"/>
      <c r="X57" s="145"/>
      <c r="Y57" s="153"/>
    </row>
    <row r="58" spans="2:25" x14ac:dyDescent="0.25">
      <c r="B58" s="37" t="s">
        <v>272</v>
      </c>
      <c r="C58" s="202"/>
      <c r="D58" s="229" t="s">
        <v>273</v>
      </c>
      <c r="E58" s="229"/>
      <c r="F58" s="229"/>
      <c r="G58" s="229"/>
      <c r="H58" s="229"/>
      <c r="I58" s="229"/>
      <c r="J58" s="229"/>
      <c r="K58" s="229"/>
      <c r="L58" s="229"/>
      <c r="M58" s="229"/>
      <c r="N58" s="229"/>
      <c r="O58" s="229"/>
      <c r="P58" s="229"/>
      <c r="Q58" s="229"/>
      <c r="R58" s="229"/>
      <c r="S58" s="229"/>
      <c r="T58" s="229"/>
      <c r="U58" s="229"/>
      <c r="V58" s="229"/>
      <c r="W58" s="229"/>
      <c r="X58" s="229"/>
      <c r="Y58" s="153"/>
    </row>
    <row r="59" spans="2:25" x14ac:dyDescent="0.25">
      <c r="B59" s="206"/>
      <c r="C59" s="207"/>
      <c r="D59" s="152"/>
      <c r="E59" s="152"/>
      <c r="F59" s="152"/>
      <c r="G59" s="152"/>
      <c r="H59" s="152"/>
      <c r="I59" s="152"/>
      <c r="J59" s="152"/>
      <c r="K59" s="152"/>
      <c r="L59" s="152"/>
      <c r="M59" s="152"/>
      <c r="N59" s="152"/>
      <c r="O59" s="152"/>
      <c r="P59" s="152"/>
      <c r="Q59" s="152"/>
      <c r="R59" s="152"/>
      <c r="S59" s="152"/>
      <c r="T59" s="152"/>
      <c r="U59" s="152"/>
      <c r="V59" s="152"/>
      <c r="W59" s="152"/>
      <c r="X59" s="152"/>
      <c r="Y59" s="153"/>
    </row>
    <row r="60" spans="2:25" s="166" customFormat="1" x14ac:dyDescent="0.25">
      <c r="B60" s="218"/>
      <c r="C60" s="221"/>
      <c r="D60" s="83"/>
      <c r="E60" s="83"/>
      <c r="F60" s="83"/>
      <c r="G60" s="83"/>
      <c r="H60" s="83"/>
      <c r="I60" s="83"/>
      <c r="J60" s="83"/>
      <c r="K60" s="83"/>
      <c r="L60" s="83"/>
      <c r="M60" s="83"/>
      <c r="N60" s="83"/>
      <c r="O60" s="83"/>
      <c r="P60" s="83"/>
      <c r="Q60" s="83"/>
      <c r="R60" s="83"/>
      <c r="S60" s="83"/>
      <c r="T60" s="83"/>
      <c r="U60" s="83"/>
      <c r="V60" s="83"/>
      <c r="W60" s="83"/>
      <c r="X60" s="43"/>
      <c r="Y60" s="5"/>
    </row>
    <row r="61" spans="2:25" x14ac:dyDescent="0.25">
      <c r="B61" s="37" t="s">
        <v>327</v>
      </c>
      <c r="C61" s="202"/>
      <c r="D61" s="145" t="s">
        <v>328</v>
      </c>
      <c r="E61" s="145"/>
      <c r="F61" s="145"/>
      <c r="G61" s="145"/>
      <c r="H61" s="145"/>
      <c r="I61" s="145"/>
      <c r="J61" s="145"/>
      <c r="K61" s="5"/>
      <c r="L61" s="5"/>
      <c r="M61" s="5"/>
      <c r="N61" s="5"/>
      <c r="O61" s="5"/>
      <c r="P61" s="5"/>
      <c r="Q61" s="5"/>
      <c r="R61" s="5"/>
      <c r="S61" s="5"/>
      <c r="T61" s="5"/>
      <c r="U61" s="5"/>
      <c r="V61" s="5"/>
      <c r="W61" s="5"/>
      <c r="X61" s="91"/>
    </row>
    <row r="62" spans="2:25" s="166" customFormat="1" x14ac:dyDescent="0.25">
      <c r="B62" s="37"/>
      <c r="C62" s="202"/>
      <c r="D62" s="145"/>
      <c r="E62" s="145"/>
      <c r="F62" s="145"/>
      <c r="G62" s="145"/>
      <c r="H62" s="145"/>
      <c r="I62" s="145"/>
      <c r="J62" s="145"/>
      <c r="K62" s="5"/>
      <c r="L62" s="5"/>
      <c r="M62" s="5"/>
      <c r="N62" s="5"/>
      <c r="O62" s="5"/>
      <c r="P62" s="5"/>
      <c r="Q62" s="5"/>
      <c r="R62" s="5"/>
      <c r="S62" s="5"/>
      <c r="T62" s="5"/>
      <c r="U62" s="5"/>
      <c r="V62" s="5"/>
      <c r="W62" s="5"/>
      <c r="X62" s="91"/>
    </row>
    <row r="63" spans="2:25" x14ac:dyDescent="0.25">
      <c r="B63" s="150"/>
      <c r="C63" s="222"/>
      <c r="D63" s="220"/>
      <c r="E63" s="220"/>
      <c r="F63" s="220"/>
      <c r="G63" s="220"/>
      <c r="H63" s="220"/>
      <c r="I63" s="220"/>
      <c r="J63" s="220"/>
      <c r="K63" s="83"/>
      <c r="L63" s="83"/>
      <c r="M63" s="83"/>
      <c r="N63" s="83"/>
      <c r="O63" s="83"/>
      <c r="P63" s="83"/>
      <c r="Q63" s="83"/>
      <c r="R63" s="83"/>
      <c r="S63" s="83"/>
      <c r="T63" s="83"/>
      <c r="U63" s="83"/>
      <c r="V63" s="83"/>
      <c r="W63" s="83"/>
      <c r="X63" s="43"/>
    </row>
    <row r="64" spans="2:25" x14ac:dyDescent="0.25">
      <c r="B64" s="37" t="s">
        <v>329</v>
      </c>
      <c r="C64" s="202"/>
      <c r="D64" s="145" t="s">
        <v>330</v>
      </c>
      <c r="E64" s="145"/>
      <c r="F64" s="145"/>
      <c r="G64" s="145"/>
      <c r="H64" s="145"/>
      <c r="I64" s="145"/>
      <c r="J64" s="145"/>
      <c r="K64" s="5"/>
      <c r="L64" s="5"/>
      <c r="M64" s="5"/>
      <c r="N64" s="5"/>
      <c r="O64" s="5"/>
      <c r="P64" s="5"/>
      <c r="Q64" s="5"/>
      <c r="R64" s="5"/>
      <c r="S64" s="5"/>
      <c r="T64" s="5"/>
      <c r="U64" s="5"/>
      <c r="V64" s="5"/>
      <c r="W64" s="5"/>
      <c r="X64" s="91"/>
    </row>
    <row r="65" spans="2:24" x14ac:dyDescent="0.25">
      <c r="B65" s="40"/>
      <c r="C65" s="205"/>
      <c r="D65" s="216"/>
      <c r="E65" s="216"/>
      <c r="F65" s="216"/>
      <c r="G65" s="216"/>
      <c r="H65" s="216"/>
      <c r="I65" s="216"/>
      <c r="J65" s="216"/>
      <c r="K65" s="152"/>
      <c r="L65" s="152"/>
      <c r="M65" s="152"/>
      <c r="N65" s="152"/>
      <c r="O65" s="152"/>
      <c r="P65" s="152"/>
      <c r="Q65" s="152"/>
      <c r="R65" s="152"/>
      <c r="S65" s="152"/>
      <c r="T65" s="152"/>
      <c r="U65" s="152"/>
      <c r="V65" s="152"/>
      <c r="W65" s="152"/>
      <c r="X65" s="219"/>
    </row>
    <row r="66" spans="2:24" x14ac:dyDescent="0.25">
      <c r="D66" s="215"/>
    </row>
  </sheetData>
  <dataConsolidate link="1"/>
  <mergeCells count="24">
    <mergeCell ref="D53:X53"/>
    <mergeCell ref="D54:X54"/>
    <mergeCell ref="D55:X55"/>
    <mergeCell ref="D56:X56"/>
    <mergeCell ref="D58:X58"/>
    <mergeCell ref="B23:D23"/>
    <mergeCell ref="D47:X47"/>
    <mergeCell ref="D48:X48"/>
    <mergeCell ref="D49:X49"/>
    <mergeCell ref="D50:X50"/>
    <mergeCell ref="D31:X31"/>
    <mergeCell ref="D32:X32"/>
    <mergeCell ref="D33:X33"/>
    <mergeCell ref="D34:X34"/>
    <mergeCell ref="D35:X35"/>
    <mergeCell ref="D36:X36"/>
    <mergeCell ref="D51:X51"/>
    <mergeCell ref="D52:X52"/>
    <mergeCell ref="D37:X37"/>
    <mergeCell ref="D40:X40"/>
    <mergeCell ref="D42:X42"/>
    <mergeCell ref="D43:X43"/>
    <mergeCell ref="D44:X44"/>
    <mergeCell ref="D45:X45"/>
  </mergeCells>
  <pageMargins left="0.7" right="0.7" top="0.75" bottom="0.75" header="0.3" footer="0.3"/>
  <pageSetup orientation="portrait" horizontalDpi="300" verticalDpi="0" copies="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FC06D38-6CF8-4A44-B4A8-B5100B2FB79A}">
          <x14:formula1>
            <xm:f>'Revenue Build Up'!$B$32:$B$34</xm:f>
          </x14:formula1>
          <xm:sqref>B21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465DB-09A4-40B1-B427-0ADD5CD80709}">
  <dimension ref="B6:K55"/>
  <sheetViews>
    <sheetView showGridLines="0" topLeftCell="A40" workbookViewId="0">
      <selection activeCell="D52" sqref="D52"/>
    </sheetView>
  </sheetViews>
  <sheetFormatPr defaultRowHeight="15" x14ac:dyDescent="0.25"/>
  <cols>
    <col min="1" max="1" width="0.85546875" customWidth="1"/>
    <col min="2" max="2" width="69.28515625" customWidth="1"/>
    <col min="3" max="7" width="12" bestFit="1" customWidth="1"/>
  </cols>
  <sheetData>
    <row r="6" spans="2:11" x14ac:dyDescent="0.25">
      <c r="G6" t="s">
        <v>274</v>
      </c>
    </row>
    <row r="7" spans="2:11" ht="15.75" x14ac:dyDescent="0.25">
      <c r="B7" s="235" t="s">
        <v>280</v>
      </c>
      <c r="C7" s="235"/>
      <c r="D7" s="235"/>
      <c r="E7" s="235"/>
      <c r="F7" s="235"/>
      <c r="G7" s="235"/>
    </row>
    <row r="8" spans="2:11" x14ac:dyDescent="0.25">
      <c r="B8" s="236" t="s">
        <v>0</v>
      </c>
      <c r="C8" s="37">
        <v>2020</v>
      </c>
      <c r="D8" s="38">
        <f>C8+1</f>
        <v>2021</v>
      </c>
      <c r="E8" s="38">
        <f>D8+1</f>
        <v>2022</v>
      </c>
      <c r="F8" s="38">
        <f>E8+1</f>
        <v>2023</v>
      </c>
      <c r="G8" s="38">
        <f>F8+1</f>
        <v>2024</v>
      </c>
    </row>
    <row r="9" spans="2:11" x14ac:dyDescent="0.25">
      <c r="B9" s="237"/>
      <c r="C9" s="37" t="s">
        <v>1</v>
      </c>
      <c r="D9" s="38" t="str">
        <f>C9</f>
        <v>Audited</v>
      </c>
      <c r="E9" s="38" t="str">
        <f>D9</f>
        <v>Audited</v>
      </c>
      <c r="F9" s="38" t="str">
        <f>E9</f>
        <v>Audited</v>
      </c>
      <c r="G9" s="38" t="str">
        <f>F9</f>
        <v>Audited</v>
      </c>
    </row>
    <row r="10" spans="2:11" x14ac:dyDescent="0.25">
      <c r="B10" s="43"/>
    </row>
    <row r="11" spans="2:11" x14ac:dyDescent="0.25">
      <c r="B11" s="44" t="s">
        <v>2</v>
      </c>
      <c r="C11" s="67">
        <v>21951.27</v>
      </c>
      <c r="D11" s="67">
        <v>19454.099999999999</v>
      </c>
      <c r="E11" s="67">
        <v>26237.15</v>
      </c>
      <c r="F11" s="67">
        <v>41672.6</v>
      </c>
      <c r="G11" s="67">
        <v>45790.64</v>
      </c>
      <c r="K11" s="5"/>
    </row>
    <row r="12" spans="2:11" x14ac:dyDescent="0.25">
      <c r="B12" s="44"/>
      <c r="C12" s="67"/>
      <c r="D12" s="67"/>
      <c r="E12" s="67"/>
      <c r="F12" s="67"/>
      <c r="G12" s="67"/>
      <c r="K12" s="5"/>
    </row>
    <row r="13" spans="2:11" x14ac:dyDescent="0.25">
      <c r="B13" s="73" t="s">
        <v>3</v>
      </c>
      <c r="C13" s="70">
        <f>SUM(C11:C12)</f>
        <v>21951.27</v>
      </c>
      <c r="D13" s="71">
        <f>SUM(D11:D12)</f>
        <v>19454.099999999999</v>
      </c>
      <c r="E13" s="71">
        <f>SUM(E11:E12)</f>
        <v>26237.15</v>
      </c>
      <c r="F13" s="71">
        <f>SUM(F11:F12)</f>
        <v>41672.6</v>
      </c>
      <c r="G13" s="71">
        <f>SUM(G11:G12)</f>
        <v>45790.64</v>
      </c>
    </row>
    <row r="14" spans="2:11" x14ac:dyDescent="0.25">
      <c r="B14" s="44"/>
      <c r="C14" s="67"/>
      <c r="D14" s="67"/>
      <c r="E14" s="67"/>
      <c r="F14" s="67"/>
      <c r="G14" s="67"/>
    </row>
    <row r="15" spans="2:11" x14ac:dyDescent="0.25">
      <c r="B15" s="44" t="s">
        <v>4</v>
      </c>
      <c r="C15" s="67">
        <v>11164.38</v>
      </c>
      <c r="D15" s="67">
        <v>11768.86</v>
      </c>
      <c r="E15" s="67">
        <v>16619.599999999999</v>
      </c>
      <c r="F15" s="67">
        <v>28272.18</v>
      </c>
      <c r="G15" s="67">
        <v>28241.38</v>
      </c>
    </row>
    <row r="16" spans="2:11" x14ac:dyDescent="0.25">
      <c r="B16" s="44" t="s">
        <v>5</v>
      </c>
      <c r="C16" s="67">
        <v>874.38</v>
      </c>
      <c r="D16" s="67">
        <v>807.62</v>
      </c>
      <c r="E16" s="67">
        <v>945.42</v>
      </c>
      <c r="F16" s="67">
        <v>1176.21</v>
      </c>
      <c r="G16" s="67">
        <v>1557.01</v>
      </c>
    </row>
    <row r="17" spans="2:9" x14ac:dyDescent="0.25">
      <c r="B17" s="44" t="s">
        <v>6</v>
      </c>
      <c r="C17" s="67">
        <v>1307.1600000000001</v>
      </c>
      <c r="D17" s="67">
        <v>-529.1</v>
      </c>
      <c r="E17" s="67">
        <v>48.24</v>
      </c>
      <c r="F17" s="67">
        <v>-629.49</v>
      </c>
      <c r="G17" s="67">
        <v>-568.89</v>
      </c>
    </row>
    <row r="18" spans="2:9" x14ac:dyDescent="0.25">
      <c r="B18" s="44" t="s">
        <v>7</v>
      </c>
      <c r="C18" s="67">
        <v>2190.27</v>
      </c>
      <c r="D18" s="67">
        <v>2159.4299999999998</v>
      </c>
      <c r="E18" s="67">
        <v>2616.7600000000002</v>
      </c>
      <c r="F18" s="67">
        <v>3234.38</v>
      </c>
      <c r="G18" s="67">
        <v>3672.69</v>
      </c>
      <c r="H18" s="1"/>
      <c r="I18" s="1"/>
    </row>
    <row r="19" spans="2:9" x14ac:dyDescent="0.25">
      <c r="B19" s="44" t="s">
        <v>8</v>
      </c>
      <c r="C19" s="67">
        <v>3181.73</v>
      </c>
      <c r="D19" s="67">
        <v>2784.85</v>
      </c>
      <c r="E19" s="67">
        <v>3241.89</v>
      </c>
      <c r="F19" s="67">
        <v>4526.42</v>
      </c>
      <c r="G19" s="67">
        <v>4945.58</v>
      </c>
    </row>
    <row r="20" spans="2:9" x14ac:dyDescent="0.25">
      <c r="B20" s="44"/>
      <c r="C20" s="67"/>
      <c r="D20" s="67"/>
      <c r="E20" s="67"/>
      <c r="F20" s="67"/>
      <c r="G20" s="67"/>
    </row>
    <row r="21" spans="2:9" x14ac:dyDescent="0.25">
      <c r="B21" s="73" t="s">
        <v>9</v>
      </c>
      <c r="C21" s="71">
        <f>SUM(C15:C19)</f>
        <v>18717.919999999998</v>
      </c>
      <c r="D21" s="71">
        <f>SUM(D15:D19)</f>
        <v>16991.66</v>
      </c>
      <c r="E21" s="71">
        <f>SUM(E15:E19)</f>
        <v>23471.909999999996</v>
      </c>
      <c r="F21" s="71">
        <f>SUM(F15:F19)</f>
        <v>36579.699999999997</v>
      </c>
      <c r="G21" s="71">
        <f>SUM(G15:G19)</f>
        <v>37847.770000000004</v>
      </c>
    </row>
    <row r="22" spans="2:9" x14ac:dyDescent="0.25">
      <c r="B22" s="44"/>
      <c r="C22" s="67"/>
      <c r="D22" s="67"/>
      <c r="E22" s="67"/>
      <c r="F22" s="67"/>
      <c r="G22" s="67"/>
    </row>
    <row r="23" spans="2:9" x14ac:dyDescent="0.25">
      <c r="B23" s="73" t="s">
        <v>10</v>
      </c>
      <c r="C23" s="71">
        <f>C13-C21</f>
        <v>3233.3500000000022</v>
      </c>
      <c r="D23" s="71">
        <f>D13-D21</f>
        <v>2462.4399999999987</v>
      </c>
      <c r="E23" s="71">
        <f>E13-E21</f>
        <v>2765.2400000000052</v>
      </c>
      <c r="F23" s="71">
        <f>F13-F21</f>
        <v>5092.9000000000015</v>
      </c>
      <c r="G23" s="71">
        <f>G13-G21</f>
        <v>7942.8699999999953</v>
      </c>
    </row>
    <row r="24" spans="2:9" x14ac:dyDescent="0.25">
      <c r="B24" s="44"/>
      <c r="C24" s="67"/>
      <c r="D24" s="67"/>
      <c r="E24" s="67"/>
      <c r="F24" s="67"/>
      <c r="G24" s="67"/>
    </row>
    <row r="25" spans="2:9" x14ac:dyDescent="0.25">
      <c r="B25" s="44" t="s">
        <v>314</v>
      </c>
      <c r="C25" s="67">
        <v>749.99</v>
      </c>
      <c r="D25" s="67">
        <v>835.62</v>
      </c>
      <c r="E25" s="67">
        <v>865.96</v>
      </c>
      <c r="F25" s="67">
        <v>900.22</v>
      </c>
      <c r="G25" s="67">
        <v>927.29</v>
      </c>
    </row>
    <row r="26" spans="2:9" x14ac:dyDescent="0.25">
      <c r="B26" s="44"/>
      <c r="C26" s="67"/>
      <c r="D26" s="67"/>
      <c r="E26" s="67"/>
      <c r="F26" s="67"/>
      <c r="G26" s="67"/>
    </row>
    <row r="27" spans="2:9" x14ac:dyDescent="0.25">
      <c r="B27" s="69" t="s">
        <v>11</v>
      </c>
      <c r="C27" s="71">
        <f>C23-C25</f>
        <v>2483.3600000000024</v>
      </c>
      <c r="D27" s="71">
        <f>D23-D25</f>
        <v>1626.8199999999988</v>
      </c>
      <c r="E27" s="71">
        <f>E23-E25</f>
        <v>1899.2800000000052</v>
      </c>
      <c r="F27" s="71">
        <f>F23-F25</f>
        <v>4192.6800000000012</v>
      </c>
      <c r="G27" s="71">
        <f>G23-G25</f>
        <v>7015.5799999999954</v>
      </c>
    </row>
    <row r="28" spans="2:9" x14ac:dyDescent="0.25">
      <c r="B28" s="44"/>
      <c r="C28" s="67"/>
      <c r="D28" s="67"/>
      <c r="E28" s="67"/>
      <c r="F28" s="67"/>
      <c r="G28" s="67"/>
    </row>
    <row r="29" spans="2:9" x14ac:dyDescent="0.25">
      <c r="B29" s="44" t="s">
        <v>12</v>
      </c>
      <c r="C29" s="67">
        <v>1801.65</v>
      </c>
      <c r="D29" s="67">
        <v>1900.64</v>
      </c>
      <c r="E29" s="67">
        <v>1869.05</v>
      </c>
      <c r="F29" s="67">
        <v>2093.5</v>
      </c>
      <c r="G29" s="67">
        <v>2982.25</v>
      </c>
    </row>
    <row r="30" spans="2:9" x14ac:dyDescent="0.25">
      <c r="B30" s="44"/>
      <c r="C30" s="67"/>
      <c r="D30" s="67"/>
      <c r="E30" s="67"/>
      <c r="F30" s="67"/>
      <c r="G30" s="67"/>
    </row>
    <row r="31" spans="2:9" x14ac:dyDescent="0.25">
      <c r="B31" s="44" t="s">
        <v>13</v>
      </c>
      <c r="C31" s="67">
        <v>107.83</v>
      </c>
      <c r="D31" s="67">
        <v>131.16</v>
      </c>
      <c r="E31" s="67">
        <v>86.81</v>
      </c>
      <c r="F31" s="67">
        <v>110.77</v>
      </c>
      <c r="G31" s="67">
        <v>140.58000000000001</v>
      </c>
    </row>
    <row r="32" spans="2:9" x14ac:dyDescent="0.25">
      <c r="B32" s="44"/>
      <c r="C32" s="67"/>
      <c r="D32" s="67"/>
      <c r="E32" s="67"/>
      <c r="F32" s="67"/>
      <c r="G32" s="67"/>
    </row>
    <row r="33" spans="2:7" x14ac:dyDescent="0.25">
      <c r="B33" s="72" t="s">
        <v>14</v>
      </c>
      <c r="C33" s="71">
        <f>C27-C29+C31</f>
        <v>789.54000000000235</v>
      </c>
      <c r="D33" s="71">
        <f>D27-D29+D31</f>
        <v>-142.6600000000013</v>
      </c>
      <c r="E33" s="71">
        <f>E27-E29+E31</f>
        <v>117.04000000000525</v>
      </c>
      <c r="F33" s="71">
        <f>F27-F29+F31</f>
        <v>2209.9500000000012</v>
      </c>
      <c r="G33" s="71">
        <f>G27-G29+G31</f>
        <v>4173.9099999999953</v>
      </c>
    </row>
    <row r="34" spans="2:7" x14ac:dyDescent="0.25">
      <c r="B34" s="44"/>
      <c r="C34" s="67"/>
      <c r="D34" s="67"/>
      <c r="E34" s="67"/>
      <c r="F34" s="67"/>
      <c r="G34" s="67"/>
    </row>
    <row r="35" spans="2:7" x14ac:dyDescent="0.25">
      <c r="B35" s="47" t="s">
        <v>16</v>
      </c>
      <c r="C35" s="67">
        <v>2.9</v>
      </c>
      <c r="D35" s="67">
        <v>-0.5</v>
      </c>
      <c r="E35" s="67">
        <v>7.52</v>
      </c>
      <c r="F35" s="67">
        <v>10.75</v>
      </c>
      <c r="G35" s="67">
        <v>16.38</v>
      </c>
    </row>
    <row r="36" spans="2:7" x14ac:dyDescent="0.25">
      <c r="B36" s="44" t="s">
        <v>15</v>
      </c>
      <c r="C36" s="67">
        <v>-53.28</v>
      </c>
      <c r="D36" s="67">
        <v>76.08</v>
      </c>
      <c r="E36" s="67">
        <v>-324.14999999999998</v>
      </c>
      <c r="F36" s="67">
        <v>47.89</v>
      </c>
      <c r="G36" s="67">
        <v>-84.22</v>
      </c>
    </row>
    <row r="37" spans="2:7" x14ac:dyDescent="0.25">
      <c r="B37" s="44"/>
      <c r="C37" s="67"/>
      <c r="D37" s="67"/>
      <c r="E37" s="67"/>
      <c r="F37" s="67"/>
      <c r="G37" s="67"/>
    </row>
    <row r="38" spans="2:7" x14ac:dyDescent="0.25">
      <c r="B38" s="68" t="s">
        <v>17</v>
      </c>
      <c r="C38" s="71">
        <f>SUM(C33,C35,C36)</f>
        <v>739.16000000000236</v>
      </c>
      <c r="D38" s="71">
        <f>SUM(D33,D35,D36)</f>
        <v>-67.080000000001306</v>
      </c>
      <c r="E38" s="71">
        <f>SUM(E33,E35,E36)</f>
        <v>-199.58999999999475</v>
      </c>
      <c r="F38" s="71">
        <f>SUM(F33,F35,F36)</f>
        <v>2268.5900000000011</v>
      </c>
      <c r="G38" s="71">
        <f>SUM(G33,G35,G36)</f>
        <v>4106.0699999999952</v>
      </c>
    </row>
    <row r="39" spans="2:7" x14ac:dyDescent="0.25">
      <c r="B39" s="44"/>
      <c r="C39" s="67"/>
      <c r="D39" s="67"/>
      <c r="E39" s="67"/>
      <c r="F39" s="67"/>
      <c r="G39" s="67"/>
    </row>
    <row r="40" spans="2:7" x14ac:dyDescent="0.25">
      <c r="B40" s="47" t="s">
        <v>18</v>
      </c>
      <c r="C40" s="67">
        <v>279.36</v>
      </c>
      <c r="D40" s="67">
        <v>2.52</v>
      </c>
      <c r="E40" s="67">
        <v>85.86</v>
      </c>
      <c r="F40" s="67">
        <v>906.93</v>
      </c>
      <c r="G40" s="67">
        <v>1409.73</v>
      </c>
    </row>
    <row r="41" spans="2:7" x14ac:dyDescent="0.25">
      <c r="B41" s="44"/>
      <c r="C41" s="67"/>
      <c r="D41" s="67"/>
      <c r="E41" s="67"/>
      <c r="F41" s="67"/>
      <c r="G41" s="67"/>
    </row>
    <row r="42" spans="2:7" x14ac:dyDescent="0.25">
      <c r="B42" s="69" t="s">
        <v>19</v>
      </c>
      <c r="C42" s="71">
        <f>C38-C40</f>
        <v>459.80000000000234</v>
      </c>
      <c r="D42" s="71">
        <f>D38-D40</f>
        <v>-69.600000000001302</v>
      </c>
      <c r="E42" s="71">
        <f>E38-E40</f>
        <v>-285.44999999999476</v>
      </c>
      <c r="F42" s="71">
        <f>F38-F40</f>
        <v>1361.6600000000012</v>
      </c>
      <c r="G42" s="71">
        <f>G38-G40</f>
        <v>2696.3399999999951</v>
      </c>
    </row>
    <row r="43" spans="2:7" x14ac:dyDescent="0.25">
      <c r="B43" s="44"/>
      <c r="C43" s="67"/>
      <c r="D43" s="67"/>
      <c r="E43" s="67"/>
      <c r="F43" s="67"/>
      <c r="G43" s="67"/>
    </row>
    <row r="44" spans="2:7" x14ac:dyDescent="0.25">
      <c r="B44" s="44"/>
      <c r="C44" s="67"/>
      <c r="D44" s="67"/>
      <c r="E44" s="67"/>
      <c r="F44" s="67"/>
      <c r="G44" s="67"/>
    </row>
    <row r="45" spans="2:7" x14ac:dyDescent="0.25">
      <c r="B45" s="44"/>
      <c r="C45" s="67"/>
      <c r="D45" s="67"/>
      <c r="E45" s="67"/>
      <c r="F45" s="67"/>
      <c r="G45" s="67"/>
    </row>
    <row r="46" spans="2:7" x14ac:dyDescent="0.25">
      <c r="B46" s="44" t="s">
        <v>77</v>
      </c>
      <c r="C46" s="67"/>
      <c r="D46" s="67"/>
      <c r="E46" s="67"/>
      <c r="F46" s="67"/>
      <c r="G46" s="67"/>
    </row>
    <row r="47" spans="2:7" x14ac:dyDescent="0.25">
      <c r="B47" s="56" t="s">
        <v>78</v>
      </c>
      <c r="C47" s="159"/>
      <c r="D47" s="159">
        <f>D11/C11-1</f>
        <v>-0.11375970501934518</v>
      </c>
      <c r="E47" s="159">
        <f>E11/D11-1</f>
        <v>0.34866943215054946</v>
      </c>
      <c r="F47" s="159">
        <f>F11/E11-1</f>
        <v>0.58830513222663261</v>
      </c>
      <c r="G47" s="159">
        <f>G11/F11-1</f>
        <v>9.8818888190321807E-2</v>
      </c>
    </row>
    <row r="48" spans="2:7" x14ac:dyDescent="0.25">
      <c r="B48" s="56" t="s">
        <v>79</v>
      </c>
      <c r="C48" s="159">
        <f>(C11-SUM(C15:C17))/C11</f>
        <v>0.39202059835262387</v>
      </c>
      <c r="D48" s="159">
        <f>(D11-SUM(D15:D17))/D11</f>
        <v>0.38072796993949853</v>
      </c>
      <c r="E48" s="159">
        <f>(E11-SUM(E15:E17))/E11</f>
        <v>0.3286900444598595</v>
      </c>
      <c r="F48" s="159">
        <f>(F11-SUM(F15:F17))/F11</f>
        <v>0.3084448774494512</v>
      </c>
      <c r="G48" s="159">
        <f>(G11-SUM(G15:G17))/G11</f>
        <v>0.36167085675151078</v>
      </c>
    </row>
    <row r="49" spans="2:7" x14ac:dyDescent="0.25">
      <c r="B49" s="56" t="s">
        <v>80</v>
      </c>
      <c r="C49" s="159">
        <f>C23/C11</f>
        <v>0.14729671677310707</v>
      </c>
      <c r="D49" s="159">
        <f>D23/D11</f>
        <v>0.12657691694809828</v>
      </c>
      <c r="E49" s="159">
        <f>E23/E11</f>
        <v>0.10539406909668181</v>
      </c>
      <c r="F49" s="159">
        <f>F23/F11</f>
        <v>0.12221219698314964</v>
      </c>
      <c r="G49" s="159">
        <f>G23/G11</f>
        <v>0.17346055875174479</v>
      </c>
    </row>
    <row r="50" spans="2:7" x14ac:dyDescent="0.25">
      <c r="B50" s="56" t="s">
        <v>81</v>
      </c>
      <c r="C50" s="159">
        <f>C27/C11</f>
        <v>0.11313058424410079</v>
      </c>
      <c r="D50" s="159">
        <f>D27/D11</f>
        <v>8.362350352881906E-2</v>
      </c>
      <c r="E50" s="159">
        <f>E27/E11</f>
        <v>7.2388959928955887E-2</v>
      </c>
      <c r="F50" s="159">
        <f>F27/F11</f>
        <v>0.10060999313697733</v>
      </c>
      <c r="G50" s="159">
        <f>G27/G11</f>
        <v>0.15320991364173978</v>
      </c>
    </row>
    <row r="51" spans="2:7" x14ac:dyDescent="0.25">
      <c r="B51" s="56" t="s">
        <v>82</v>
      </c>
      <c r="C51" s="159">
        <f>C42/C11</f>
        <v>2.0946396267733133E-2</v>
      </c>
      <c r="D51" s="159">
        <f>D42/D11</f>
        <v>-3.5776520116582783E-3</v>
      </c>
      <c r="E51" s="159">
        <f>E42/E11</f>
        <v>-1.0879611543174269E-2</v>
      </c>
      <c r="F51" s="159">
        <f>F42/F11</f>
        <v>3.2675187053363634E-2</v>
      </c>
      <c r="G51" s="159">
        <f>G42/G11</f>
        <v>5.8884086354765844E-2</v>
      </c>
    </row>
    <row r="52" spans="2:7" x14ac:dyDescent="0.25">
      <c r="B52" s="56" t="s">
        <v>83</v>
      </c>
      <c r="C52" s="159"/>
      <c r="D52" s="159">
        <f>D42/AVERAGE(BS_Input!C45:D45)</f>
        <v>-1.735796551675581E-3</v>
      </c>
      <c r="E52" s="159">
        <f>E42/AVERAGE(BS_Input!D45:E45)</f>
        <v>-6.6641258398005485E-3</v>
      </c>
      <c r="F52" s="159">
        <f>F42/AVERAGE(BS_Input!E45:F45)</f>
        <v>2.7695912846332417E-2</v>
      </c>
      <c r="G52" s="159">
        <f>G42/AVERAGE(BS_Input!F45:G45)</f>
        <v>4.4061806539950947E-2</v>
      </c>
    </row>
    <row r="53" spans="2:7" x14ac:dyDescent="0.25">
      <c r="B53" s="56" t="s">
        <v>84</v>
      </c>
      <c r="C53" s="159">
        <f>C11/BS_Input!C45</f>
        <v>0.57574292768929836</v>
      </c>
      <c r="D53" s="159">
        <f>D11/BS_Input!D45</f>
        <v>0.4624565602337421</v>
      </c>
      <c r="E53" s="159">
        <f>E11/BS_Input!E45</f>
        <v>0.60175873000437141</v>
      </c>
      <c r="F53" s="159">
        <f>F11/BS_Input!F45</f>
        <v>0.76144197551076198</v>
      </c>
      <c r="G53" s="159">
        <f>G11/BS_Input!G45</f>
        <v>0.67677104175762337</v>
      </c>
    </row>
    <row r="54" spans="2:7" x14ac:dyDescent="0.25">
      <c r="B54" s="56" t="s">
        <v>85</v>
      </c>
      <c r="C54" s="159">
        <f>BS_Input!C45/BS_Input!C53</f>
        <v>4.2858960711069951</v>
      </c>
      <c r="D54" s="159">
        <f>BS_Input!D45/BS_Input!D53</f>
        <v>4.6073918710228581</v>
      </c>
      <c r="E54" s="159">
        <f>BS_Input!E45/BS_Input!E53</f>
        <v>5.0756656453430447</v>
      </c>
      <c r="F54" s="159">
        <f>BS_Input!F45/BS_Input!F53</f>
        <v>5.0680477537194157</v>
      </c>
      <c r="G54" s="159">
        <f>BS_Input!G45/BS_Input!G53</f>
        <v>5.7268563699629018</v>
      </c>
    </row>
    <row r="55" spans="2:7" x14ac:dyDescent="0.25">
      <c r="B55" s="158" t="s">
        <v>86</v>
      </c>
      <c r="C55" s="159"/>
      <c r="D55" s="159">
        <f>D42/AVERAGE(BS_Input!C53:D53)</f>
        <v>-7.7220976812073204E-3</v>
      </c>
      <c r="E55" s="159">
        <f>E42/AVERAGE(BS_Input!D53:E53)</f>
        <v>-3.2216996624240539E-2</v>
      </c>
      <c r="F55" s="159">
        <f>F42/AVERAGE(BS_Input!E53:F53)</f>
        <v>0.14045768455147029</v>
      </c>
      <c r="G55" s="159">
        <f>G42/AVERAGE(BS_Input!F53:G53)</f>
        <v>0.23847350213347573</v>
      </c>
    </row>
  </sheetData>
  <mergeCells count="2">
    <mergeCell ref="B8:B9"/>
    <mergeCell ref="B7:G7"/>
  </mergeCells>
  <pageMargins left="0.7" right="0.7" top="0.75" bottom="0.75" header="0.3" footer="0.3"/>
  <pageSetup orientation="portrait" horizontalDpi="300" verticalDpi="0" copies="0" r:id="rId1"/>
  <ignoredErrors>
    <ignoredError sqref="C48:G48"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270-E266-4234-ADCE-495E98103403}">
  <dimension ref="B6:H93"/>
  <sheetViews>
    <sheetView showGridLines="0" topLeftCell="A10" zoomScaleNormal="100" workbookViewId="0">
      <selection activeCell="E96" sqref="E96"/>
    </sheetView>
  </sheetViews>
  <sheetFormatPr defaultRowHeight="15" x14ac:dyDescent="0.25"/>
  <cols>
    <col min="1" max="1" width="0.85546875" customWidth="1"/>
    <col min="2" max="2" width="59.28515625" customWidth="1"/>
    <col min="3" max="7" width="12.85546875" bestFit="1" customWidth="1"/>
  </cols>
  <sheetData>
    <row r="6" spans="2:8" x14ac:dyDescent="0.25">
      <c r="G6" t="s">
        <v>274</v>
      </c>
    </row>
    <row r="7" spans="2:8" ht="15.75" x14ac:dyDescent="0.25">
      <c r="B7" s="235" t="s">
        <v>281</v>
      </c>
      <c r="C7" s="235"/>
      <c r="D7" s="235"/>
      <c r="E7" s="235"/>
      <c r="F7" s="235"/>
      <c r="G7" s="235"/>
      <c r="H7" s="87"/>
    </row>
    <row r="8" spans="2:8" x14ac:dyDescent="0.25">
      <c r="B8" s="238" t="s">
        <v>0</v>
      </c>
      <c r="C8" s="13">
        <f>'P&amp;L_Input'!C8</f>
        <v>2020</v>
      </c>
      <c r="D8" s="13">
        <f>'P&amp;L_Input'!D8</f>
        <v>2021</v>
      </c>
      <c r="E8" s="13">
        <f>'P&amp;L_Input'!E8</f>
        <v>2022</v>
      </c>
      <c r="F8" s="13">
        <f>'P&amp;L_Input'!F8</f>
        <v>2023</v>
      </c>
      <c r="G8" s="13">
        <f>'P&amp;L_Input'!G8</f>
        <v>2024</v>
      </c>
    </row>
    <row r="9" spans="2:8" x14ac:dyDescent="0.25">
      <c r="B9" s="239"/>
      <c r="C9" s="41" t="str">
        <f>'P&amp;L_Input'!C9</f>
        <v>Audited</v>
      </c>
      <c r="D9" s="41" t="str">
        <f>'P&amp;L_Input'!D9</f>
        <v>Audited</v>
      </c>
      <c r="E9" s="41" t="str">
        <f>'P&amp;L_Input'!E9</f>
        <v>Audited</v>
      </c>
      <c r="F9" s="41" t="str">
        <f>'P&amp;L_Input'!F9</f>
        <v>Audited</v>
      </c>
      <c r="G9" s="41" t="str">
        <f>'P&amp;L_Input'!G9</f>
        <v>Audited</v>
      </c>
    </row>
    <row r="10" spans="2:8" x14ac:dyDescent="0.25">
      <c r="B10" s="43"/>
    </row>
    <row r="11" spans="2:8" x14ac:dyDescent="0.25">
      <c r="B11" s="48" t="s">
        <v>20</v>
      </c>
    </row>
    <row r="12" spans="2:8" x14ac:dyDescent="0.25">
      <c r="B12" s="48" t="s">
        <v>21</v>
      </c>
    </row>
    <row r="13" spans="2:8" x14ac:dyDescent="0.25">
      <c r="B13" s="44" t="s">
        <v>22</v>
      </c>
      <c r="C13" s="17">
        <v>5314.21</v>
      </c>
      <c r="D13" s="17">
        <v>5630.26</v>
      </c>
      <c r="E13" s="17">
        <v>5317.15</v>
      </c>
      <c r="F13" s="17">
        <v>5363.61</v>
      </c>
      <c r="G13" s="17">
        <v>5471.9</v>
      </c>
    </row>
    <row r="14" spans="2:8" x14ac:dyDescent="0.25">
      <c r="B14" s="44" t="s">
        <v>23</v>
      </c>
      <c r="C14" s="17">
        <v>442.12</v>
      </c>
      <c r="D14" s="17">
        <v>233.27</v>
      </c>
      <c r="E14" s="17">
        <v>139.38</v>
      </c>
      <c r="F14" s="17">
        <v>139.15</v>
      </c>
      <c r="G14" s="17">
        <v>170.18</v>
      </c>
    </row>
    <row r="15" spans="2:8" x14ac:dyDescent="0.25">
      <c r="B15" s="44" t="s">
        <v>24</v>
      </c>
      <c r="C15" s="17">
        <v>521.45000000000005</v>
      </c>
      <c r="D15" s="17">
        <v>417.16</v>
      </c>
      <c r="E15" s="17">
        <v>427.29</v>
      </c>
      <c r="F15" s="17">
        <v>399.34</v>
      </c>
      <c r="G15" s="17">
        <v>395.27</v>
      </c>
    </row>
    <row r="16" spans="2:8" x14ac:dyDescent="0.25">
      <c r="B16" s="44" t="s">
        <v>25</v>
      </c>
      <c r="C16" s="17">
        <v>1115.56</v>
      </c>
      <c r="D16" s="17">
        <v>1240.77</v>
      </c>
      <c r="E16" s="17">
        <v>1031.83</v>
      </c>
      <c r="F16" s="17">
        <v>1175.1099999999999</v>
      </c>
      <c r="G16" s="17">
        <v>1196.98</v>
      </c>
    </row>
    <row r="17" spans="2:7" x14ac:dyDescent="0.25">
      <c r="B17" s="44" t="s">
        <v>26</v>
      </c>
      <c r="C17" s="17">
        <v>1079.71</v>
      </c>
      <c r="D17" s="17">
        <v>1196.03</v>
      </c>
      <c r="E17" s="17">
        <v>1118.31</v>
      </c>
      <c r="F17" s="17">
        <v>1190.77</v>
      </c>
      <c r="G17" s="17">
        <v>1092.3599999999999</v>
      </c>
    </row>
    <row r="18" spans="2:7" x14ac:dyDescent="0.25">
      <c r="B18" s="44" t="s">
        <v>27</v>
      </c>
      <c r="C18" s="17">
        <v>131.77000000000001</v>
      </c>
      <c r="D18" s="17">
        <v>102.27</v>
      </c>
      <c r="E18" s="17">
        <v>100.63</v>
      </c>
      <c r="F18" s="17">
        <v>128.97</v>
      </c>
      <c r="G18" s="17">
        <v>244.64</v>
      </c>
    </row>
    <row r="19" spans="2:7" x14ac:dyDescent="0.25">
      <c r="B19" s="44" t="s">
        <v>28</v>
      </c>
      <c r="C19" s="17">
        <v>105.01</v>
      </c>
      <c r="D19" s="17">
        <v>41.28</v>
      </c>
      <c r="E19" s="17">
        <v>46.6</v>
      </c>
      <c r="F19" s="17">
        <v>55.27</v>
      </c>
      <c r="G19" s="17">
        <v>129.12</v>
      </c>
    </row>
    <row r="20" spans="2:7" x14ac:dyDescent="0.25">
      <c r="B20" s="44" t="s">
        <v>29</v>
      </c>
      <c r="C20" s="17"/>
      <c r="D20" s="17"/>
      <c r="E20" s="17"/>
      <c r="F20" s="17"/>
      <c r="G20" s="17"/>
    </row>
    <row r="21" spans="2:7" x14ac:dyDescent="0.25">
      <c r="B21" s="44" t="s">
        <v>30</v>
      </c>
      <c r="C21" s="17">
        <v>672.09</v>
      </c>
      <c r="D21" s="17">
        <v>809.83</v>
      </c>
      <c r="E21" s="17">
        <v>951.89</v>
      </c>
      <c r="F21" s="17">
        <v>1285.74</v>
      </c>
      <c r="G21" s="17">
        <v>1176.3</v>
      </c>
    </row>
    <row r="22" spans="2:7" x14ac:dyDescent="0.25">
      <c r="B22" s="44" t="s">
        <v>31</v>
      </c>
      <c r="C22" s="17">
        <v>0.57999999999999996</v>
      </c>
      <c r="D22" s="17">
        <v>0.31</v>
      </c>
      <c r="E22" s="17">
        <v>0.03</v>
      </c>
      <c r="F22" s="17">
        <v>2.84</v>
      </c>
      <c r="G22" s="17">
        <v>2.5499999999999998</v>
      </c>
    </row>
    <row r="23" spans="2:7" x14ac:dyDescent="0.25">
      <c r="B23" s="44" t="s">
        <v>32</v>
      </c>
      <c r="C23" s="17">
        <v>12022.12</v>
      </c>
      <c r="D23" s="17">
        <v>15462.72</v>
      </c>
      <c r="E23" s="17">
        <v>14890.73</v>
      </c>
      <c r="F23" s="17">
        <v>19646.38</v>
      </c>
      <c r="G23" s="17">
        <v>27393.24</v>
      </c>
    </row>
    <row r="24" spans="2:7" x14ac:dyDescent="0.25">
      <c r="B24" s="44" t="s">
        <v>33</v>
      </c>
      <c r="C24" s="17">
        <v>567.28</v>
      </c>
      <c r="D24" s="17">
        <v>479.09</v>
      </c>
      <c r="E24" s="17">
        <v>397.57</v>
      </c>
      <c r="F24" s="17">
        <v>496.21</v>
      </c>
      <c r="G24" s="17">
        <v>518.38</v>
      </c>
    </row>
    <row r="25" spans="2:7" x14ac:dyDescent="0.25">
      <c r="B25" s="44" t="s">
        <v>34</v>
      </c>
      <c r="C25" s="17">
        <v>7.71</v>
      </c>
      <c r="D25" s="17">
        <v>8.91</v>
      </c>
      <c r="E25" s="17">
        <v>27.13</v>
      </c>
      <c r="F25" s="17">
        <v>49.08</v>
      </c>
      <c r="G25" s="17">
        <v>65.349999999999994</v>
      </c>
    </row>
    <row r="26" spans="2:7" x14ac:dyDescent="0.25">
      <c r="B26" s="44" t="s">
        <v>35</v>
      </c>
      <c r="C26" s="17">
        <v>213.24</v>
      </c>
      <c r="D26" s="17">
        <v>175.22</v>
      </c>
      <c r="E26" s="17">
        <v>198.7</v>
      </c>
      <c r="F26" s="17">
        <v>222.1</v>
      </c>
      <c r="G26" s="17">
        <v>181.7</v>
      </c>
    </row>
    <row r="27" spans="2:7" x14ac:dyDescent="0.25">
      <c r="B27" s="44" t="s">
        <v>36</v>
      </c>
      <c r="C27" s="17">
        <v>624.52</v>
      </c>
      <c r="D27" s="17">
        <v>350.89</v>
      </c>
      <c r="E27" s="17">
        <v>339.29</v>
      </c>
      <c r="F27" s="17">
        <v>330.52</v>
      </c>
      <c r="G27" s="17">
        <v>495.95</v>
      </c>
    </row>
    <row r="28" spans="2:7" x14ac:dyDescent="0.25">
      <c r="B28" s="44"/>
      <c r="C28" s="17"/>
      <c r="D28" s="17"/>
      <c r="E28" s="17"/>
      <c r="F28" s="17"/>
      <c r="G28" s="17"/>
    </row>
    <row r="29" spans="2:7" x14ac:dyDescent="0.25">
      <c r="B29" s="48" t="s">
        <v>37</v>
      </c>
      <c r="C29" s="34">
        <f>SUM(C13:C27)</f>
        <v>22817.370000000003</v>
      </c>
      <c r="D29" s="34">
        <f>SUM(D13:D27)</f>
        <v>26148.010000000002</v>
      </c>
      <c r="E29" s="34">
        <f>SUM(E13:E27)</f>
        <v>24986.530000000002</v>
      </c>
      <c r="F29" s="34">
        <f>SUM(F13:F27)</f>
        <v>30485.09</v>
      </c>
      <c r="G29" s="34">
        <f>SUM(G13:G27)</f>
        <v>38533.919999999991</v>
      </c>
    </row>
    <row r="30" spans="2:7" x14ac:dyDescent="0.25">
      <c r="B30" s="48" t="s">
        <v>38</v>
      </c>
      <c r="C30" s="17"/>
      <c r="D30" s="17"/>
      <c r="E30" s="17"/>
      <c r="F30" s="17"/>
      <c r="G30" s="17"/>
    </row>
    <row r="31" spans="2:7" x14ac:dyDescent="0.25">
      <c r="B31" s="44" t="s">
        <v>39</v>
      </c>
      <c r="C31" s="17">
        <v>1536.39</v>
      </c>
      <c r="D31" s="17">
        <v>2495.85</v>
      </c>
      <c r="E31" s="17">
        <v>2540.5500000000002</v>
      </c>
      <c r="F31" s="17">
        <v>3440.43</v>
      </c>
      <c r="G31" s="17">
        <v>4008.01</v>
      </c>
    </row>
    <row r="32" spans="2:7" x14ac:dyDescent="0.25">
      <c r="B32" s="44" t="s">
        <v>29</v>
      </c>
      <c r="C32" s="17"/>
      <c r="D32" s="17"/>
      <c r="E32" s="17"/>
      <c r="F32" s="17"/>
      <c r="G32" s="17"/>
    </row>
    <row r="33" spans="2:7" x14ac:dyDescent="0.25">
      <c r="B33" s="44" t="s">
        <v>30</v>
      </c>
      <c r="C33" s="17">
        <v>183.24</v>
      </c>
      <c r="D33" s="17">
        <v>244.52</v>
      </c>
      <c r="E33" s="17">
        <v>1653.63</v>
      </c>
      <c r="F33" s="17">
        <v>3511.34</v>
      </c>
      <c r="G33" s="17">
        <v>1023.19</v>
      </c>
    </row>
    <row r="34" spans="2:7" x14ac:dyDescent="0.25">
      <c r="B34" s="44" t="s">
        <v>31</v>
      </c>
      <c r="C34" s="17">
        <v>1496.16</v>
      </c>
      <c r="D34" s="17">
        <v>3020.91</v>
      </c>
      <c r="E34" s="17">
        <v>3278.76</v>
      </c>
      <c r="F34" s="17">
        <v>4187.3599999999997</v>
      </c>
      <c r="G34" s="17">
        <v>3898.15</v>
      </c>
    </row>
    <row r="35" spans="2:7" x14ac:dyDescent="0.25">
      <c r="B35" s="44" t="s">
        <v>40</v>
      </c>
      <c r="C35" s="17">
        <v>2188.2399999999998</v>
      </c>
      <c r="D35" s="17">
        <v>1481.04</v>
      </c>
      <c r="E35" s="17">
        <v>2030.96</v>
      </c>
      <c r="F35" s="17">
        <v>1908.58</v>
      </c>
      <c r="G35" s="17">
        <v>5217.32</v>
      </c>
    </row>
    <row r="36" spans="2:7" x14ac:dyDescent="0.25">
      <c r="B36" s="44" t="s">
        <v>41</v>
      </c>
      <c r="C36" s="17">
        <v>47.06</v>
      </c>
      <c r="D36" s="17">
        <v>297.49</v>
      </c>
      <c r="E36" s="17">
        <v>68.48</v>
      </c>
      <c r="F36" s="17">
        <v>278.14</v>
      </c>
      <c r="G36" s="17">
        <v>1862.73</v>
      </c>
    </row>
    <row r="37" spans="2:7" x14ac:dyDescent="0.25">
      <c r="B37" s="44" t="s">
        <v>42</v>
      </c>
      <c r="C37" s="17">
        <v>7888.95</v>
      </c>
      <c r="D37" s="17">
        <v>6258.96</v>
      </c>
      <c r="E37" s="17">
        <v>6818.03</v>
      </c>
      <c r="F37" s="17">
        <v>8681.43</v>
      </c>
      <c r="G37" s="17">
        <v>10945.97</v>
      </c>
    </row>
    <row r="38" spans="2:7" x14ac:dyDescent="0.25">
      <c r="B38" s="44" t="s">
        <v>43</v>
      </c>
      <c r="C38" s="17">
        <v>1123.33</v>
      </c>
      <c r="D38" s="17">
        <v>1092.96</v>
      </c>
      <c r="E38" s="17">
        <v>922.45</v>
      </c>
      <c r="F38" s="17">
        <v>782.14</v>
      </c>
      <c r="G38" s="17">
        <v>789.83</v>
      </c>
    </row>
    <row r="39" spans="2:7" x14ac:dyDescent="0.25">
      <c r="B39" s="44" t="s">
        <v>76</v>
      </c>
      <c r="C39" s="17"/>
      <c r="D39" s="17"/>
      <c r="E39" s="17"/>
      <c r="F39" s="17">
        <v>1.84</v>
      </c>
      <c r="G39" s="17">
        <v>3.85</v>
      </c>
    </row>
    <row r="40" spans="2:7" x14ac:dyDescent="0.25">
      <c r="B40" s="44" t="s">
        <v>44</v>
      </c>
      <c r="C40" s="17">
        <v>10.71</v>
      </c>
      <c r="D40" s="17">
        <v>19.72</v>
      </c>
      <c r="E40" s="17">
        <v>21.84</v>
      </c>
      <c r="F40" s="17">
        <v>32.840000000000003</v>
      </c>
      <c r="G40" s="17">
        <v>47.09</v>
      </c>
    </row>
    <row r="41" spans="2:7" x14ac:dyDescent="0.25">
      <c r="B41" s="44" t="s">
        <v>45</v>
      </c>
      <c r="C41" s="17">
        <v>835.41</v>
      </c>
      <c r="D41" s="17">
        <v>1007.41</v>
      </c>
      <c r="E41" s="17">
        <v>1215.92</v>
      </c>
      <c r="F41" s="17">
        <v>1347.42</v>
      </c>
      <c r="G41" s="17">
        <v>1190.97</v>
      </c>
    </row>
    <row r="42" spans="2:7" x14ac:dyDescent="0.25">
      <c r="B42" s="44"/>
      <c r="C42" s="17"/>
      <c r="D42" s="17"/>
      <c r="E42" s="17"/>
      <c r="F42" s="17"/>
      <c r="G42" s="17"/>
    </row>
    <row r="43" spans="2:7" x14ac:dyDescent="0.25">
      <c r="B43" s="86" t="s">
        <v>46</v>
      </c>
      <c r="C43" s="34">
        <f>SUM(C31:C41)</f>
        <v>15309.49</v>
      </c>
      <c r="D43" s="34">
        <f>SUM(D31:D41)</f>
        <v>15918.859999999999</v>
      </c>
      <c r="E43" s="34">
        <f>SUM(E31:E41)</f>
        <v>18550.620000000003</v>
      </c>
      <c r="F43" s="34">
        <f>SUM(F31:F41)</f>
        <v>24171.519999999997</v>
      </c>
      <c r="G43" s="34">
        <f>SUM(G31:G41)</f>
        <v>28987.11</v>
      </c>
    </row>
    <row r="44" spans="2:7" x14ac:dyDescent="0.25">
      <c r="B44" s="44" t="s">
        <v>74</v>
      </c>
      <c r="C44" s="17"/>
      <c r="D44" s="17"/>
      <c r="E44" s="17">
        <v>63.63</v>
      </c>
      <c r="F44" s="17">
        <v>71.92</v>
      </c>
      <c r="G44" s="17">
        <v>139.43</v>
      </c>
    </row>
    <row r="45" spans="2:7" x14ac:dyDescent="0.25">
      <c r="B45" s="86" t="s">
        <v>47</v>
      </c>
      <c r="C45" s="34">
        <f>SUM(C29,C43,C44)</f>
        <v>38126.86</v>
      </c>
      <c r="D45" s="34">
        <f>SUM(D29,D43,D44)</f>
        <v>42066.87</v>
      </c>
      <c r="E45" s="34">
        <f>SUM(E29,E43,E44)</f>
        <v>43600.780000000006</v>
      </c>
      <c r="F45" s="34">
        <f>SUM(F29,F43,F44)</f>
        <v>54728.53</v>
      </c>
      <c r="G45" s="34">
        <f>SUM(G29,G43,G44)</f>
        <v>67660.459999999992</v>
      </c>
    </row>
    <row r="46" spans="2:7" x14ac:dyDescent="0.25">
      <c r="B46" s="44"/>
      <c r="C46" s="17"/>
      <c r="D46" s="17"/>
      <c r="E46" s="17"/>
      <c r="F46" s="17"/>
      <c r="G46" s="17"/>
    </row>
    <row r="47" spans="2:7" x14ac:dyDescent="0.25">
      <c r="B47" s="48" t="s">
        <v>48</v>
      </c>
      <c r="C47" s="17"/>
      <c r="D47" s="17"/>
      <c r="E47" s="17"/>
      <c r="F47" s="17"/>
      <c r="G47" s="17"/>
    </row>
    <row r="48" spans="2:7" x14ac:dyDescent="0.25">
      <c r="B48" s="44" t="s">
        <v>49</v>
      </c>
      <c r="C48" s="17"/>
      <c r="D48" s="17"/>
      <c r="E48" s="17"/>
      <c r="F48" s="17"/>
      <c r="G48" s="17"/>
    </row>
    <row r="49" spans="2:7" x14ac:dyDescent="0.25">
      <c r="B49" s="44" t="s">
        <v>50</v>
      </c>
      <c r="C49" s="17">
        <v>293.55</v>
      </c>
      <c r="D49" s="17">
        <v>293.55</v>
      </c>
      <c r="E49" s="17">
        <v>293.55</v>
      </c>
      <c r="F49" s="17">
        <v>293.61</v>
      </c>
      <c r="G49" s="17">
        <v>293.63</v>
      </c>
    </row>
    <row r="50" spans="2:7" x14ac:dyDescent="0.25">
      <c r="B50" s="44" t="s">
        <v>51</v>
      </c>
      <c r="C50" s="17">
        <v>7495.26</v>
      </c>
      <c r="D50" s="17">
        <v>7568.47</v>
      </c>
      <c r="E50" s="17">
        <v>7010.34</v>
      </c>
      <c r="F50" s="17">
        <v>8260.32</v>
      </c>
      <c r="G50" s="17">
        <v>8710.99</v>
      </c>
    </row>
    <row r="51" spans="2:7" x14ac:dyDescent="0.25">
      <c r="B51" s="44" t="s">
        <v>52</v>
      </c>
      <c r="C51" s="17">
        <v>1107.08</v>
      </c>
      <c r="D51" s="17">
        <v>1268.28</v>
      </c>
      <c r="E51" s="17">
        <v>1286.27</v>
      </c>
      <c r="F51" s="17">
        <v>2244.81</v>
      </c>
      <c r="G51" s="17">
        <v>2809.97</v>
      </c>
    </row>
    <row r="52" spans="2:7" x14ac:dyDescent="0.25">
      <c r="B52" s="44"/>
      <c r="C52" s="17"/>
      <c r="D52" s="17"/>
      <c r="E52" s="17"/>
      <c r="F52" s="17"/>
      <c r="G52" s="17"/>
    </row>
    <row r="53" spans="2:7" x14ac:dyDescent="0.25">
      <c r="B53" s="86" t="s">
        <v>53</v>
      </c>
      <c r="C53" s="34">
        <f>SUM(C49:C51)</f>
        <v>8895.89</v>
      </c>
      <c r="D53" s="34">
        <f>SUM(D49:D51)</f>
        <v>9130.3000000000011</v>
      </c>
      <c r="E53" s="34">
        <f>SUM(E49:E51)</f>
        <v>8590.16</v>
      </c>
      <c r="F53" s="34">
        <f>SUM(F49:F51)</f>
        <v>10798.74</v>
      </c>
      <c r="G53" s="34">
        <f>SUM(G49:G51)</f>
        <v>11814.589999999998</v>
      </c>
    </row>
    <row r="54" spans="2:7" x14ac:dyDescent="0.25">
      <c r="B54" s="44"/>
      <c r="C54" s="17"/>
      <c r="D54" s="17"/>
      <c r="E54" s="17"/>
      <c r="F54" s="17"/>
      <c r="G54" s="17"/>
    </row>
    <row r="55" spans="2:7" x14ac:dyDescent="0.25">
      <c r="B55" s="48" t="s">
        <v>54</v>
      </c>
      <c r="C55" s="17"/>
      <c r="D55" s="17"/>
      <c r="E55" s="17"/>
      <c r="F55" s="17"/>
      <c r="G55" s="17"/>
    </row>
    <row r="56" spans="2:7" x14ac:dyDescent="0.25">
      <c r="B56" s="44" t="s">
        <v>55</v>
      </c>
      <c r="C56" s="17"/>
      <c r="D56" s="17"/>
      <c r="E56" s="17"/>
      <c r="F56" s="17"/>
      <c r="G56" s="17"/>
    </row>
    <row r="57" spans="2:7" x14ac:dyDescent="0.25">
      <c r="B57" s="44" t="s">
        <v>56</v>
      </c>
      <c r="C57" s="17">
        <v>13308.7</v>
      </c>
      <c r="D57" s="17">
        <v>15564.63</v>
      </c>
      <c r="E57" s="17">
        <v>15297.3</v>
      </c>
      <c r="F57" s="17">
        <v>19502.86</v>
      </c>
      <c r="G57" s="17">
        <v>26695.71</v>
      </c>
    </row>
    <row r="58" spans="2:7" x14ac:dyDescent="0.25">
      <c r="B58" s="44" t="s">
        <v>57</v>
      </c>
      <c r="C58" s="17">
        <v>142.75</v>
      </c>
      <c r="D58" s="17">
        <v>145.44999999999999</v>
      </c>
      <c r="E58" s="17">
        <v>160.57</v>
      </c>
      <c r="F58" s="17">
        <v>188.97</v>
      </c>
      <c r="G58" s="17">
        <v>151.21</v>
      </c>
    </row>
    <row r="59" spans="2:7" x14ac:dyDescent="0.25">
      <c r="B59" s="44" t="s">
        <v>58</v>
      </c>
      <c r="C59" s="17">
        <v>167.9</v>
      </c>
      <c r="D59" s="17">
        <v>171.55</v>
      </c>
      <c r="E59" s="17">
        <v>143.19999999999999</v>
      </c>
      <c r="F59" s="17">
        <v>164.01</v>
      </c>
      <c r="G59" s="17">
        <v>127.41</v>
      </c>
    </row>
    <row r="60" spans="2:7" x14ac:dyDescent="0.25">
      <c r="B60" s="44" t="s">
        <v>59</v>
      </c>
      <c r="C60" s="17">
        <v>228.54</v>
      </c>
      <c r="D60" s="17">
        <v>229.38</v>
      </c>
      <c r="E60" s="17">
        <v>283.99</v>
      </c>
      <c r="F60" s="17">
        <v>633.28</v>
      </c>
      <c r="G60" s="17">
        <v>857.51</v>
      </c>
    </row>
    <row r="61" spans="2:7" x14ac:dyDescent="0.25">
      <c r="B61" s="44" t="s">
        <v>60</v>
      </c>
      <c r="C61" s="17">
        <v>338.57</v>
      </c>
      <c r="D61" s="17">
        <v>386.09</v>
      </c>
      <c r="E61" s="17">
        <v>315.83</v>
      </c>
      <c r="F61" s="17">
        <v>722</v>
      </c>
      <c r="G61" s="17">
        <v>1046.83</v>
      </c>
    </row>
    <row r="62" spans="2:7" x14ac:dyDescent="0.25">
      <c r="B62" s="44" t="s">
        <v>61</v>
      </c>
      <c r="C62" s="17">
        <v>249.85</v>
      </c>
      <c r="D62" s="17">
        <v>215.67</v>
      </c>
      <c r="E62" s="17">
        <v>193.83</v>
      </c>
      <c r="F62" s="17">
        <v>250.04</v>
      </c>
      <c r="G62" s="17">
        <v>283.45</v>
      </c>
    </row>
    <row r="63" spans="2:7" x14ac:dyDescent="0.25">
      <c r="B63" s="44" t="s">
        <v>62</v>
      </c>
      <c r="C63" s="17">
        <v>0</v>
      </c>
      <c r="D63" s="17">
        <v>0</v>
      </c>
      <c r="E63" s="17">
        <v>0</v>
      </c>
      <c r="F63" s="17">
        <v>13.68</v>
      </c>
      <c r="G63" s="17">
        <v>3.82</v>
      </c>
    </row>
    <row r="64" spans="2:7" x14ac:dyDescent="0.25">
      <c r="B64" s="44"/>
      <c r="C64" s="17"/>
      <c r="D64" s="17"/>
      <c r="E64" s="17"/>
      <c r="F64" s="17"/>
      <c r="G64" s="17"/>
    </row>
    <row r="65" spans="2:7" x14ac:dyDescent="0.25">
      <c r="B65" s="86" t="s">
        <v>63</v>
      </c>
      <c r="C65" s="34">
        <f>SUM(C57:C63)</f>
        <v>14436.310000000001</v>
      </c>
      <c r="D65" s="34">
        <f>SUM(D57:D63)</f>
        <v>16712.769999999997</v>
      </c>
      <c r="E65" s="34">
        <f>SUM(E57:E63)</f>
        <v>16394.72</v>
      </c>
      <c r="F65" s="34">
        <f>SUM(F57:F63)</f>
        <v>21474.84</v>
      </c>
      <c r="G65" s="34">
        <f>SUM(G57:G63)</f>
        <v>29165.94</v>
      </c>
    </row>
    <row r="66" spans="2:7" x14ac:dyDescent="0.25">
      <c r="B66" s="44"/>
      <c r="C66" s="17"/>
      <c r="D66" s="17"/>
      <c r="E66" s="17"/>
      <c r="F66" s="17"/>
      <c r="G66" s="17"/>
    </row>
    <row r="67" spans="2:7" x14ac:dyDescent="0.25">
      <c r="B67" s="48" t="s">
        <v>64</v>
      </c>
      <c r="C67" s="17"/>
      <c r="D67" s="17"/>
      <c r="E67" s="17"/>
      <c r="F67" s="17"/>
      <c r="G67" s="17"/>
    </row>
    <row r="68" spans="2:7" x14ac:dyDescent="0.25">
      <c r="B68" s="44" t="s">
        <v>55</v>
      </c>
      <c r="C68" s="17"/>
      <c r="D68" s="17"/>
      <c r="E68" s="17"/>
      <c r="F68" s="17"/>
      <c r="G68" s="17"/>
    </row>
    <row r="69" spans="2:7" x14ac:dyDescent="0.25">
      <c r="B69" s="44" t="s">
        <v>56</v>
      </c>
      <c r="C69" s="17">
        <v>2842.68</v>
      </c>
      <c r="D69" s="17">
        <v>2599.73</v>
      </c>
      <c r="E69" s="17">
        <v>8642.0499999999993</v>
      </c>
      <c r="F69" s="17">
        <v>11417.58</v>
      </c>
      <c r="G69" s="17">
        <v>13868.63</v>
      </c>
    </row>
    <row r="70" spans="2:7" x14ac:dyDescent="0.25">
      <c r="B70" s="44" t="s">
        <v>65</v>
      </c>
      <c r="C70" s="17"/>
      <c r="D70" s="17"/>
      <c r="E70" s="17"/>
      <c r="F70" s="17"/>
      <c r="G70" s="17"/>
    </row>
    <row r="71" spans="2:7" x14ac:dyDescent="0.25">
      <c r="B71" s="44" t="s">
        <v>66</v>
      </c>
      <c r="C71" s="17">
        <v>13.07</v>
      </c>
      <c r="D71" s="17">
        <v>38.86</v>
      </c>
      <c r="E71" s="17">
        <v>62.63</v>
      </c>
      <c r="F71" s="17">
        <v>77.09</v>
      </c>
      <c r="G71" s="17">
        <v>114.88</v>
      </c>
    </row>
    <row r="72" spans="2:7" x14ac:dyDescent="0.25">
      <c r="B72" s="44" t="s">
        <v>67</v>
      </c>
      <c r="C72" s="17">
        <v>2821.53</v>
      </c>
      <c r="D72" s="17">
        <v>5307.37</v>
      </c>
      <c r="E72" s="17">
        <v>7187.28</v>
      </c>
      <c r="F72" s="17">
        <v>7504.78</v>
      </c>
      <c r="G72" s="17">
        <v>6683.14</v>
      </c>
    </row>
    <row r="73" spans="2:7" x14ac:dyDescent="0.25">
      <c r="B73" s="44" t="s">
        <v>68</v>
      </c>
      <c r="C73" s="17">
        <v>36.770000000000003</v>
      </c>
      <c r="D73" s="17">
        <v>41.61</v>
      </c>
      <c r="E73" s="17">
        <v>45.1</v>
      </c>
      <c r="F73" s="17">
        <v>51.52</v>
      </c>
      <c r="G73" s="17">
        <v>86.63</v>
      </c>
    </row>
    <row r="74" spans="2:7" x14ac:dyDescent="0.25">
      <c r="B74" s="44" t="s">
        <v>69</v>
      </c>
      <c r="C74" s="17">
        <v>7674.26</v>
      </c>
      <c r="D74" s="17">
        <v>6926.91</v>
      </c>
      <c r="E74" s="17">
        <v>1188.06</v>
      </c>
      <c r="F74" s="17">
        <v>1601.76</v>
      </c>
      <c r="G74" s="17">
        <v>3433.81</v>
      </c>
    </row>
    <row r="75" spans="2:7" x14ac:dyDescent="0.25">
      <c r="B75" s="44" t="s">
        <v>61</v>
      </c>
      <c r="C75" s="17">
        <v>597.52</v>
      </c>
      <c r="D75" s="17">
        <v>473.79</v>
      </c>
      <c r="E75" s="17">
        <v>498.75</v>
      </c>
      <c r="F75" s="17">
        <v>458.35</v>
      </c>
      <c r="G75" s="17">
        <v>556.59</v>
      </c>
    </row>
    <row r="76" spans="2:7" x14ac:dyDescent="0.25">
      <c r="B76" s="44" t="s">
        <v>70</v>
      </c>
      <c r="C76" s="17">
        <v>92.84</v>
      </c>
      <c r="D76" s="17">
        <v>579.48</v>
      </c>
      <c r="E76" s="17">
        <v>323.75</v>
      </c>
      <c r="F76" s="17">
        <v>618.17999999999995</v>
      </c>
      <c r="G76" s="17">
        <v>589.04999999999995</v>
      </c>
    </row>
    <row r="77" spans="2:7" x14ac:dyDescent="0.25">
      <c r="B77" s="44" t="s">
        <v>59</v>
      </c>
      <c r="C77" s="17">
        <v>715.98</v>
      </c>
      <c r="D77" s="17">
        <v>202.25</v>
      </c>
      <c r="E77" s="17">
        <v>532.67999999999995</v>
      </c>
      <c r="F77" s="17">
        <v>586.52</v>
      </c>
      <c r="G77" s="17">
        <v>802.99</v>
      </c>
    </row>
    <row r="78" spans="2:7" x14ac:dyDescent="0.25">
      <c r="B78" s="44" t="s">
        <v>71</v>
      </c>
      <c r="C78" s="17">
        <v>0.01</v>
      </c>
      <c r="D78" s="17">
        <v>53.8</v>
      </c>
      <c r="E78" s="17">
        <v>123.82</v>
      </c>
      <c r="F78" s="17">
        <v>128.30000000000001</v>
      </c>
      <c r="G78" s="17">
        <v>527.38</v>
      </c>
    </row>
    <row r="79" spans="2:7" x14ac:dyDescent="0.25">
      <c r="B79" s="44"/>
      <c r="C79" s="17"/>
      <c r="D79" s="17"/>
      <c r="E79" s="17"/>
      <c r="F79" s="17"/>
      <c r="G79" s="17"/>
    </row>
    <row r="80" spans="2:7" x14ac:dyDescent="0.25">
      <c r="B80" s="86" t="s">
        <v>72</v>
      </c>
      <c r="C80" s="34">
        <f>SUM(C69:C78)</f>
        <v>14794.660000000002</v>
      </c>
      <c r="D80" s="34">
        <f>SUM(D69:D78)</f>
        <v>16223.8</v>
      </c>
      <c r="E80" s="34">
        <f>SUM(E69:E78)</f>
        <v>18604.12</v>
      </c>
      <c r="F80" s="34">
        <f>SUM(F69:F78)</f>
        <v>22444.079999999998</v>
      </c>
      <c r="G80" s="34">
        <f>SUM(G69:G78)</f>
        <v>26663.100000000002</v>
      </c>
    </row>
    <row r="81" spans="2:7" x14ac:dyDescent="0.25">
      <c r="B81" s="44" t="s">
        <v>75</v>
      </c>
      <c r="C81" s="17"/>
      <c r="D81" s="17"/>
      <c r="E81" s="17">
        <v>11.78</v>
      </c>
      <c r="F81" s="17">
        <v>10.87</v>
      </c>
      <c r="G81" s="17">
        <v>16.829999999999998</v>
      </c>
    </row>
    <row r="82" spans="2:7" x14ac:dyDescent="0.25">
      <c r="B82" s="86" t="s">
        <v>73</v>
      </c>
      <c r="C82" s="34">
        <f>SUM(C53,C65,C80,C81)</f>
        <v>38126.86</v>
      </c>
      <c r="D82" s="34">
        <f>SUM(D53,D65,D80,D81)</f>
        <v>42066.869999999995</v>
      </c>
      <c r="E82" s="34">
        <f>SUM(E53,E65,E80,E81)</f>
        <v>43600.78</v>
      </c>
      <c r="F82" s="34">
        <f>SUM(F53,F65,F80,F81)</f>
        <v>54728.530000000006</v>
      </c>
      <c r="G82" s="34">
        <f>SUM(G53,G65,G80,G81)</f>
        <v>67660.460000000006</v>
      </c>
    </row>
    <row r="83" spans="2:7" x14ac:dyDescent="0.25">
      <c r="B83" s="44"/>
      <c r="C83" s="17"/>
      <c r="D83" s="17"/>
      <c r="E83" s="17"/>
      <c r="F83" s="17"/>
      <c r="G83" s="17"/>
    </row>
    <row r="84" spans="2:7" x14ac:dyDescent="0.25">
      <c r="B84" s="44"/>
      <c r="C84" s="17"/>
      <c r="D84" s="17"/>
      <c r="E84" s="17"/>
      <c r="F84" s="17"/>
      <c r="G84" s="17"/>
    </row>
    <row r="85" spans="2:7" x14ac:dyDescent="0.25">
      <c r="B85" s="48" t="s">
        <v>77</v>
      </c>
      <c r="C85" s="17"/>
      <c r="D85" s="17"/>
      <c r="E85" s="17"/>
      <c r="F85" s="17"/>
      <c r="G85" s="17"/>
    </row>
    <row r="86" spans="2:7" x14ac:dyDescent="0.25">
      <c r="B86" s="44" t="s">
        <v>87</v>
      </c>
      <c r="C86" s="17"/>
      <c r="D86" s="17"/>
      <c r="E86" s="17"/>
      <c r="F86" s="17"/>
      <c r="G86" s="17"/>
    </row>
    <row r="87" spans="2:7" x14ac:dyDescent="0.25">
      <c r="B87" s="44" t="s">
        <v>88</v>
      </c>
      <c r="C87" s="19">
        <f>C80/C43</f>
        <v>0.96637183864387399</v>
      </c>
      <c r="D87" s="19">
        <f>D80/D43</f>
        <v>1.0191558943291166</v>
      </c>
      <c r="E87" s="19">
        <f>E80/E43</f>
        <v>1.0028840006425659</v>
      </c>
      <c r="F87" s="19">
        <f>F80/F43</f>
        <v>0.92853407646685027</v>
      </c>
      <c r="G87" s="19">
        <f>G80/G43</f>
        <v>0.91982608821645218</v>
      </c>
    </row>
    <row r="88" spans="2:7" x14ac:dyDescent="0.25">
      <c r="B88" s="44" t="s">
        <v>89</v>
      </c>
      <c r="C88" s="19">
        <f>(C43-C31)/C80</f>
        <v>0.93095076196411397</v>
      </c>
      <c r="D88" s="19">
        <f>(D43-D31)/D80</f>
        <v>0.82736535213698392</v>
      </c>
      <c r="E88" s="19">
        <f>(E43-E31)/E80</f>
        <v>0.86056583165449396</v>
      </c>
      <c r="F88" s="19">
        <f>(F43-F31)/F80</f>
        <v>0.92367742406906406</v>
      </c>
      <c r="G88" s="19">
        <f>(G43-G31)/G80</f>
        <v>0.93684155255765444</v>
      </c>
    </row>
    <row r="89" spans="2:7" x14ac:dyDescent="0.25">
      <c r="B89" s="44" t="s">
        <v>90</v>
      </c>
      <c r="C89" s="19"/>
      <c r="D89" s="19"/>
      <c r="E89" s="19"/>
      <c r="F89" s="19"/>
      <c r="G89" s="19"/>
    </row>
    <row r="90" spans="2:7" x14ac:dyDescent="0.25">
      <c r="B90" s="44" t="s">
        <v>91</v>
      </c>
      <c r="C90" s="19">
        <f>C57/C45</f>
        <v>0.34906362601063923</v>
      </c>
      <c r="D90" s="19">
        <f>D57/D45</f>
        <v>0.36999733994946615</v>
      </c>
      <c r="E90" s="19">
        <f>E57/E45</f>
        <v>0.35084922792665629</v>
      </c>
      <c r="F90" s="19">
        <f>F57/F45</f>
        <v>0.35635636476989241</v>
      </c>
      <c r="G90" s="19">
        <f>G57/G45</f>
        <v>0.39455407190551178</v>
      </c>
    </row>
    <row r="91" spans="2:7" x14ac:dyDescent="0.25">
      <c r="B91" s="44" t="s">
        <v>92</v>
      </c>
      <c r="C91" s="19">
        <f>C57/C53</f>
        <v>1.49605042328536</v>
      </c>
      <c r="D91" s="19">
        <f>D57/D53</f>
        <v>1.7047227363832511</v>
      </c>
      <c r="E91" s="19">
        <f>E57/E53</f>
        <v>1.7807933728824608</v>
      </c>
      <c r="F91" s="19">
        <f>F57/F53</f>
        <v>1.80603107399567</v>
      </c>
      <c r="G91" s="19">
        <f>G57/G53</f>
        <v>2.2595544999868808</v>
      </c>
    </row>
    <row r="92" spans="2:7" x14ac:dyDescent="0.25">
      <c r="B92" s="44" t="s">
        <v>93</v>
      </c>
      <c r="C92" s="19">
        <f>'P&amp;L_Input'!C27/'P&amp;L_Input'!C29</f>
        <v>1.3783809285932351</v>
      </c>
      <c r="D92" s="19">
        <f>'P&amp;L_Input'!D27/'P&amp;L_Input'!D29</f>
        <v>0.85593273844599649</v>
      </c>
      <c r="E92" s="19">
        <f>'P&amp;L_Input'!E27/'P&amp;L_Input'!E29</f>
        <v>1.0161739921350448</v>
      </c>
      <c r="F92" s="19">
        <f>'P&amp;L_Input'!F27/'P&amp;L_Input'!F29</f>
        <v>2.002713159780273</v>
      </c>
      <c r="G92" s="19">
        <f>'P&amp;L_Input'!G27/'P&amp;L_Input'!G29</f>
        <v>2.3524453013664166</v>
      </c>
    </row>
    <row r="93" spans="2:7" x14ac:dyDescent="0.25">
      <c r="B93" s="44" t="s">
        <v>94</v>
      </c>
      <c r="C93" s="19">
        <f>'P&amp;L_Input'!C23/('P&amp;L_Input'!C29+BS_Input!C57)</f>
        <v>0.21398246896994458</v>
      </c>
      <c r="D93" s="19">
        <f>'P&amp;L_Input'!D23/('P&amp;L_Input'!D29+BS_Input!D57)</f>
        <v>0.14099066318470876</v>
      </c>
      <c r="E93" s="19">
        <f>'P&amp;L_Input'!E23/('P&amp;L_Input'!E29+BS_Input!E57)</f>
        <v>0.16108491321684607</v>
      </c>
      <c r="F93" s="19">
        <f>'P&amp;L_Input'!F23/('P&amp;L_Input'!F29+BS_Input!F57)</f>
        <v>0.23582214780638966</v>
      </c>
      <c r="G93" s="19">
        <f>'P&amp;L_Input'!G23/('P&amp;L_Input'!G29+BS_Input!G57)</f>
        <v>0.26763530916545464</v>
      </c>
    </row>
  </sheetData>
  <mergeCells count="2">
    <mergeCell ref="B8:B9"/>
    <mergeCell ref="B7:G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C2C74-802A-43D6-87B0-E070E1DB9C72}">
  <dimension ref="B7:G119"/>
  <sheetViews>
    <sheetView showGridLines="0" topLeftCell="A7" workbookViewId="0">
      <selection activeCell="J13" sqref="J13"/>
    </sheetView>
  </sheetViews>
  <sheetFormatPr defaultRowHeight="15" x14ac:dyDescent="0.25"/>
  <cols>
    <col min="1" max="1" width="0.85546875" customWidth="1"/>
    <col min="2" max="2" width="72" customWidth="1"/>
    <col min="3" max="7" width="10.28515625" bestFit="1" customWidth="1"/>
  </cols>
  <sheetData>
    <row r="7" spans="2:7" x14ac:dyDescent="0.25">
      <c r="B7" s="234" t="s">
        <v>307</v>
      </c>
      <c r="C7" s="234"/>
      <c r="D7" s="234"/>
      <c r="E7" s="234"/>
      <c r="F7" s="234"/>
      <c r="G7" s="234"/>
    </row>
    <row r="8" spans="2:7" x14ac:dyDescent="0.25">
      <c r="B8" s="240" t="s">
        <v>0</v>
      </c>
      <c r="C8" s="13">
        <f>'P&amp;L_Input'!C8</f>
        <v>2020</v>
      </c>
      <c r="D8" s="13">
        <f>'P&amp;L_Input'!D8</f>
        <v>2021</v>
      </c>
      <c r="E8" s="13">
        <f>'P&amp;L_Input'!E8</f>
        <v>2022</v>
      </c>
      <c r="F8" s="13">
        <f>'P&amp;L_Input'!F8</f>
        <v>2023</v>
      </c>
      <c r="G8" s="13">
        <f>'P&amp;L_Input'!G8</f>
        <v>2024</v>
      </c>
    </row>
    <row r="9" spans="2:7" x14ac:dyDescent="0.25">
      <c r="B9" s="241"/>
      <c r="C9" s="41" t="str">
        <f>'P&amp;L_Input'!C9</f>
        <v>Audited</v>
      </c>
      <c r="D9" s="41" t="str">
        <f>'P&amp;L_Input'!D9</f>
        <v>Audited</v>
      </c>
      <c r="E9" s="41" t="str">
        <f>'P&amp;L_Input'!E9</f>
        <v>Audited</v>
      </c>
      <c r="F9" s="41" t="str">
        <f>'P&amp;L_Input'!F9</f>
        <v>Audited</v>
      </c>
      <c r="G9" s="41" t="str">
        <f>'P&amp;L_Input'!G9</f>
        <v>Audited</v>
      </c>
    </row>
    <row r="10" spans="2:7" x14ac:dyDescent="0.25">
      <c r="B10" s="91"/>
    </row>
    <row r="11" spans="2:7" x14ac:dyDescent="0.25">
      <c r="B11" s="44" t="s">
        <v>2</v>
      </c>
      <c r="C11" s="14">
        <f>'P&amp;L_Input'!C11/'P&amp;L_Input'!C$11</f>
        <v>1</v>
      </c>
      <c r="D11" s="14">
        <f>'P&amp;L_Input'!D11/'P&amp;L_Input'!D$11</f>
        <v>1</v>
      </c>
      <c r="E11" s="14">
        <f>'P&amp;L_Input'!E11/'P&amp;L_Input'!E$11</f>
        <v>1</v>
      </c>
      <c r="F11" s="14">
        <f>'P&amp;L_Input'!F11/'P&amp;L_Input'!F$11</f>
        <v>1</v>
      </c>
      <c r="G11" s="14">
        <f>'P&amp;L_Input'!G11/'P&amp;L_Input'!G$11</f>
        <v>1</v>
      </c>
    </row>
    <row r="12" spans="2:7" x14ac:dyDescent="0.25">
      <c r="B12" s="44"/>
      <c r="C12" s="14"/>
      <c r="D12" s="14"/>
      <c r="E12" s="14"/>
      <c r="F12" s="14"/>
      <c r="G12" s="14"/>
    </row>
    <row r="13" spans="2:7" x14ac:dyDescent="0.25">
      <c r="B13" s="44" t="s">
        <v>3</v>
      </c>
      <c r="C13" s="14">
        <f>'P&amp;L_Input'!C13/'P&amp;L_Input'!C$13</f>
        <v>1</v>
      </c>
      <c r="D13" s="14">
        <f>'P&amp;L_Input'!D13/'P&amp;L_Input'!D$13</f>
        <v>1</v>
      </c>
      <c r="E13" s="14">
        <f>'P&amp;L_Input'!E13/'P&amp;L_Input'!E$13</f>
        <v>1</v>
      </c>
      <c r="F13" s="14">
        <f>'P&amp;L_Input'!F13/'P&amp;L_Input'!F$13</f>
        <v>1</v>
      </c>
      <c r="G13" s="14">
        <f>'P&amp;L_Input'!G13/'P&amp;L_Input'!G$13</f>
        <v>1</v>
      </c>
    </row>
    <row r="14" spans="2:7" x14ac:dyDescent="0.25">
      <c r="B14" s="44"/>
      <c r="C14" s="14"/>
      <c r="D14" s="14"/>
      <c r="E14" s="14"/>
      <c r="F14" s="14"/>
      <c r="G14" s="14"/>
    </row>
    <row r="15" spans="2:7" x14ac:dyDescent="0.25">
      <c r="B15" s="44" t="s">
        <v>4</v>
      </c>
      <c r="C15" s="14">
        <f>'P&amp;L_Input'!C15/'P&amp;L_Input'!C$11</f>
        <v>0.50859836355709709</v>
      </c>
      <c r="D15" s="14">
        <f>'P&amp;L_Input'!D15/'P&amp;L_Input'!D$11</f>
        <v>0.60495525364833125</v>
      </c>
      <c r="E15" s="14">
        <f>'P&amp;L_Input'!E15/'P&amp;L_Input'!E$11</f>
        <v>0.63343770188454152</v>
      </c>
      <c r="F15" s="14">
        <f>'P&amp;L_Input'!F15/'P&amp;L_Input'!F$11</f>
        <v>0.67843571075478859</v>
      </c>
      <c r="G15" s="14">
        <f>'P&amp;L_Input'!G15/'P&amp;L_Input'!G$11</f>
        <v>0.61675006071109728</v>
      </c>
    </row>
    <row r="16" spans="2:7" x14ac:dyDescent="0.25">
      <c r="B16" s="44" t="s">
        <v>5</v>
      </c>
      <c r="C16" s="14">
        <f>'P&amp;L_Input'!C16/'P&amp;L_Input'!C$11</f>
        <v>3.9832775051284047E-2</v>
      </c>
      <c r="D16" s="14">
        <f>'P&amp;L_Input'!D16/'P&amp;L_Input'!D$11</f>
        <v>4.1514128127232826E-2</v>
      </c>
      <c r="E16" s="14">
        <f>'P&amp;L_Input'!E16/'P&amp;L_Input'!E$11</f>
        <v>3.6033639324393081E-2</v>
      </c>
      <c r="F16" s="14">
        <f>'P&amp;L_Input'!F16/'P&amp;L_Input'!F$11</f>
        <v>2.8225020757044198E-2</v>
      </c>
      <c r="G16" s="14">
        <f>'P&amp;L_Input'!G16/'P&amp;L_Input'!G$11</f>
        <v>3.400280057234404E-2</v>
      </c>
    </row>
    <row r="17" spans="2:7" x14ac:dyDescent="0.25">
      <c r="B17" s="44" t="s">
        <v>6</v>
      </c>
      <c r="C17" s="14">
        <f>'P&amp;L_Input'!C17/'P&amp;L_Input'!C$11</f>
        <v>5.9548263038995013E-2</v>
      </c>
      <c r="D17" s="14">
        <f>'P&amp;L_Input'!D17/'P&amp;L_Input'!D$11</f>
        <v>-2.7197351715062639E-2</v>
      </c>
      <c r="E17" s="14">
        <f>'P&amp;L_Input'!E17/'P&amp;L_Input'!E$11</f>
        <v>1.8386143312059428E-3</v>
      </c>
      <c r="F17" s="14">
        <f>'P&amp;L_Input'!F17/'P&amp;L_Input'!F$11</f>
        <v>-1.5105608961283913E-2</v>
      </c>
      <c r="G17" s="14">
        <f>'P&amp;L_Input'!G17/'P&amp;L_Input'!G$11</f>
        <v>-1.2423718034952121E-2</v>
      </c>
    </row>
    <row r="18" spans="2:7" x14ac:dyDescent="0.25">
      <c r="B18" s="44" t="s">
        <v>7</v>
      </c>
      <c r="C18" s="14">
        <f>'P&amp;L_Input'!C18/'P&amp;L_Input'!C$11</f>
        <v>9.9778737175571161E-2</v>
      </c>
      <c r="D18" s="14">
        <f>'P&amp;L_Input'!D18/'P&amp;L_Input'!D$11</f>
        <v>0.111001279935849</v>
      </c>
      <c r="E18" s="14">
        <f>'P&amp;L_Input'!E18/'P&amp;L_Input'!E$11</f>
        <v>9.9734917855026181E-2</v>
      </c>
      <c r="F18" s="14">
        <f>'P&amp;L_Input'!F18/'P&amp;L_Input'!F$11</f>
        <v>7.7614067756751448E-2</v>
      </c>
      <c r="G18" s="14">
        <f>'P&amp;L_Input'!G18/'P&amp;L_Input'!G$11</f>
        <v>8.0206129462265657E-2</v>
      </c>
    </row>
    <row r="19" spans="2:7" x14ac:dyDescent="0.25">
      <c r="B19" s="44" t="s">
        <v>8</v>
      </c>
      <c r="C19" s="14">
        <f>'P&amp;L_Input'!C19/'P&amp;L_Input'!C$11</f>
        <v>0.14494514440394565</v>
      </c>
      <c r="D19" s="14">
        <f>'P&amp;L_Input'!D19/'P&amp;L_Input'!D$11</f>
        <v>0.14314977305555127</v>
      </c>
      <c r="E19" s="14">
        <f>'P&amp;L_Input'!E19/'P&amp;L_Input'!E$11</f>
        <v>0.12356105750815159</v>
      </c>
      <c r="F19" s="14">
        <f>'P&amp;L_Input'!F19/'P&amp;L_Input'!F$11</f>
        <v>0.10861861270955017</v>
      </c>
      <c r="G19" s="14">
        <f>'P&amp;L_Input'!G19/'P&amp;L_Input'!G$11</f>
        <v>0.10800416853750024</v>
      </c>
    </row>
    <row r="20" spans="2:7" x14ac:dyDescent="0.25">
      <c r="B20" s="44"/>
      <c r="C20" s="14"/>
      <c r="D20" s="14"/>
      <c r="E20" s="14"/>
      <c r="F20" s="14"/>
      <c r="G20" s="14"/>
    </row>
    <row r="21" spans="2:7" x14ac:dyDescent="0.25">
      <c r="B21" s="73" t="s">
        <v>9</v>
      </c>
      <c r="C21" s="209">
        <f>SUM(C15:C19)</f>
        <v>0.85270328322689293</v>
      </c>
      <c r="D21" s="209">
        <f>SUM(D15:D19)</f>
        <v>0.87342308305190164</v>
      </c>
      <c r="E21" s="209">
        <f>SUM(E15:E19)</f>
        <v>0.8946059309033183</v>
      </c>
      <c r="F21" s="209">
        <f>SUM(F15:F19)</f>
        <v>0.87778780301685055</v>
      </c>
      <c r="G21" s="209">
        <f>SUM(G15:G19)</f>
        <v>0.82653944124825518</v>
      </c>
    </row>
    <row r="22" spans="2:7" x14ac:dyDescent="0.25">
      <c r="B22" s="44"/>
      <c r="C22" s="14"/>
      <c r="D22" s="14"/>
      <c r="E22" s="14"/>
      <c r="F22" s="14"/>
      <c r="G22" s="14"/>
    </row>
    <row r="23" spans="2:7" x14ac:dyDescent="0.25">
      <c r="B23" s="210" t="s">
        <v>10</v>
      </c>
      <c r="C23" s="209">
        <f>C11-C21</f>
        <v>0.14729671677310707</v>
      </c>
      <c r="D23" s="209">
        <f>D11-D21</f>
        <v>0.12657691694809836</v>
      </c>
      <c r="E23" s="209">
        <f>E11-E21</f>
        <v>0.1053940690966817</v>
      </c>
      <c r="F23" s="209">
        <f>F11-F21</f>
        <v>0.12221219698314945</v>
      </c>
      <c r="G23" s="209">
        <f>G11-G21</f>
        <v>0.17346055875174482</v>
      </c>
    </row>
    <row r="24" spans="2:7" x14ac:dyDescent="0.25">
      <c r="B24" s="44"/>
      <c r="C24" s="14"/>
      <c r="D24" s="14"/>
      <c r="E24" s="14"/>
      <c r="F24" s="14"/>
      <c r="G24" s="14"/>
    </row>
    <row r="25" spans="2:7" x14ac:dyDescent="0.25">
      <c r="B25" s="44" t="s">
        <v>314</v>
      </c>
      <c r="C25" s="14">
        <f>'P&amp;L_Input'!C25/'P&amp;L_Input'!C$11</f>
        <v>3.4166132529006292E-2</v>
      </c>
      <c r="D25" s="14">
        <f>'P&amp;L_Input'!D25/'P&amp;L_Input'!D$11</f>
        <v>4.2953413419279232E-2</v>
      </c>
      <c r="E25" s="14">
        <f>'P&amp;L_Input'!E25/'P&amp;L_Input'!E$11</f>
        <v>3.3005109167725914E-2</v>
      </c>
      <c r="F25" s="14">
        <f>'P&amp;L_Input'!F25/'P&amp;L_Input'!F$11</f>
        <v>2.1602203846172306E-2</v>
      </c>
      <c r="G25" s="14">
        <f>'P&amp;L_Input'!G25/'P&amp;L_Input'!G$11</f>
        <v>2.0250645110005013E-2</v>
      </c>
    </row>
    <row r="26" spans="2:7" x14ac:dyDescent="0.25">
      <c r="B26" s="44"/>
      <c r="C26" s="14"/>
      <c r="D26" s="14"/>
      <c r="E26" s="14"/>
      <c r="F26" s="14"/>
      <c r="G26" s="14"/>
    </row>
    <row r="27" spans="2:7" x14ac:dyDescent="0.25">
      <c r="B27" s="210" t="s">
        <v>11</v>
      </c>
      <c r="C27" s="209">
        <f>C23-C25</f>
        <v>0.11313058424410077</v>
      </c>
      <c r="D27" s="209">
        <f>D23-D25</f>
        <v>8.3623503528819129E-2</v>
      </c>
      <c r="E27" s="209">
        <f>E23-E25</f>
        <v>7.2388959928955776E-2</v>
      </c>
      <c r="F27" s="209">
        <f>F23-F25</f>
        <v>0.10060999313697713</v>
      </c>
      <c r="G27" s="209">
        <f>G23-G25</f>
        <v>0.1532099136417398</v>
      </c>
    </row>
    <row r="28" spans="2:7" x14ac:dyDescent="0.25">
      <c r="B28" s="44"/>
      <c r="C28" s="14"/>
      <c r="D28" s="14"/>
      <c r="E28" s="14"/>
      <c r="F28" s="14"/>
      <c r="G28" s="14"/>
    </row>
    <row r="29" spans="2:7" x14ac:dyDescent="0.25">
      <c r="B29" s="44" t="s">
        <v>12</v>
      </c>
      <c r="C29" s="14">
        <f>'P&amp;L_Input'!C29/'P&amp;L_Input'!C$11</f>
        <v>8.2074977894217513E-2</v>
      </c>
      <c r="D29" s="14">
        <f>'P&amp;L_Input'!D29/'P&amp;L_Input'!D$11</f>
        <v>9.769868562411009E-2</v>
      </c>
      <c r="E29" s="14">
        <f>'P&amp;L_Input'!E29/'P&amp;L_Input'!E$11</f>
        <v>7.1236776860291603E-2</v>
      </c>
      <c r="F29" s="14">
        <f>'P&amp;L_Input'!F29/'P&amp;L_Input'!F$11</f>
        <v>5.0236846273090711E-2</v>
      </c>
      <c r="G29" s="14">
        <f>'P&amp;L_Input'!G29/'P&amp;L_Input'!G$11</f>
        <v>6.5127938810202263E-2</v>
      </c>
    </row>
    <row r="30" spans="2:7" x14ac:dyDescent="0.25">
      <c r="B30" s="44"/>
      <c r="C30" s="14"/>
      <c r="D30" s="14"/>
      <c r="E30" s="14"/>
      <c r="F30" s="14"/>
      <c r="G30" s="14"/>
    </row>
    <row r="31" spans="2:7" x14ac:dyDescent="0.25">
      <c r="B31" s="44" t="s">
        <v>13</v>
      </c>
      <c r="C31" s="14">
        <f>'P&amp;L_Input'!C31/'P&amp;L_Input'!C$11</f>
        <v>4.9122442573937631E-3</v>
      </c>
      <c r="D31" s="14">
        <f>'P&amp;L_Input'!D31/'P&amp;L_Input'!D$11</f>
        <v>6.7420235323145256E-3</v>
      </c>
      <c r="E31" s="14">
        <f>'P&amp;L_Input'!E31/'P&amp;L_Input'!E$11</f>
        <v>3.3086672904640937E-3</v>
      </c>
      <c r="F31" s="14">
        <f>'P&amp;L_Input'!F31/'P&amp;L_Input'!F$11</f>
        <v>2.6581014863483439E-3</v>
      </c>
      <c r="G31" s="14">
        <f>'P&amp;L_Input'!G31/'P&amp;L_Input'!G$11</f>
        <v>3.0700597327314055E-3</v>
      </c>
    </row>
    <row r="32" spans="2:7" x14ac:dyDescent="0.25">
      <c r="B32" s="44"/>
      <c r="C32" s="14"/>
      <c r="D32" s="14"/>
      <c r="E32" s="14"/>
      <c r="F32" s="14"/>
      <c r="G32" s="14"/>
    </row>
    <row r="33" spans="2:7" x14ac:dyDescent="0.25">
      <c r="B33" s="210" t="s">
        <v>14</v>
      </c>
      <c r="C33" s="209">
        <f>C27-C29+C31</f>
        <v>3.5967850607277023E-2</v>
      </c>
      <c r="D33" s="209">
        <f>D27-D29+D31</f>
        <v>-7.3331585629764356E-3</v>
      </c>
      <c r="E33" s="209">
        <f>E27-E29+E31</f>
        <v>4.4608503591282659E-3</v>
      </c>
      <c r="F33" s="209">
        <f>F27-F29+F31</f>
        <v>5.3031248350234768E-2</v>
      </c>
      <c r="G33" s="209">
        <f>G27-G29+G31</f>
        <v>9.1152034564268944E-2</v>
      </c>
    </row>
    <row r="34" spans="2:7" x14ac:dyDescent="0.25">
      <c r="B34" s="44"/>
      <c r="C34" s="14"/>
      <c r="D34" s="14"/>
      <c r="E34" s="14"/>
      <c r="F34" s="14"/>
      <c r="G34" s="14"/>
    </row>
    <row r="35" spans="2:7" x14ac:dyDescent="0.25">
      <c r="B35" s="47" t="s">
        <v>16</v>
      </c>
      <c r="C35" s="14">
        <f>'P&amp;L_Input'!C35/'P&amp;L_Input'!C$11</f>
        <v>1.3211080725625442E-4</v>
      </c>
      <c r="D35" s="14">
        <f>'P&amp;L_Input'!D35/'P&amp;L_Input'!D$11</f>
        <v>-2.5701523072257264E-5</v>
      </c>
      <c r="E35" s="14">
        <f>'P&amp;L_Input'!E35/'P&amp;L_Input'!E$11</f>
        <v>2.8661649607522155E-4</v>
      </c>
      <c r="F35" s="14">
        <f>'P&amp;L_Input'!F35/'P&amp;L_Input'!F$11</f>
        <v>2.5796326603091718E-4</v>
      </c>
      <c r="G35" s="14">
        <f>'P&amp;L_Input'!G35/'P&amp;L_Input'!G$11</f>
        <v>3.5771502647702672E-4</v>
      </c>
    </row>
    <row r="36" spans="2:7" x14ac:dyDescent="0.25">
      <c r="B36" s="44" t="s">
        <v>15</v>
      </c>
      <c r="C36" s="14">
        <f>'P&amp;L_Input'!C36/'P&amp;L_Input'!C$11</f>
        <v>-2.4271944174528398E-3</v>
      </c>
      <c r="D36" s="14">
        <f>'P&amp;L_Input'!D36/'P&amp;L_Input'!D$11</f>
        <v>3.9107437506746652E-3</v>
      </c>
      <c r="E36" s="14">
        <f>'P&amp;L_Input'!E36/'P&amp;L_Input'!E$11</f>
        <v>-1.2354619308880727E-2</v>
      </c>
      <c r="F36" s="14">
        <f>'P&amp;L_Input'!F36/'P&amp;L_Input'!F$11</f>
        <v>1.1491963544391279E-3</v>
      </c>
      <c r="G36" s="14">
        <f>'P&amp;L_Input'!G36/'P&amp;L_Input'!G$11</f>
        <v>-1.83924050854061E-3</v>
      </c>
    </row>
    <row r="37" spans="2:7" x14ac:dyDescent="0.25">
      <c r="B37" s="44"/>
      <c r="C37" s="14"/>
      <c r="D37" s="14"/>
      <c r="E37" s="14"/>
      <c r="F37" s="14"/>
      <c r="G37" s="14"/>
    </row>
    <row r="38" spans="2:7" x14ac:dyDescent="0.25">
      <c r="B38" s="210" t="s">
        <v>17</v>
      </c>
      <c r="C38" s="209">
        <f>SUM(C33:C36)</f>
        <v>3.3672766997080439E-2</v>
      </c>
      <c r="D38" s="209">
        <f>SUM(D33:D36)</f>
        <v>-3.4481163353740274E-3</v>
      </c>
      <c r="E38" s="209">
        <f>SUM(E33:E36)</f>
        <v>-7.6071524536772397E-3</v>
      </c>
      <c r="F38" s="209">
        <f>SUM(F33:F36)</f>
        <v>5.4438407970704816E-2</v>
      </c>
      <c r="G38" s="209">
        <f>SUM(G33:G36)</f>
        <v>8.9670509082205363E-2</v>
      </c>
    </row>
    <row r="39" spans="2:7" x14ac:dyDescent="0.25">
      <c r="B39" s="44"/>
      <c r="C39" s="14"/>
      <c r="D39" s="14"/>
      <c r="E39" s="14"/>
      <c r="F39" s="14"/>
      <c r="G39" s="14"/>
    </row>
    <row r="40" spans="2:7" x14ac:dyDescent="0.25">
      <c r="B40" s="47" t="s">
        <v>18</v>
      </c>
      <c r="C40" s="14">
        <f>'P&amp;L_Input'!C40/'P&amp;L_Input'!C$11</f>
        <v>1.2726370729347323E-2</v>
      </c>
      <c r="D40" s="14">
        <f>'P&amp;L_Input'!D40/'P&amp;L_Input'!D$11</f>
        <v>1.2953567628417662E-4</v>
      </c>
      <c r="E40" s="14">
        <f>'P&amp;L_Input'!E40/'P&amp;L_Input'!E$11</f>
        <v>3.2724590894971442E-3</v>
      </c>
      <c r="F40" s="14">
        <f>'P&amp;L_Input'!F40/'P&amp;L_Input'!F$11</f>
        <v>2.1763220917341369E-2</v>
      </c>
      <c r="G40" s="14">
        <f>'P&amp;L_Input'!G40/'P&amp;L_Input'!G$11</f>
        <v>3.0786422727439495E-2</v>
      </c>
    </row>
    <row r="41" spans="2:7" x14ac:dyDescent="0.25">
      <c r="B41" s="44"/>
      <c r="C41" s="14"/>
      <c r="D41" s="14"/>
      <c r="E41" s="14"/>
      <c r="F41" s="14"/>
      <c r="G41" s="14"/>
    </row>
    <row r="42" spans="2:7" x14ac:dyDescent="0.25">
      <c r="B42" s="210" t="s">
        <v>19</v>
      </c>
      <c r="C42" s="209">
        <f>C38-C40</f>
        <v>2.0946396267733116E-2</v>
      </c>
      <c r="D42" s="209">
        <f>D38-D40</f>
        <v>-3.5776520116582041E-3</v>
      </c>
      <c r="E42" s="209">
        <f>E38-E40</f>
        <v>-1.0879611543174385E-2</v>
      </c>
      <c r="F42" s="209">
        <f>F38-F40</f>
        <v>3.2675187053363447E-2</v>
      </c>
      <c r="G42" s="209">
        <f>G38-G40</f>
        <v>5.8884086354765872E-2</v>
      </c>
    </row>
    <row r="43" spans="2:7" x14ac:dyDescent="0.25">
      <c r="B43" s="44"/>
      <c r="C43" s="14"/>
      <c r="D43" s="14"/>
      <c r="E43" s="14"/>
      <c r="F43" s="14"/>
      <c r="G43" s="14"/>
    </row>
    <row r="44" spans="2:7" x14ac:dyDescent="0.25">
      <c r="B44" s="44" t="s">
        <v>20</v>
      </c>
      <c r="C44" s="14"/>
      <c r="D44" s="14"/>
      <c r="E44" s="14"/>
      <c r="F44" s="14"/>
      <c r="G44" s="14"/>
    </row>
    <row r="45" spans="2:7" x14ac:dyDescent="0.25">
      <c r="B45" s="44"/>
      <c r="C45" s="14"/>
      <c r="D45" s="14"/>
      <c r="E45" s="14"/>
      <c r="F45" s="14"/>
      <c r="G45" s="14"/>
    </row>
    <row r="46" spans="2:7" x14ac:dyDescent="0.25">
      <c r="B46" s="48" t="s">
        <v>21</v>
      </c>
      <c r="C46" s="14"/>
      <c r="D46" s="14"/>
      <c r="E46" s="14"/>
      <c r="F46" s="14"/>
      <c r="G46" s="14"/>
    </row>
    <row r="47" spans="2:7" x14ac:dyDescent="0.25">
      <c r="B47" s="44" t="s">
        <v>22</v>
      </c>
      <c r="C47" s="14">
        <f>BS_Input!C13/BS_Input!C$45</f>
        <v>0.13938231472510457</v>
      </c>
      <c r="D47" s="14">
        <f>BS_Input!D13/BS_Input!D$45</f>
        <v>0.13384071598386094</v>
      </c>
      <c r="E47" s="14">
        <f>BS_Input!E13/BS_Input!E$45</f>
        <v>0.12195079996275293</v>
      </c>
      <c r="F47" s="14">
        <f>BS_Input!F13/BS_Input!F$45</f>
        <v>9.8003911305492755E-2</v>
      </c>
      <c r="G47" s="14">
        <f>BS_Input!G13/BS_Input!G$45</f>
        <v>8.0872935241646307E-2</v>
      </c>
    </row>
    <row r="48" spans="2:7" x14ac:dyDescent="0.25">
      <c r="B48" s="44" t="s">
        <v>23</v>
      </c>
      <c r="C48" s="14">
        <f>BS_Input!C14/BS_Input!C$45</f>
        <v>1.1596024430021249E-2</v>
      </c>
      <c r="D48" s="14">
        <f>BS_Input!D14/BS_Input!D$45</f>
        <v>5.5452188384826351E-3</v>
      </c>
      <c r="E48" s="14">
        <f>BS_Input!E14/BS_Input!E$45</f>
        <v>3.1967318015870354E-3</v>
      </c>
      <c r="F48" s="14">
        <f>BS_Input!F14/BS_Input!F$45</f>
        <v>2.542549562358061E-3</v>
      </c>
      <c r="G48" s="14">
        <f>BS_Input!G14/BS_Input!G$45</f>
        <v>2.5152060745670369E-3</v>
      </c>
    </row>
    <row r="49" spans="2:7" x14ac:dyDescent="0.25">
      <c r="B49" s="44" t="s">
        <v>24</v>
      </c>
      <c r="C49" s="14">
        <f>BS_Input!C15/BS_Input!C$45</f>
        <v>1.3676709805108525E-2</v>
      </c>
      <c r="D49" s="14">
        <f>BS_Input!D15/BS_Input!D$45</f>
        <v>9.9165923207502719E-3</v>
      </c>
      <c r="E49" s="14">
        <f>BS_Input!E15/BS_Input!E$45</f>
        <v>9.8000540357305529E-3</v>
      </c>
      <c r="F49" s="14">
        <f>BS_Input!F15/BS_Input!F$45</f>
        <v>7.2967426678553216E-3</v>
      </c>
      <c r="G49" s="14">
        <f>BS_Input!G15/BS_Input!G$45</f>
        <v>5.8419644205788736E-3</v>
      </c>
    </row>
    <row r="50" spans="2:7" x14ac:dyDescent="0.25">
      <c r="B50" s="44" t="s">
        <v>25</v>
      </c>
      <c r="C50" s="14">
        <f>BS_Input!C16/BS_Input!C$45</f>
        <v>2.9259162700521361E-2</v>
      </c>
      <c r="D50" s="14">
        <f>BS_Input!D16/BS_Input!D$45</f>
        <v>2.9495182313302604E-2</v>
      </c>
      <c r="E50" s="14">
        <f>BS_Input!E16/BS_Input!E$45</f>
        <v>2.3665402316197091E-2</v>
      </c>
      <c r="F50" s="14">
        <f>BS_Input!F16/BS_Input!F$45</f>
        <v>2.1471616358049447E-2</v>
      </c>
      <c r="G50" s="14">
        <f>BS_Input!G16/BS_Input!G$45</f>
        <v>1.7690982296011588E-2</v>
      </c>
    </row>
    <row r="51" spans="2:7" x14ac:dyDescent="0.25">
      <c r="B51" s="44" t="s">
        <v>26</v>
      </c>
      <c r="C51" s="14">
        <f>BS_Input!C17/BS_Input!C$45</f>
        <v>2.8318880705098717E-2</v>
      </c>
      <c r="D51" s="14">
        <f>BS_Input!D17/BS_Input!D$45</f>
        <v>2.8431637533289259E-2</v>
      </c>
      <c r="E51" s="14">
        <f>BS_Input!E17/BS_Input!E$45</f>
        <v>2.5648853070977164E-2</v>
      </c>
      <c r="F51" s="14">
        <f>BS_Input!F17/BS_Input!F$45</f>
        <v>2.1757755963845549E-2</v>
      </c>
      <c r="G51" s="14">
        <f>BS_Input!G17/BS_Input!G$45</f>
        <v>1.6144732093160467E-2</v>
      </c>
    </row>
    <row r="52" spans="2:7" x14ac:dyDescent="0.25">
      <c r="B52" s="44" t="s">
        <v>27</v>
      </c>
      <c r="C52" s="14">
        <f>BS_Input!C18/BS_Input!C$45</f>
        <v>3.4560936830360539E-3</v>
      </c>
      <c r="D52" s="14">
        <f>BS_Input!D18/BS_Input!D$45</f>
        <v>2.4311292948584E-3</v>
      </c>
      <c r="E52" s="14">
        <f>BS_Input!E18/BS_Input!E$45</f>
        <v>2.307986233273808E-3</v>
      </c>
      <c r="F52" s="14">
        <f>BS_Input!F18/BS_Input!F$45</f>
        <v>2.3565405465851177E-3</v>
      </c>
      <c r="G52" s="14">
        <f>BS_Input!G18/BS_Input!G$45</f>
        <v>3.6157011051949693E-3</v>
      </c>
    </row>
    <row r="53" spans="2:7" x14ac:dyDescent="0.25">
      <c r="B53" s="44" t="s">
        <v>28</v>
      </c>
      <c r="C53" s="14">
        <f>BS_Input!C19/BS_Input!C$45</f>
        <v>2.7542262856159673E-3</v>
      </c>
      <c r="D53" s="14">
        <f>BS_Input!D19/BS_Input!D$45</f>
        <v>9.8129478138021678E-4</v>
      </c>
      <c r="E53" s="14">
        <f>BS_Input!E19/BS_Input!E$45</f>
        <v>1.0687882189263586E-3</v>
      </c>
      <c r="F53" s="14">
        <f>BS_Input!F19/BS_Input!F$45</f>
        <v>1.00989374280654E-3</v>
      </c>
      <c r="G53" s="14">
        <f>BS_Input!G19/BS_Input!G$45</f>
        <v>1.9083523818785746E-3</v>
      </c>
    </row>
    <row r="54" spans="2:7" x14ac:dyDescent="0.25">
      <c r="B54" s="44" t="s">
        <v>29</v>
      </c>
      <c r="C54" s="14"/>
      <c r="D54" s="14"/>
      <c r="E54" s="14"/>
      <c r="F54" s="14"/>
      <c r="G54" s="14"/>
    </row>
    <row r="55" spans="2:7" x14ac:dyDescent="0.25">
      <c r="B55" s="44" t="s">
        <v>30</v>
      </c>
      <c r="C55" s="14">
        <f>BS_Input!C21/BS_Input!C$45</f>
        <v>1.7627730161885874E-2</v>
      </c>
      <c r="D55" s="14">
        <f>BS_Input!D21/BS_Input!D$45</f>
        <v>1.9251016298574151E-2</v>
      </c>
      <c r="E55" s="14">
        <f>BS_Input!E21/BS_Input!E$45</f>
        <v>2.1831948877978784E-2</v>
      </c>
      <c r="F55" s="14">
        <f>BS_Input!F21/BS_Input!F$45</f>
        <v>2.3493048324155611E-2</v>
      </c>
      <c r="G55" s="14">
        <f>BS_Input!G21/BS_Input!G$45</f>
        <v>1.7385338497550862E-2</v>
      </c>
    </row>
    <row r="56" spans="2:7" x14ac:dyDescent="0.25">
      <c r="B56" s="44" t="s">
        <v>31</v>
      </c>
      <c r="C56" s="14">
        <f>BS_Input!C22/BS_Input!C$45</f>
        <v>1.5212372589822501E-5</v>
      </c>
      <c r="D56" s="14">
        <f>BS_Input!D22/BS_Input!D$45</f>
        <v>7.369219530713837E-6</v>
      </c>
      <c r="E56" s="14">
        <f>BS_Input!E22/BS_Input!E$45</f>
        <v>6.8806108514572429E-7</v>
      </c>
      <c r="F56" s="14">
        <f>BS_Input!F22/BS_Input!F$45</f>
        <v>5.1892495559445866E-5</v>
      </c>
      <c r="G56" s="14">
        <f>BS_Input!G22/BS_Input!G$45</f>
        <v>3.7688185980408647E-5</v>
      </c>
    </row>
    <row r="57" spans="2:7" x14ac:dyDescent="0.25">
      <c r="B57" s="44" t="s">
        <v>32</v>
      </c>
      <c r="C57" s="14">
        <f>BS_Input!C23/BS_Input!C$45</f>
        <v>0.31531891165440851</v>
      </c>
      <c r="D57" s="14">
        <f>BS_Input!D23/BS_Input!D$45</f>
        <v>0.36757476845793374</v>
      </c>
      <c r="E57" s="14">
        <f>BS_Input!E23/BS_Input!E$45</f>
        <v>0.34152439474706642</v>
      </c>
      <c r="F57" s="14">
        <f>BS_Input!F23/BS_Input!F$45</f>
        <v>0.3589787629961923</v>
      </c>
      <c r="G57" s="14">
        <f>BS_Input!G23/BS_Input!G$45</f>
        <v>0.40486334263763513</v>
      </c>
    </row>
    <row r="58" spans="2:7" x14ac:dyDescent="0.25">
      <c r="B58" s="44" t="s">
        <v>33</v>
      </c>
      <c r="C58" s="14">
        <f>BS_Input!C24/BS_Input!C$45</f>
        <v>1.4878749521990533E-2</v>
      </c>
      <c r="D58" s="14">
        <f>BS_Input!D24/BS_Input!D$45</f>
        <v>1.1388772209579651E-2</v>
      </c>
      <c r="E58" s="14">
        <f>BS_Input!E24/BS_Input!E$45</f>
        <v>9.118414854046188E-3</v>
      </c>
      <c r="F58" s="14">
        <f>BS_Input!F24/BS_Input!F$45</f>
        <v>9.0667518385748706E-3</v>
      </c>
      <c r="G58" s="14">
        <f>BS_Input!G24/BS_Input!G$45</f>
        <v>7.6614909209898963E-3</v>
      </c>
    </row>
    <row r="59" spans="2:7" x14ac:dyDescent="0.25">
      <c r="B59" s="44" t="s">
        <v>34</v>
      </c>
      <c r="C59" s="14">
        <f>BS_Input!C25/BS_Input!C$45</f>
        <v>2.0221964253022671E-4</v>
      </c>
      <c r="D59" s="14">
        <f>BS_Input!D25/BS_Input!D$45</f>
        <v>2.11805632318259E-4</v>
      </c>
      <c r="E59" s="14">
        <f>BS_Input!E25/BS_Input!E$45</f>
        <v>6.2223657466678342E-4</v>
      </c>
      <c r="F59" s="14">
        <f>BS_Input!F25/BS_Input!F$45</f>
        <v>8.967900288935223E-4</v>
      </c>
      <c r="G59" s="14">
        <f>BS_Input!G25/BS_Input!G$45</f>
        <v>9.6585213875282554E-4</v>
      </c>
    </row>
    <row r="60" spans="2:7" x14ac:dyDescent="0.25">
      <c r="B60" s="44" t="s">
        <v>35</v>
      </c>
      <c r="C60" s="14">
        <f>BS_Input!C26/BS_Input!C$45</f>
        <v>5.5929074673340528E-3</v>
      </c>
      <c r="D60" s="14">
        <f>BS_Input!D26/BS_Input!D$45</f>
        <v>4.1652730521667047E-3</v>
      </c>
      <c r="E60" s="14">
        <f>BS_Input!E26/BS_Input!E$45</f>
        <v>4.5572579206151808E-3</v>
      </c>
      <c r="F60" s="14">
        <f>BS_Input!F26/BS_Input!F$45</f>
        <v>4.0582124168144114E-3</v>
      </c>
      <c r="G60" s="14">
        <f>BS_Input!G26/BS_Input!G$45</f>
        <v>2.6854679971138242E-3</v>
      </c>
    </row>
    <row r="61" spans="2:7" x14ac:dyDescent="0.25">
      <c r="B61" s="44" t="s">
        <v>36</v>
      </c>
      <c r="C61" s="14">
        <f>BS_Input!C27/BS_Input!C$45</f>
        <v>1.6380053327234394E-2</v>
      </c>
      <c r="D61" s="14">
        <f>BS_Input!D27/BS_Input!D$45</f>
        <v>8.3412433584908966E-3</v>
      </c>
      <c r="E61" s="14">
        <f>BS_Input!E27/BS_Input!E$45</f>
        <v>7.7817415193030945E-3</v>
      </c>
      <c r="F61" s="14">
        <f>BS_Input!F27/BS_Input!F$45</f>
        <v>6.0392632508126931E-3</v>
      </c>
      <c r="G61" s="14">
        <f>BS_Input!G27/BS_Input!G$45</f>
        <v>7.329982681170067E-3</v>
      </c>
    </row>
    <row r="62" spans="2:7" x14ac:dyDescent="0.25">
      <c r="B62" s="44"/>
      <c r="C62" s="14"/>
      <c r="D62" s="14"/>
      <c r="E62" s="14"/>
      <c r="F62" s="14"/>
      <c r="G62" s="14"/>
    </row>
    <row r="63" spans="2:7" x14ac:dyDescent="0.25">
      <c r="B63" s="210" t="s">
        <v>37</v>
      </c>
      <c r="C63" s="209">
        <f>SUM(C47:C61)</f>
        <v>0.5984591964824798</v>
      </c>
      <c r="D63" s="209">
        <f>SUM(D47:D61)</f>
        <v>0.6215820192945184</v>
      </c>
      <c r="E63" s="209">
        <f>SUM(E47:E61)</f>
        <v>0.57307529819420655</v>
      </c>
      <c r="F63" s="209">
        <f>SUM(F47:F61)</f>
        <v>0.55702373149799567</v>
      </c>
      <c r="G63" s="209">
        <f>SUM(G47:G61)</f>
        <v>0.56951903667223069</v>
      </c>
    </row>
    <row r="64" spans="2:7" x14ac:dyDescent="0.25">
      <c r="B64" s="44"/>
      <c r="C64" s="14"/>
      <c r="D64" s="14"/>
      <c r="E64" s="14"/>
      <c r="F64" s="14"/>
      <c r="G64" s="14"/>
    </row>
    <row r="65" spans="2:7" x14ac:dyDescent="0.25">
      <c r="B65" s="44"/>
      <c r="C65" s="14"/>
      <c r="D65" s="14"/>
      <c r="E65" s="14"/>
      <c r="F65" s="14"/>
      <c r="G65" s="14"/>
    </row>
    <row r="66" spans="2:7" x14ac:dyDescent="0.25">
      <c r="B66" s="48" t="s">
        <v>38</v>
      </c>
      <c r="C66" s="14"/>
      <c r="D66" s="14"/>
      <c r="E66" s="14"/>
      <c r="F66" s="14"/>
      <c r="G66" s="14"/>
    </row>
    <row r="67" spans="2:7" x14ac:dyDescent="0.25">
      <c r="B67" s="44" t="s">
        <v>39</v>
      </c>
      <c r="C67" s="14">
        <f>BS_Input!C31/BS_Input!C$45</f>
        <v>4.0296788143581716E-2</v>
      </c>
      <c r="D67" s="14">
        <f>BS_Input!D31/BS_Input!D$45</f>
        <v>5.9330537308813318E-2</v>
      </c>
      <c r="E67" s="14">
        <f>BS_Input!E31/BS_Input!E$45</f>
        <v>5.826845299556567E-2</v>
      </c>
      <c r="F67" s="14">
        <f>BS_Input!F31/BS_Input!F$45</f>
        <v>6.286355580900857E-2</v>
      </c>
      <c r="G67" s="14">
        <f>BS_Input!G31/BS_Input!G$45</f>
        <v>5.9237108349544189E-2</v>
      </c>
    </row>
    <row r="68" spans="2:7" x14ac:dyDescent="0.25">
      <c r="B68" s="44" t="s">
        <v>29</v>
      </c>
      <c r="C68" s="14">
        <f>BS_Input!C32/BS_Input!C$45</f>
        <v>0</v>
      </c>
      <c r="D68" s="14">
        <f>BS_Input!D32/BS_Input!D$45</f>
        <v>0</v>
      </c>
      <c r="E68" s="14">
        <f>BS_Input!E32/BS_Input!E$45</f>
        <v>0</v>
      </c>
      <c r="F68" s="14">
        <f>BS_Input!F32/BS_Input!F$45</f>
        <v>0</v>
      </c>
      <c r="G68" s="14">
        <f>BS_Input!G32/BS_Input!G$45</f>
        <v>0</v>
      </c>
    </row>
    <row r="69" spans="2:7" x14ac:dyDescent="0.25">
      <c r="B69" s="44" t="s">
        <v>30</v>
      </c>
      <c r="C69" s="14">
        <f>BS_Input!C33/BS_Input!C$45</f>
        <v>4.8060606092397854E-3</v>
      </c>
      <c r="D69" s="14">
        <f>BS_Input!D33/BS_Input!D$45</f>
        <v>5.8126501924198309E-3</v>
      </c>
      <c r="E69" s="14">
        <f>BS_Input!E33/BS_Input!E$45</f>
        <v>3.7926615074317473E-2</v>
      </c>
      <c r="F69" s="14">
        <f>BS_Input!F33/BS_Input!F$45</f>
        <v>6.4159223717501643E-2</v>
      </c>
      <c r="G69" s="14">
        <f>BS_Input!G33/BS_Input!G$45</f>
        <v>1.5122421573840913E-2</v>
      </c>
    </row>
    <row r="70" spans="2:7" x14ac:dyDescent="0.25">
      <c r="B70" s="44" t="s">
        <v>31</v>
      </c>
      <c r="C70" s="14">
        <f>BS_Input!C34/BS_Input!C$45</f>
        <v>3.9241626506877306E-2</v>
      </c>
      <c r="D70" s="14">
        <f>BS_Input!D34/BS_Input!D$45</f>
        <v>7.1812093459770118E-2</v>
      </c>
      <c r="E70" s="14">
        <f>BS_Input!E34/BS_Input!E$45</f>
        <v>7.5199572117746513E-2</v>
      </c>
      <c r="F70" s="14">
        <f>BS_Input!F34/BS_Input!F$45</f>
        <v>7.6511464861197614E-2</v>
      </c>
      <c r="G70" s="14">
        <f>BS_Input!G34/BS_Input!G$45</f>
        <v>5.7613412619423522E-2</v>
      </c>
    </row>
    <row r="71" spans="2:7" x14ac:dyDescent="0.25">
      <c r="B71" s="44" t="s">
        <v>40</v>
      </c>
      <c r="C71" s="14">
        <f>BS_Input!C35/BS_Input!C$45</f>
        <v>5.7393658958539984E-2</v>
      </c>
      <c r="D71" s="14">
        <f>BS_Input!D35/BS_Input!D$45</f>
        <v>3.5206802883123937E-2</v>
      </c>
      <c r="E71" s="14">
        <f>BS_Input!E35/BS_Input!E$45</f>
        <v>4.6580818049585346E-2</v>
      </c>
      <c r="F71" s="14">
        <f>BS_Input!F35/BS_Input!F$45</f>
        <v>3.4873584216495494E-2</v>
      </c>
      <c r="G71" s="14">
        <f>BS_Input!G35/BS_Input!G$45</f>
        <v>7.7110324109531628E-2</v>
      </c>
    </row>
    <row r="72" spans="2:7" x14ac:dyDescent="0.25">
      <c r="B72" s="44" t="s">
        <v>41</v>
      </c>
      <c r="C72" s="14">
        <f>BS_Input!C36/BS_Input!C$45</f>
        <v>1.2343004380638743E-3</v>
      </c>
      <c r="D72" s="14">
        <f>BS_Input!D36/BS_Input!D$45</f>
        <v>7.0718358651356752E-3</v>
      </c>
      <c r="E72" s="14">
        <f>BS_Input!E36/BS_Input!E$45</f>
        <v>1.5706141036926403E-3</v>
      </c>
      <c r="F72" s="14">
        <f>BS_Input!F36/BS_Input!F$45</f>
        <v>5.0821756038395326E-3</v>
      </c>
      <c r="G72" s="14">
        <f>BS_Input!G36/BS_Input!G$45</f>
        <v>2.7530554773053571E-2</v>
      </c>
    </row>
    <row r="73" spans="2:7" x14ac:dyDescent="0.25">
      <c r="B73" s="44" t="s">
        <v>42</v>
      </c>
      <c r="C73" s="14">
        <f>BS_Input!C37/BS_Input!C$45</f>
        <v>0.20691318403875902</v>
      </c>
      <c r="D73" s="14">
        <f>BS_Input!D37/BS_Input!D$45</f>
        <v>0.1487859686256667</v>
      </c>
      <c r="E73" s="14">
        <f>BS_Input!E37/BS_Input!E$45</f>
        <v>0.15637403734520344</v>
      </c>
      <c r="F73" s="14">
        <f>BS_Input!F37/BS_Input!F$45</f>
        <v>0.15862713652276061</v>
      </c>
      <c r="G73" s="14">
        <f>BS_Input!G37/BS_Input!G$45</f>
        <v>0.16177794239057791</v>
      </c>
    </row>
    <row r="74" spans="2:7" x14ac:dyDescent="0.25">
      <c r="B74" s="44" t="s">
        <v>43</v>
      </c>
      <c r="C74" s="14">
        <f>BS_Input!C38/BS_Input!C$45</f>
        <v>2.9462956036767778E-2</v>
      </c>
      <c r="D74" s="14">
        <f>BS_Input!D38/BS_Input!D$45</f>
        <v>2.5981490897706436E-2</v>
      </c>
      <c r="E74" s="14">
        <f>BS_Input!E38/BS_Input!E$45</f>
        <v>2.1156731599755781E-2</v>
      </c>
      <c r="F74" s="14">
        <f>BS_Input!F38/BS_Input!F$45</f>
        <v>1.4291266365093307E-2</v>
      </c>
      <c r="G74" s="14">
        <f>BS_Input!G38/BS_Input!G$45</f>
        <v>1.1673435267806339E-2</v>
      </c>
    </row>
    <row r="75" spans="2:7" x14ac:dyDescent="0.25">
      <c r="B75" s="44" t="s">
        <v>76</v>
      </c>
      <c r="C75" s="14">
        <f>BS_Input!C39/BS_Input!C$45</f>
        <v>0</v>
      </c>
      <c r="D75" s="14">
        <f>BS_Input!D39/BS_Input!D$45</f>
        <v>0</v>
      </c>
      <c r="E75" s="14">
        <f>BS_Input!E39/BS_Input!E$45</f>
        <v>0</v>
      </c>
      <c r="F75" s="14">
        <f>BS_Input!F39/BS_Input!F$45</f>
        <v>3.362049008076775E-5</v>
      </c>
      <c r="G75" s="14">
        <f>BS_Input!G39/BS_Input!G$45</f>
        <v>5.6901770990028747E-5</v>
      </c>
    </row>
    <row r="76" spans="2:7" x14ac:dyDescent="0.25">
      <c r="B76" s="44" t="s">
        <v>44</v>
      </c>
      <c r="C76" s="14">
        <f>BS_Input!C40/BS_Input!C$45</f>
        <v>2.8090432833965349E-4</v>
      </c>
      <c r="D76" s="14">
        <f>BS_Input!D40/BS_Input!D$45</f>
        <v>4.6877744885702211E-4</v>
      </c>
      <c r="E76" s="14">
        <f>BS_Input!E40/BS_Input!E$45</f>
        <v>5.0090846998608737E-4</v>
      </c>
      <c r="F76" s="14">
        <f>BS_Input!F40/BS_Input!F$45</f>
        <v>6.0005265991978961E-4</v>
      </c>
      <c r="G76" s="14">
        <f>BS_Input!G40/BS_Input!G$45</f>
        <v>6.9597516777154648E-4</v>
      </c>
    </row>
    <row r="77" spans="2:7" x14ac:dyDescent="0.25">
      <c r="B77" s="44" t="s">
        <v>45</v>
      </c>
      <c r="C77" s="14">
        <f>BS_Input!C41/BS_Input!C$45</f>
        <v>2.1911324457351063E-2</v>
      </c>
      <c r="D77" s="14">
        <f>BS_Input!D41/BS_Input!D$45</f>
        <v>2.394782402398847E-2</v>
      </c>
      <c r="E77" s="14">
        <f>BS_Input!E41/BS_Input!E$45</f>
        <v>2.7887574488346306E-2</v>
      </c>
      <c r="F77" s="14">
        <f>BS_Input!F41/BS_Input!F$45</f>
        <v>2.4620065622080477E-2</v>
      </c>
      <c r="G77" s="14">
        <f>BS_Input!G41/BS_Input!G$45</f>
        <v>1.7602156414544035E-2</v>
      </c>
    </row>
    <row r="78" spans="2:7" x14ac:dyDescent="0.25">
      <c r="B78" s="44"/>
      <c r="C78" s="14"/>
      <c r="D78" s="14"/>
      <c r="E78" s="14"/>
      <c r="F78" s="14"/>
      <c r="G78" s="14"/>
    </row>
    <row r="79" spans="2:7" x14ac:dyDescent="0.25">
      <c r="B79" s="210" t="s">
        <v>46</v>
      </c>
      <c r="C79" s="209">
        <f>SUM(C67:C77)</f>
        <v>0.4015408035175202</v>
      </c>
      <c r="D79" s="209">
        <f>SUM(D67:D77)</f>
        <v>0.37841798070548155</v>
      </c>
      <c r="E79" s="209">
        <f>SUM(E67:E77)</f>
        <v>0.42546532424419925</v>
      </c>
      <c r="F79" s="209">
        <f>SUM(F67:F77)</f>
        <v>0.44166214586797781</v>
      </c>
      <c r="G79" s="209">
        <f>SUM(G67:G77)</f>
        <v>0.42842023243708371</v>
      </c>
    </row>
    <row r="80" spans="2:7" x14ac:dyDescent="0.25">
      <c r="B80" s="44" t="s">
        <v>74</v>
      </c>
      <c r="C80" s="14">
        <f>BS_Input!C44/BS_Input!C$45</f>
        <v>0</v>
      </c>
      <c r="D80" s="14">
        <f>BS_Input!D44/BS_Input!D$45</f>
        <v>0</v>
      </c>
      <c r="E80" s="14">
        <f>BS_Input!E44/BS_Input!E$45</f>
        <v>1.4593775615940813E-3</v>
      </c>
      <c r="F80" s="14">
        <f>BS_Input!F44/BS_Input!F$45</f>
        <v>1.3141226340265307E-3</v>
      </c>
      <c r="G80" s="14">
        <f>BS_Input!G44/BS_Input!G$45</f>
        <v>2.0607308906856387E-3</v>
      </c>
    </row>
    <row r="81" spans="2:7" x14ac:dyDescent="0.25">
      <c r="B81" s="210" t="s">
        <v>47</v>
      </c>
      <c r="C81" s="209">
        <f>SUM(C63,C79,C80)</f>
        <v>1</v>
      </c>
      <c r="D81" s="209">
        <f>SUM(D63,D79,D80)</f>
        <v>1</v>
      </c>
      <c r="E81" s="209">
        <f>SUM(E63,E79,E80)</f>
        <v>0.99999999999999989</v>
      </c>
      <c r="F81" s="209">
        <f>SUM(F63,F79,F80)</f>
        <v>1</v>
      </c>
      <c r="G81" s="209">
        <f>SUM(G63,G79,G80)</f>
        <v>1</v>
      </c>
    </row>
    <row r="82" spans="2:7" x14ac:dyDescent="0.25">
      <c r="B82" s="44"/>
      <c r="C82" s="14"/>
      <c r="D82" s="14"/>
      <c r="E82" s="14"/>
      <c r="F82" s="14"/>
      <c r="G82" s="14"/>
    </row>
    <row r="83" spans="2:7" x14ac:dyDescent="0.25">
      <c r="B83" s="44" t="s">
        <v>48</v>
      </c>
      <c r="C83" s="14"/>
      <c r="D83" s="14"/>
      <c r="E83" s="14"/>
      <c r="F83" s="14"/>
      <c r="G83" s="14"/>
    </row>
    <row r="84" spans="2:7" x14ac:dyDescent="0.25">
      <c r="B84" s="44"/>
      <c r="C84" s="14"/>
      <c r="D84" s="14"/>
      <c r="E84" s="14"/>
      <c r="F84" s="14"/>
      <c r="G84" s="14"/>
    </row>
    <row r="85" spans="2:7" x14ac:dyDescent="0.25">
      <c r="B85" s="44" t="s">
        <v>49</v>
      </c>
      <c r="C85" s="14"/>
      <c r="D85" s="14"/>
      <c r="E85" s="14"/>
      <c r="F85" s="14"/>
      <c r="G85" s="14"/>
    </row>
    <row r="86" spans="2:7" x14ac:dyDescent="0.25">
      <c r="B86" s="44" t="s">
        <v>50</v>
      </c>
      <c r="C86" s="14">
        <f>BS_Input!C49/BS_Input!C$45</f>
        <v>7.6992965064524065E-3</v>
      </c>
      <c r="D86" s="14">
        <f>BS_Input!D49/BS_Input!D$45</f>
        <v>6.9781754620678932E-3</v>
      </c>
      <c r="E86" s="14">
        <f>BS_Input!E49/BS_Input!E$45</f>
        <v>6.7326777181509131E-3</v>
      </c>
      <c r="F86" s="14">
        <f>BS_Input!F49/BS_Input!F$45</f>
        <v>5.3648435285946839E-3</v>
      </c>
      <c r="G86" s="14">
        <f>BS_Input!G49/BS_Input!G$45</f>
        <v>4.3397576664421147E-3</v>
      </c>
    </row>
    <row r="87" spans="2:7" x14ac:dyDescent="0.25">
      <c r="B87" s="44" t="s">
        <v>51</v>
      </c>
      <c r="C87" s="14">
        <f>BS_Input!C50/BS_Input!C$45</f>
        <v>0.19658739271998796</v>
      </c>
      <c r="D87" s="14">
        <f>BS_Input!D50/BS_Input!D$45</f>
        <v>0.17991521594071533</v>
      </c>
      <c r="E87" s="14">
        <f>BS_Input!E50/BS_Input!E$45</f>
        <v>0.16078473825468259</v>
      </c>
      <c r="F87" s="14">
        <f>BS_Input!F50/BS_Input!F$45</f>
        <v>0.15093261229563446</v>
      </c>
      <c r="G87" s="14">
        <f>BS_Input!G50/BS_Input!G$45</f>
        <v>0.12874565144842351</v>
      </c>
    </row>
    <row r="88" spans="2:7" x14ac:dyDescent="0.25">
      <c r="B88" s="44" t="s">
        <v>52</v>
      </c>
      <c r="C88" s="14">
        <f>BS_Input!C51/BS_Input!C$45</f>
        <v>2.9036747321966715E-2</v>
      </c>
      <c r="D88" s="14">
        <f>BS_Input!D51/BS_Input!D$45</f>
        <v>3.0149141117463692E-2</v>
      </c>
      <c r="E88" s="14">
        <f>BS_Input!E51/BS_Input!E$45</f>
        <v>2.9501077733013029E-2</v>
      </c>
      <c r="F88" s="14">
        <f>BS_Input!F51/BS_Input!F$45</f>
        <v>4.1017180618591435E-2</v>
      </c>
      <c r="G88" s="14">
        <f>BS_Input!G51/BS_Input!G$45</f>
        <v>4.1530459591909367E-2</v>
      </c>
    </row>
    <row r="89" spans="2:7" x14ac:dyDescent="0.25">
      <c r="B89" s="44"/>
      <c r="C89" s="14"/>
      <c r="D89" s="14"/>
      <c r="E89" s="14"/>
      <c r="F89" s="14"/>
      <c r="G89" s="14"/>
    </row>
    <row r="90" spans="2:7" x14ac:dyDescent="0.25">
      <c r="B90" s="210" t="s">
        <v>53</v>
      </c>
      <c r="C90" s="209">
        <f>SUM(C86:C88)</f>
        <v>0.23332343654840706</v>
      </c>
      <c r="D90" s="209">
        <f>SUM(D86:D88)</f>
        <v>0.21704253252024691</v>
      </c>
      <c r="E90" s="209">
        <f>SUM(E86:E88)</f>
        <v>0.19701849370584654</v>
      </c>
      <c r="F90" s="209">
        <f>SUM(F86:F88)</f>
        <v>0.19731463644282057</v>
      </c>
      <c r="G90" s="209">
        <f>SUM(G86:G88)</f>
        <v>0.17461586870677501</v>
      </c>
    </row>
    <row r="91" spans="2:7" x14ac:dyDescent="0.25">
      <c r="B91" s="44"/>
      <c r="C91" s="14"/>
      <c r="D91" s="14"/>
      <c r="E91" s="14"/>
      <c r="F91" s="14"/>
      <c r="G91" s="14"/>
    </row>
    <row r="92" spans="2:7" x14ac:dyDescent="0.25">
      <c r="B92" s="44" t="s">
        <v>54</v>
      </c>
      <c r="C92" s="14"/>
      <c r="D92" s="14"/>
      <c r="E92" s="14"/>
      <c r="F92" s="14"/>
      <c r="G92" s="14"/>
    </row>
    <row r="93" spans="2:7" x14ac:dyDescent="0.25">
      <c r="B93" s="44" t="s">
        <v>55</v>
      </c>
      <c r="C93" s="14"/>
      <c r="D93" s="14"/>
      <c r="E93" s="14"/>
      <c r="F93" s="14"/>
      <c r="G93" s="14"/>
    </row>
    <row r="94" spans="2:7" x14ac:dyDescent="0.25">
      <c r="B94" s="44" t="s">
        <v>56</v>
      </c>
      <c r="C94" s="14">
        <f>BS_Input!C57/BS_Input!C$45</f>
        <v>0.34906362601063923</v>
      </c>
      <c r="D94" s="14">
        <f>BS_Input!D57/BS_Input!D$45</f>
        <v>0.36999733994946615</v>
      </c>
      <c r="E94" s="14">
        <f>BS_Input!E57/BS_Input!E$45</f>
        <v>0.35084922792665629</v>
      </c>
      <c r="F94" s="14">
        <f>BS_Input!F57/BS_Input!F$45</f>
        <v>0.35635636476989241</v>
      </c>
      <c r="G94" s="14">
        <f>BS_Input!G57/BS_Input!G$45</f>
        <v>0.39455407190551178</v>
      </c>
    </row>
    <row r="95" spans="2:7" x14ac:dyDescent="0.25">
      <c r="B95" s="44" t="s">
        <v>57</v>
      </c>
      <c r="C95" s="14">
        <f>BS_Input!C58/BS_Input!C$45</f>
        <v>3.7440796330985558E-3</v>
      </c>
      <c r="D95" s="14">
        <f>BS_Input!D58/BS_Input!D$45</f>
        <v>3.4575902604591208E-3</v>
      </c>
      <c r="E95" s="14">
        <f>BS_Input!E58/BS_Input!E$45</f>
        <v>3.6827322813949652E-3</v>
      </c>
      <c r="F95" s="14">
        <f>BS_Input!F58/BS_Input!F$45</f>
        <v>3.4528608753058047E-3</v>
      </c>
      <c r="G95" s="14">
        <f>BS_Input!G58/BS_Input!G$45</f>
        <v>2.23483553023435E-3</v>
      </c>
    </row>
    <row r="96" spans="2:7" x14ac:dyDescent="0.25">
      <c r="B96" s="44" t="s">
        <v>58</v>
      </c>
      <c r="C96" s="14">
        <f>BS_Input!C59/BS_Input!C$45</f>
        <v>4.4037195824675832E-3</v>
      </c>
      <c r="D96" s="14">
        <f>BS_Input!D59/BS_Input!D$45</f>
        <v>4.0780310015934157E-3</v>
      </c>
      <c r="E96" s="14">
        <f>BS_Input!E59/BS_Input!E$45</f>
        <v>3.2843449130955907E-3</v>
      </c>
      <c r="F96" s="14">
        <f>BS_Input!F59/BS_Input!F$45</f>
        <v>2.9967916185579986E-3</v>
      </c>
      <c r="G96" s="14">
        <f>BS_Input!G59/BS_Input!G$45</f>
        <v>1.8830791277505358E-3</v>
      </c>
    </row>
    <row r="97" spans="2:7" x14ac:dyDescent="0.25">
      <c r="B97" s="44" t="s">
        <v>59</v>
      </c>
      <c r="C97" s="14">
        <f>BS_Input!C60/BS_Input!C$45</f>
        <v>5.9941993649621286E-3</v>
      </c>
      <c r="D97" s="14">
        <f>BS_Input!D60/BS_Input!D$45</f>
        <v>5.4527470192101283E-3</v>
      </c>
      <c r="E97" s="14">
        <f>BS_Input!E60/BS_Input!E$45</f>
        <v>6.5134155856844756E-3</v>
      </c>
      <c r="F97" s="14">
        <f>BS_Input!F60/BS_Input!F$45</f>
        <v>1.157129562953728E-2</v>
      </c>
      <c r="G97" s="14">
        <f>BS_Input!G60/BS_Input!G$45</f>
        <v>1.2673724062768715E-2</v>
      </c>
    </row>
    <row r="98" spans="2:7" x14ac:dyDescent="0.25">
      <c r="B98" s="44" t="s">
        <v>60</v>
      </c>
      <c r="C98" s="14">
        <f>BS_Input!C61/BS_Input!C$45</f>
        <v>8.8800913581658699E-3</v>
      </c>
      <c r="D98" s="14">
        <f>BS_Input!D61/BS_Input!D$45</f>
        <v>9.1780063503654995E-3</v>
      </c>
      <c r="E98" s="14">
        <f>BS_Input!E61/BS_Input!E$45</f>
        <v>7.2436777507191375E-3</v>
      </c>
      <c r="F98" s="14">
        <f>BS_Input!F61/BS_Input!F$45</f>
        <v>1.3192387955605605E-2</v>
      </c>
      <c r="G98" s="14">
        <f>BS_Input!G61/BS_Input!G$45</f>
        <v>1.5471813227400464E-2</v>
      </c>
    </row>
    <row r="99" spans="2:7" x14ac:dyDescent="0.25">
      <c r="B99" s="44" t="s">
        <v>61</v>
      </c>
      <c r="C99" s="14">
        <f>BS_Input!C62/BS_Input!C$45</f>
        <v>6.5531229164950897E-3</v>
      </c>
      <c r="D99" s="14">
        <f>BS_Input!D62/BS_Input!D$45</f>
        <v>5.1268373425453328E-3</v>
      </c>
      <c r="E99" s="14">
        <f>BS_Input!E62/BS_Input!E$45</f>
        <v>4.4455626711265251E-3</v>
      </c>
      <c r="F99" s="14">
        <f>BS_Input!F62/BS_Input!F$45</f>
        <v>4.5687322498886782E-3</v>
      </c>
      <c r="G99" s="14">
        <f>BS_Input!G62/BS_Input!G$45</f>
        <v>4.1893005161360124E-3</v>
      </c>
    </row>
    <row r="100" spans="2:7" x14ac:dyDescent="0.25">
      <c r="B100" s="44" t="s">
        <v>62</v>
      </c>
      <c r="C100" s="14">
        <f>BS_Input!C63/BS_Input!C$45</f>
        <v>0</v>
      </c>
      <c r="D100" s="14">
        <f>BS_Input!D63/BS_Input!D$45</f>
        <v>0</v>
      </c>
      <c r="E100" s="14">
        <f>BS_Input!E63/BS_Input!E$45</f>
        <v>0</v>
      </c>
      <c r="F100" s="14">
        <f>BS_Input!F63/BS_Input!F$45</f>
        <v>2.4996103494831674E-4</v>
      </c>
      <c r="G100" s="14">
        <f>BS_Input!G63/BS_Input!G$45</f>
        <v>5.6458380566729823E-5</v>
      </c>
    </row>
    <row r="101" spans="2:7" x14ac:dyDescent="0.25">
      <c r="B101" s="44"/>
      <c r="C101" s="14"/>
      <c r="D101" s="14"/>
      <c r="E101" s="14"/>
      <c r="F101" s="14"/>
      <c r="G101" s="14"/>
    </row>
    <row r="102" spans="2:7" x14ac:dyDescent="0.25">
      <c r="B102" s="210" t="s">
        <v>63</v>
      </c>
      <c r="C102" s="209">
        <f>SUM(C94:C100)</f>
        <v>0.37863883886582844</v>
      </c>
      <c r="D102" s="209">
        <f>SUM(D94:D100)</f>
        <v>0.3972905519236396</v>
      </c>
      <c r="E102" s="209">
        <f>SUM(E94:E100)</f>
        <v>0.376018961128677</v>
      </c>
      <c r="F102" s="209">
        <f>SUM(F94:F100)</f>
        <v>0.39238839413373616</v>
      </c>
      <c r="G102" s="209">
        <f>SUM(G94:G100)</f>
        <v>0.43106328275036865</v>
      </c>
    </row>
    <row r="103" spans="2:7" x14ac:dyDescent="0.25">
      <c r="B103" s="44"/>
      <c r="C103" s="14"/>
      <c r="D103" s="14"/>
      <c r="E103" s="14"/>
      <c r="F103" s="14"/>
      <c r="G103" s="14"/>
    </row>
    <row r="104" spans="2:7" x14ac:dyDescent="0.25">
      <c r="B104" s="44" t="s">
        <v>64</v>
      </c>
      <c r="C104" s="14"/>
      <c r="D104" s="14"/>
      <c r="E104" s="14"/>
      <c r="F104" s="14"/>
      <c r="G104" s="14"/>
    </row>
    <row r="105" spans="2:7" x14ac:dyDescent="0.25">
      <c r="B105" s="44" t="s">
        <v>55</v>
      </c>
      <c r="C105" s="14"/>
      <c r="D105" s="14"/>
      <c r="E105" s="14"/>
      <c r="F105" s="14"/>
      <c r="G105" s="14"/>
    </row>
    <row r="106" spans="2:7" x14ac:dyDescent="0.25">
      <c r="B106" s="44" t="s">
        <v>56</v>
      </c>
      <c r="C106" s="14">
        <f>BS_Input!C69/BS_Input!C$45</f>
        <v>7.4558460885580394E-2</v>
      </c>
      <c r="D106" s="14">
        <f>BS_Input!D69/BS_Input!D$45</f>
        <v>6.179993900187962E-2</v>
      </c>
      <c r="E106" s="14">
        <f>BS_Input!E69/BS_Input!E$45</f>
        <v>0.19820861002945356</v>
      </c>
      <c r="F106" s="14">
        <f>BS_Input!F69/BS_Input!F$45</f>
        <v>0.20862208431324578</v>
      </c>
      <c r="G106" s="14">
        <f>BS_Input!G69/BS_Input!G$45</f>
        <v>0.20497392420920579</v>
      </c>
    </row>
    <row r="107" spans="2:7" x14ac:dyDescent="0.25">
      <c r="B107" s="44" t="s">
        <v>65</v>
      </c>
      <c r="C107" s="14">
        <f>BS_Input!C70/BS_Input!C$45</f>
        <v>0</v>
      </c>
      <c r="D107" s="14">
        <f>BS_Input!D70/BS_Input!D$45</f>
        <v>0</v>
      </c>
      <c r="E107" s="14">
        <f>BS_Input!E70/BS_Input!E$45</f>
        <v>0</v>
      </c>
      <c r="F107" s="14">
        <f>BS_Input!F70/BS_Input!F$45</f>
        <v>0</v>
      </c>
      <c r="G107" s="14">
        <f>BS_Input!G70/BS_Input!G$45</f>
        <v>0</v>
      </c>
    </row>
    <row r="108" spans="2:7" x14ac:dyDescent="0.25">
      <c r="B108" s="44" t="s">
        <v>66</v>
      </c>
      <c r="C108" s="14">
        <f>BS_Input!C71/BS_Input!C$45</f>
        <v>3.4280294784306918E-4</v>
      </c>
      <c r="D108" s="14">
        <f>BS_Input!D71/BS_Input!D$45</f>
        <v>9.237673256888377E-4</v>
      </c>
      <c r="E108" s="14">
        <f>BS_Input!E71/BS_Input!E$45</f>
        <v>1.4364421920892239E-3</v>
      </c>
      <c r="F108" s="14">
        <f>BS_Input!F71/BS_Input!F$45</f>
        <v>1.4085889023512967E-3</v>
      </c>
      <c r="G108" s="14">
        <f>BS_Input!G71/BS_Input!G$45</f>
        <v>1.6978897276193512E-3</v>
      </c>
    </row>
    <row r="109" spans="2:7" x14ac:dyDescent="0.25">
      <c r="B109" s="44" t="s">
        <v>67</v>
      </c>
      <c r="C109" s="14">
        <f>BS_Input!C72/BS_Input!C$45</f>
        <v>7.4003733850623948E-2</v>
      </c>
      <c r="D109" s="14">
        <f>BS_Input!D72/BS_Input!D$45</f>
        <v>0.12616507955072481</v>
      </c>
      <c r="E109" s="14">
        <f>BS_Input!E72/BS_Input!E$45</f>
        <v>0.16484292253487207</v>
      </c>
      <c r="F109" s="14">
        <f>BS_Input!F72/BS_Input!F$45</f>
        <v>0.137127381276274</v>
      </c>
      <c r="G109" s="14">
        <f>BS_Input!G72/BS_Input!G$45</f>
        <v>9.8774675785532659E-2</v>
      </c>
    </row>
    <row r="110" spans="2:7" x14ac:dyDescent="0.25">
      <c r="B110" s="44" t="s">
        <v>68</v>
      </c>
      <c r="C110" s="14">
        <f>BS_Input!C73/BS_Input!C$45</f>
        <v>9.6441196573754048E-4</v>
      </c>
      <c r="D110" s="14">
        <f>BS_Input!D73/BS_Input!D$45</f>
        <v>9.8913943442904113E-4</v>
      </c>
      <c r="E110" s="14">
        <f>BS_Input!E73/BS_Input!E$45</f>
        <v>1.0343851646690723E-3</v>
      </c>
      <c r="F110" s="14">
        <f>BS_Input!F73/BS_Input!F$45</f>
        <v>9.4137372226149694E-4</v>
      </c>
      <c r="G110" s="14">
        <f>BS_Input!G73/BS_Input!G$45</f>
        <v>1.2803637456795299E-3</v>
      </c>
    </row>
    <row r="111" spans="2:7" x14ac:dyDescent="0.25">
      <c r="B111" s="44" t="s">
        <v>69</v>
      </c>
      <c r="C111" s="14">
        <f>BS_Input!C74/BS_Input!C$45</f>
        <v>0.20128224563995042</v>
      </c>
      <c r="D111" s="14">
        <f>BS_Input!D74/BS_Input!D$45</f>
        <v>0.16466425954676445</v>
      </c>
      <c r="E111" s="14">
        <f>BS_Input!E74/BS_Input!E$45</f>
        <v>2.7248595093940974E-2</v>
      </c>
      <c r="F111" s="14">
        <f>BS_Input!F74/BS_Input!F$45</f>
        <v>2.9267367495527469E-2</v>
      </c>
      <c r="G111" s="14">
        <f>BS_Input!G74/BS_Input!G$45</f>
        <v>5.0750615647602755E-2</v>
      </c>
    </row>
    <row r="112" spans="2:7" x14ac:dyDescent="0.25">
      <c r="B112" s="44" t="s">
        <v>61</v>
      </c>
      <c r="C112" s="14">
        <f>BS_Input!C75/BS_Input!C$45</f>
        <v>1.5671891154949553E-2</v>
      </c>
      <c r="D112" s="14">
        <f>BS_Input!D75/BS_Input!D$45</f>
        <v>1.1262782327280351E-2</v>
      </c>
      <c r="E112" s="14">
        <f>BS_Input!E75/BS_Input!E$45</f>
        <v>1.1439015540547668E-2</v>
      </c>
      <c r="F112" s="14">
        <f>BS_Input!F75/BS_Input!F$45</f>
        <v>8.3749737111521189E-3</v>
      </c>
      <c r="G112" s="14">
        <f>BS_Input!G75/BS_Input!G$45</f>
        <v>8.2262225234649624E-3</v>
      </c>
    </row>
    <row r="113" spans="2:7" x14ac:dyDescent="0.25">
      <c r="B113" s="44" t="s">
        <v>70</v>
      </c>
      <c r="C113" s="14">
        <f>BS_Input!C76/BS_Input!C$45</f>
        <v>2.4350287435157261E-3</v>
      </c>
      <c r="D113" s="14">
        <f>BS_Input!D76/BS_Input!D$45</f>
        <v>1.3775210753735658E-2</v>
      </c>
      <c r="E113" s="14">
        <f>BS_Input!E76/BS_Input!E$45</f>
        <v>7.4253258771976088E-3</v>
      </c>
      <c r="F113" s="14">
        <f>BS_Input!F76/BS_Input!F$45</f>
        <v>1.1295388346809241E-2</v>
      </c>
      <c r="G113" s="14">
        <f>BS_Input!G76/BS_Input!G$45</f>
        <v>8.705970961474397E-3</v>
      </c>
    </row>
    <row r="114" spans="2:7" x14ac:dyDescent="0.25">
      <c r="B114" s="44" t="s">
        <v>59</v>
      </c>
      <c r="C114" s="14">
        <f>BS_Input!C77/BS_Input!C$45</f>
        <v>1.8778887115277785E-2</v>
      </c>
      <c r="D114" s="14">
        <f>BS_Input!D77/BS_Input!D$45</f>
        <v>4.8078214518931404E-3</v>
      </c>
      <c r="E114" s="14">
        <f>BS_Input!E77/BS_Input!E$45</f>
        <v>1.221721262784748E-2</v>
      </c>
      <c r="F114" s="14">
        <f>BS_Input!F77/BS_Input!F$45</f>
        <v>1.0716896653354293E-2</v>
      </c>
      <c r="G114" s="14">
        <f>BS_Input!G77/BS_Input!G$45</f>
        <v>1.1867935866826801E-2</v>
      </c>
    </row>
    <row r="115" spans="2:7" x14ac:dyDescent="0.25">
      <c r="B115" s="44" t="s">
        <v>71</v>
      </c>
      <c r="C115" s="14">
        <f>BS_Input!C78/BS_Input!C$45</f>
        <v>2.6228228603142246E-7</v>
      </c>
      <c r="D115" s="14">
        <f>BS_Input!D78/BS_Input!D$45</f>
        <v>1.2789161637174334E-3</v>
      </c>
      <c r="E115" s="14">
        <f>BS_Input!E78/BS_Input!E$45</f>
        <v>2.8398574520914527E-3</v>
      </c>
      <c r="F115" s="14">
        <f>BS_Input!F78/BS_Input!F$45</f>
        <v>2.3442983029144035E-3</v>
      </c>
      <c r="G115" s="14">
        <f>BS_Input!G78/BS_Input!G$45</f>
        <v>7.7945080479795738E-3</v>
      </c>
    </row>
    <row r="116" spans="2:7" x14ac:dyDescent="0.25">
      <c r="B116" s="44"/>
      <c r="C116" s="14"/>
      <c r="D116" s="14"/>
      <c r="E116" s="14"/>
      <c r="F116" s="14"/>
      <c r="G116" s="14"/>
    </row>
    <row r="117" spans="2:7" x14ac:dyDescent="0.25">
      <c r="B117" s="210" t="s">
        <v>72</v>
      </c>
      <c r="C117" s="209">
        <f>SUM(C106:C115)</f>
        <v>0.38803772458576447</v>
      </c>
      <c r="D117" s="209">
        <f>SUM(D106:D115)</f>
        <v>0.38566691555611332</v>
      </c>
      <c r="E117" s="209">
        <f>SUM(E106:E115)</f>
        <v>0.42669236651270909</v>
      </c>
      <c r="F117" s="209">
        <f>SUM(F106:F115)</f>
        <v>0.41009835272389011</v>
      </c>
      <c r="G117" s="209">
        <f>SUM(G106:G115)</f>
        <v>0.39407210651538588</v>
      </c>
    </row>
    <row r="118" spans="2:7" x14ac:dyDescent="0.25">
      <c r="B118" s="44" t="s">
        <v>75</v>
      </c>
      <c r="C118" s="14">
        <f>BS_Input!C81/BS_Input!C$45</f>
        <v>0</v>
      </c>
      <c r="D118" s="14">
        <f>BS_Input!D81/BS_Input!D$45</f>
        <v>0</v>
      </c>
      <c r="E118" s="14">
        <f>BS_Input!E81/BS_Input!E$45</f>
        <v>2.7017865276722107E-4</v>
      </c>
      <c r="F118" s="14">
        <f>BS_Input!F81/BS_Input!F$45</f>
        <v>1.9861669955323119E-4</v>
      </c>
      <c r="G118" s="14">
        <f>BS_Input!G81/BS_Input!G$45</f>
        <v>2.4874202747069709E-4</v>
      </c>
    </row>
    <row r="119" spans="2:7" x14ac:dyDescent="0.25">
      <c r="B119" s="210" t="s">
        <v>73</v>
      </c>
      <c r="C119" s="209">
        <f>SUM(C90,C102,C117,C118)</f>
        <v>1</v>
      </c>
      <c r="D119" s="209">
        <f>SUM(D90,D102,D117,D118)</f>
        <v>0.99999999999999989</v>
      </c>
      <c r="E119" s="209">
        <f>SUM(E90,E102,E117,E118)</f>
        <v>0.99999999999999978</v>
      </c>
      <c r="F119" s="209">
        <f>SUM(F90,F102,F117,F118)</f>
        <v>1</v>
      </c>
      <c r="G119" s="209">
        <f>SUM(G90,G102,G117,G118)</f>
        <v>1.0000000000000002</v>
      </c>
    </row>
  </sheetData>
  <mergeCells count="2">
    <mergeCell ref="B8:B9"/>
    <mergeCell ref="B7:G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340F4-D696-46B8-9407-65AA19CC6398}">
  <dimension ref="B6:S48"/>
  <sheetViews>
    <sheetView showGridLines="0" zoomScaleNormal="100" workbookViewId="0">
      <selection activeCell="H22" sqref="H22"/>
    </sheetView>
  </sheetViews>
  <sheetFormatPr defaultRowHeight="15" x14ac:dyDescent="0.25"/>
  <cols>
    <col min="1" max="1" width="0.85546875" customWidth="1"/>
    <col min="2" max="2" width="33" customWidth="1"/>
    <col min="3" max="6" width="16" bestFit="1" customWidth="1"/>
    <col min="7" max="7" width="15.85546875" customWidth="1"/>
    <col min="8" max="17" width="16" bestFit="1" customWidth="1"/>
  </cols>
  <sheetData>
    <row r="6" spans="2:18" x14ac:dyDescent="0.25">
      <c r="Q6" t="s">
        <v>274</v>
      </c>
    </row>
    <row r="7" spans="2:18" ht="18" x14ac:dyDescent="0.25">
      <c r="B7" s="244" t="s">
        <v>266</v>
      </c>
      <c r="C7" s="244"/>
      <c r="D7" s="244"/>
      <c r="E7" s="244"/>
      <c r="F7" s="244"/>
      <c r="G7" s="244"/>
      <c r="H7" s="244"/>
      <c r="I7" s="244"/>
      <c r="J7" s="244"/>
      <c r="K7" s="244"/>
      <c r="L7" s="244"/>
      <c r="M7" s="244"/>
      <c r="N7" s="244"/>
      <c r="O7" s="244"/>
      <c r="P7" s="244"/>
      <c r="Q7" s="244"/>
    </row>
    <row r="8" spans="2:18" x14ac:dyDescent="0.25">
      <c r="B8" s="242" t="s">
        <v>0</v>
      </c>
      <c r="C8" s="37">
        <v>2020</v>
      </c>
      <c r="D8" s="38">
        <v>2021</v>
      </c>
      <c r="E8" s="38">
        <v>2022</v>
      </c>
      <c r="F8" s="38">
        <v>2023</v>
      </c>
      <c r="G8" s="38">
        <v>2024</v>
      </c>
      <c r="H8" s="39">
        <f>G8+1</f>
        <v>2025</v>
      </c>
      <c r="I8" s="39">
        <f t="shared" ref="I8:Q8" si="0">H8+1</f>
        <v>2026</v>
      </c>
      <c r="J8" s="39">
        <f t="shared" si="0"/>
        <v>2027</v>
      </c>
      <c r="K8" s="39">
        <f t="shared" si="0"/>
        <v>2028</v>
      </c>
      <c r="L8" s="39">
        <f t="shared" si="0"/>
        <v>2029</v>
      </c>
      <c r="M8" s="39">
        <f t="shared" si="0"/>
        <v>2030</v>
      </c>
      <c r="N8" s="39">
        <f t="shared" si="0"/>
        <v>2031</v>
      </c>
      <c r="O8" s="39">
        <f t="shared" si="0"/>
        <v>2032</v>
      </c>
      <c r="P8" s="39">
        <f t="shared" si="0"/>
        <v>2033</v>
      </c>
      <c r="Q8" s="39">
        <f t="shared" si="0"/>
        <v>2034</v>
      </c>
      <c r="R8" s="11"/>
    </row>
    <row r="9" spans="2:18" x14ac:dyDescent="0.25">
      <c r="B9" s="243"/>
      <c r="C9" s="40" t="s">
        <v>1</v>
      </c>
      <c r="D9" s="41" t="s">
        <v>1</v>
      </c>
      <c r="E9" s="41" t="s">
        <v>1</v>
      </c>
      <c r="F9" s="41" t="s">
        <v>1</v>
      </c>
      <c r="G9" s="41" t="s">
        <v>1</v>
      </c>
      <c r="H9" s="42" t="s">
        <v>315</v>
      </c>
      <c r="I9" s="42" t="s">
        <v>315</v>
      </c>
      <c r="J9" s="42" t="s">
        <v>315</v>
      </c>
      <c r="K9" s="42" t="s">
        <v>315</v>
      </c>
      <c r="L9" s="42" t="s">
        <v>315</v>
      </c>
      <c r="M9" s="42" t="s">
        <v>315</v>
      </c>
      <c r="N9" s="42" t="s">
        <v>315</v>
      </c>
      <c r="O9" s="42" t="s">
        <v>315</v>
      </c>
      <c r="P9" s="42" t="s">
        <v>315</v>
      </c>
      <c r="Q9" s="42" t="s">
        <v>315</v>
      </c>
      <c r="R9" s="11"/>
    </row>
    <row r="10" spans="2:18" x14ac:dyDescent="0.25">
      <c r="B10" s="27"/>
      <c r="C10" s="15"/>
      <c r="D10" s="15"/>
      <c r="E10" s="15"/>
      <c r="F10" s="15"/>
      <c r="G10" s="15"/>
      <c r="H10" s="18"/>
      <c r="I10" s="18"/>
      <c r="J10" s="18"/>
      <c r="K10" s="18"/>
      <c r="L10" s="18"/>
      <c r="M10" s="18"/>
      <c r="N10" s="18"/>
      <c r="O10" s="18"/>
      <c r="P10" s="18"/>
      <c r="Q10" s="18"/>
      <c r="R10" s="11"/>
    </row>
    <row r="11" spans="2:18" x14ac:dyDescent="0.25">
      <c r="B11" s="27" t="s">
        <v>99</v>
      </c>
      <c r="C11" s="17">
        <v>19072.47</v>
      </c>
      <c r="D11" s="17">
        <v>16532.100000000002</v>
      </c>
      <c r="E11" s="17">
        <v>23253.480000000003</v>
      </c>
      <c r="F11" s="17">
        <v>38459.520000000004</v>
      </c>
      <c r="G11" s="17">
        <v>41522.160000000003</v>
      </c>
      <c r="H11" s="19">
        <f>H24*H28/10^7</f>
        <v>51825.949133778908</v>
      </c>
      <c r="I11" s="19">
        <f t="shared" ref="I11:Q11" si="1">I24*I28/10^7</f>
        <v>64686.63970316184</v>
      </c>
      <c r="J11" s="19">
        <f t="shared" si="1"/>
        <v>80738.730810033696</v>
      </c>
      <c r="K11" s="19">
        <f t="shared" si="1"/>
        <v>100774.17350365862</v>
      </c>
      <c r="L11" s="19">
        <f t="shared" si="1"/>
        <v>125781.44272839422</v>
      </c>
      <c r="M11" s="19">
        <f t="shared" si="1"/>
        <v>156994.30503651744</v>
      </c>
      <c r="N11" s="19">
        <f t="shared" si="1"/>
        <v>195952.68808548307</v>
      </c>
      <c r="O11" s="19">
        <f t="shared" si="1"/>
        <v>244578.65499640402</v>
      </c>
      <c r="P11" s="19">
        <f t="shared" si="1"/>
        <v>305271.23186875862</v>
      </c>
      <c r="Q11" s="19">
        <f t="shared" si="1"/>
        <v>381024.76689161418</v>
      </c>
      <c r="R11" s="11"/>
    </row>
    <row r="12" spans="2:18" x14ac:dyDescent="0.25">
      <c r="B12" s="27" t="s">
        <v>95</v>
      </c>
      <c r="C12" s="17">
        <v>2878.8</v>
      </c>
      <c r="D12" s="17">
        <v>2922.0000000000005</v>
      </c>
      <c r="E12" s="17">
        <v>2983.6699999999996</v>
      </c>
      <c r="F12" s="17">
        <v>3213.0800000000004</v>
      </c>
      <c r="G12" s="17">
        <v>4268.4799999999996</v>
      </c>
      <c r="H12" s="19">
        <f>G12*(1+H13)</f>
        <v>4816.8450749125241</v>
      </c>
      <c r="I12" s="19">
        <f t="shared" ref="I12:Q12" si="2">H12*(1+I13)</f>
        <v>5435.6577694422931</v>
      </c>
      <c r="J12" s="19">
        <f t="shared" si="2"/>
        <v>6133.9683811680288</v>
      </c>
      <c r="K12" s="19">
        <f t="shared" si="2"/>
        <v>6921.9898855092142</v>
      </c>
      <c r="L12" s="19">
        <f t="shared" si="2"/>
        <v>7811.2473031639756</v>
      </c>
      <c r="M12" s="19">
        <f t="shared" si="2"/>
        <v>8814.7462565524802</v>
      </c>
      <c r="N12" s="19">
        <f t="shared" si="2"/>
        <v>9947.1631804479402</v>
      </c>
      <c r="O12" s="19">
        <f t="shared" si="2"/>
        <v>11225.059968675469</v>
      </c>
      <c r="P12" s="19">
        <f t="shared" si="2"/>
        <v>12667.126196142928</v>
      </c>
      <c r="Q12" s="19">
        <f t="shared" si="2"/>
        <v>14294.452458764357</v>
      </c>
      <c r="R12" s="49"/>
    </row>
    <row r="13" spans="2:18" x14ac:dyDescent="0.25">
      <c r="B13" s="27" t="s">
        <v>101</v>
      </c>
      <c r="C13" s="30">
        <f t="shared" ref="C13:G13" si="3">C12/C11</f>
        <v>0.15094007226122258</v>
      </c>
      <c r="D13" s="30">
        <f t="shared" si="3"/>
        <v>0.17674705572794744</v>
      </c>
      <c r="E13" s="30">
        <f t="shared" si="3"/>
        <v>0.12831068726057343</v>
      </c>
      <c r="F13" s="30">
        <f t="shared" si="3"/>
        <v>8.354446441349242E-2</v>
      </c>
      <c r="G13" s="30">
        <f t="shared" si="3"/>
        <v>0.1028000470110418</v>
      </c>
      <c r="H13" s="21">
        <f>AVERAGE(C13:G13)</f>
        <v>0.12846846533485554</v>
      </c>
      <c r="I13" s="21">
        <f>H13</f>
        <v>0.12846846533485554</v>
      </c>
      <c r="J13" s="21">
        <f t="shared" ref="J13:Q13" si="4">I13</f>
        <v>0.12846846533485554</v>
      </c>
      <c r="K13" s="21">
        <f t="shared" si="4"/>
        <v>0.12846846533485554</v>
      </c>
      <c r="L13" s="21">
        <f t="shared" si="4"/>
        <v>0.12846846533485554</v>
      </c>
      <c r="M13" s="21">
        <f t="shared" si="4"/>
        <v>0.12846846533485554</v>
      </c>
      <c r="N13" s="21">
        <f t="shared" si="4"/>
        <v>0.12846846533485554</v>
      </c>
      <c r="O13" s="21">
        <f t="shared" si="4"/>
        <v>0.12846846533485554</v>
      </c>
      <c r="P13" s="21">
        <f t="shared" si="4"/>
        <v>0.12846846533485554</v>
      </c>
      <c r="Q13" s="21">
        <f t="shared" si="4"/>
        <v>0.12846846533485554</v>
      </c>
      <c r="R13" s="11"/>
    </row>
    <row r="14" spans="2:18" x14ac:dyDescent="0.25">
      <c r="B14" s="27"/>
      <c r="C14" s="17"/>
      <c r="D14" s="17"/>
      <c r="E14" s="17"/>
      <c r="F14" s="17"/>
      <c r="G14" s="17"/>
      <c r="H14" s="19"/>
      <c r="I14" s="19"/>
      <c r="J14" s="19"/>
      <c r="K14" s="19"/>
      <c r="L14" s="19"/>
      <c r="M14" s="19"/>
      <c r="N14" s="19"/>
      <c r="O14" s="19"/>
      <c r="P14" s="19"/>
      <c r="Q14" s="19"/>
      <c r="R14" s="11"/>
    </row>
    <row r="15" spans="2:18" x14ac:dyDescent="0.25">
      <c r="B15" s="28" t="s">
        <v>2</v>
      </c>
      <c r="C15" s="22">
        <f>SUM(C11:C12)</f>
        <v>21951.27</v>
      </c>
      <c r="D15" s="22">
        <f t="shared" ref="D15:Q15" si="5">SUM(D11:D12)</f>
        <v>19454.100000000002</v>
      </c>
      <c r="E15" s="22">
        <f t="shared" si="5"/>
        <v>26237.15</v>
      </c>
      <c r="F15" s="22">
        <f t="shared" si="5"/>
        <v>41672.600000000006</v>
      </c>
      <c r="G15" s="22">
        <f t="shared" si="5"/>
        <v>45790.64</v>
      </c>
      <c r="H15" s="23">
        <f t="shared" si="5"/>
        <v>56642.794208691434</v>
      </c>
      <c r="I15" s="23">
        <f t="shared" si="5"/>
        <v>70122.297472604128</v>
      </c>
      <c r="J15" s="23">
        <f t="shared" si="5"/>
        <v>86872.699191201726</v>
      </c>
      <c r="K15" s="23">
        <f t="shared" si="5"/>
        <v>107696.16338916784</v>
      </c>
      <c r="L15" s="23">
        <f t="shared" si="5"/>
        <v>133592.69003155819</v>
      </c>
      <c r="M15" s="23">
        <f t="shared" si="5"/>
        <v>165809.05129306993</v>
      </c>
      <c r="N15" s="23">
        <f t="shared" si="5"/>
        <v>205899.85126593101</v>
      </c>
      <c r="O15" s="23">
        <f t="shared" si="5"/>
        <v>255803.71496507947</v>
      </c>
      <c r="P15" s="23">
        <f t="shared" si="5"/>
        <v>317938.35806490155</v>
      </c>
      <c r="Q15" s="23">
        <f t="shared" si="5"/>
        <v>395319.21935037855</v>
      </c>
      <c r="R15" s="11"/>
    </row>
    <row r="16" spans="2:18" x14ac:dyDescent="0.25">
      <c r="B16" s="27" t="s">
        <v>216</v>
      </c>
      <c r="C16" s="17" t="s">
        <v>98</v>
      </c>
      <c r="D16" s="20">
        <f>D15/C15-1</f>
        <v>-0.11375970501934507</v>
      </c>
      <c r="E16" s="20">
        <f>E15/D15-1</f>
        <v>0.34866943215054924</v>
      </c>
      <c r="F16" s="20">
        <f>F15/E15-1</f>
        <v>0.58830513222663305</v>
      </c>
      <c r="G16" s="20">
        <f>G15/F15-1</f>
        <v>9.8818888190321585E-2</v>
      </c>
      <c r="H16" s="32">
        <f t="shared" ref="H16:Q16" si="6">H15/G15-1</f>
        <v>0.236995032362322</v>
      </c>
      <c r="I16" s="32">
        <f t="shared" si="6"/>
        <v>0.2379738403132019</v>
      </c>
      <c r="J16" s="32">
        <f t="shared" si="6"/>
        <v>0.23887411454454632</v>
      </c>
      <c r="K16" s="32">
        <f t="shared" si="6"/>
        <v>0.2397009001888486</v>
      </c>
      <c r="L16" s="32">
        <f t="shared" si="6"/>
        <v>0.240459138259284</v>
      </c>
      <c r="M16" s="32">
        <f t="shared" si="6"/>
        <v>0.24115362340485369</v>
      </c>
      <c r="N16" s="32">
        <f t="shared" si="6"/>
        <v>0.24178897147176848</v>
      </c>
      <c r="O16" s="32">
        <f t="shared" si="6"/>
        <v>0.24236959566665672</v>
      </c>
      <c r="P16" s="32">
        <f t="shared" si="6"/>
        <v>0.24289969013274204</v>
      </c>
      <c r="Q16" s="32">
        <f t="shared" si="6"/>
        <v>0.24338321980539712</v>
      </c>
      <c r="R16" s="11"/>
    </row>
    <row r="17" spans="2:19" x14ac:dyDescent="0.25">
      <c r="B17" s="27"/>
      <c r="C17" s="17"/>
      <c r="D17" s="17"/>
      <c r="E17" s="17"/>
      <c r="F17" s="17"/>
      <c r="G17" s="17"/>
      <c r="H17" s="19"/>
      <c r="I17" s="19"/>
      <c r="J17" s="19"/>
      <c r="K17" s="19"/>
      <c r="L17" s="19"/>
      <c r="M17" s="19"/>
      <c r="N17" s="19"/>
      <c r="O17" s="19"/>
      <c r="P17" s="19"/>
      <c r="Q17" s="19"/>
      <c r="R17" s="11"/>
    </row>
    <row r="18" spans="2:19" x14ac:dyDescent="0.25">
      <c r="B18" s="27" t="s">
        <v>100</v>
      </c>
      <c r="C18" s="17">
        <v>107.83</v>
      </c>
      <c r="D18" s="17">
        <v>131.16</v>
      </c>
      <c r="E18" s="17">
        <v>86.81</v>
      </c>
      <c r="F18" s="17">
        <v>110.77</v>
      </c>
      <c r="G18" s="17">
        <v>140.58000000000001</v>
      </c>
      <c r="H18" s="19">
        <f>H11*H19</f>
        <v>244.47744010236178</v>
      </c>
      <c r="I18" s="19">
        <f t="shared" ref="I18:Q18" si="7">I11*I19</f>
        <v>305.14490033999869</v>
      </c>
      <c r="J18" s="19">
        <f t="shared" si="7"/>
        <v>380.86708599583466</v>
      </c>
      <c r="K18" s="19">
        <f t="shared" si="7"/>
        <v>475.3798507965559</v>
      </c>
      <c r="L18" s="19">
        <f t="shared" si="7"/>
        <v>593.34610643101689</v>
      </c>
      <c r="M18" s="19">
        <f t="shared" si="7"/>
        <v>740.58587343769307</v>
      </c>
      <c r="N18" s="19">
        <f t="shared" si="7"/>
        <v>924.36341958070352</v>
      </c>
      <c r="O18" s="19">
        <f t="shared" si="7"/>
        <v>1153.745652064234</v>
      </c>
      <c r="P18" s="19">
        <f t="shared" si="7"/>
        <v>1440.04944533713</v>
      </c>
      <c r="Q18" s="19">
        <f t="shared" si="7"/>
        <v>1797.3999739938531</v>
      </c>
      <c r="R18" s="11"/>
    </row>
    <row r="19" spans="2:19" x14ac:dyDescent="0.25">
      <c r="B19" s="27" t="s">
        <v>101</v>
      </c>
      <c r="C19" s="30">
        <f>C18/C11</f>
        <v>5.6536987605695531E-3</v>
      </c>
      <c r="D19" s="30">
        <f>D18/D11</f>
        <v>7.9336563412996525E-3</v>
      </c>
      <c r="E19" s="30">
        <f>E18/E11</f>
        <v>3.7332046644201209E-3</v>
      </c>
      <c r="F19" s="30">
        <f>F18/F11</f>
        <v>2.8801711513820241E-3</v>
      </c>
      <c r="G19" s="30">
        <f>G18/G11</f>
        <v>3.3856620175829002E-3</v>
      </c>
      <c r="H19" s="21">
        <f>AVERAGE(C19:G19)</f>
        <v>4.7172785870508499E-3</v>
      </c>
      <c r="I19" s="21">
        <f t="shared" ref="I19:Q19" si="8">H19</f>
        <v>4.7172785870508499E-3</v>
      </c>
      <c r="J19" s="21">
        <f t="shared" si="8"/>
        <v>4.7172785870508499E-3</v>
      </c>
      <c r="K19" s="21">
        <f t="shared" si="8"/>
        <v>4.7172785870508499E-3</v>
      </c>
      <c r="L19" s="21">
        <f t="shared" si="8"/>
        <v>4.7172785870508499E-3</v>
      </c>
      <c r="M19" s="21">
        <f t="shared" si="8"/>
        <v>4.7172785870508499E-3</v>
      </c>
      <c r="N19" s="21">
        <f t="shared" si="8"/>
        <v>4.7172785870508499E-3</v>
      </c>
      <c r="O19" s="21">
        <f t="shared" si="8"/>
        <v>4.7172785870508499E-3</v>
      </c>
      <c r="P19" s="21">
        <f t="shared" si="8"/>
        <v>4.7172785870508499E-3</v>
      </c>
      <c r="Q19" s="21">
        <f t="shared" si="8"/>
        <v>4.7172785870508499E-3</v>
      </c>
      <c r="R19" s="11"/>
    </row>
    <row r="20" spans="2:19" x14ac:dyDescent="0.25">
      <c r="B20" s="27"/>
      <c r="C20" s="17"/>
      <c r="D20" s="17"/>
      <c r="E20" s="17"/>
      <c r="F20" s="17"/>
      <c r="G20" s="17"/>
      <c r="H20" s="19"/>
      <c r="I20" s="19"/>
      <c r="J20" s="19"/>
      <c r="K20" s="19"/>
      <c r="L20" s="19"/>
      <c r="M20" s="19"/>
      <c r="N20" s="19"/>
      <c r="O20" s="19"/>
      <c r="P20" s="19"/>
      <c r="Q20" s="19"/>
      <c r="R20" s="11"/>
    </row>
    <row r="21" spans="2:19" x14ac:dyDescent="0.25">
      <c r="B21" s="27" t="s">
        <v>109</v>
      </c>
      <c r="C21" s="17"/>
      <c r="D21" s="17"/>
      <c r="E21" s="17"/>
      <c r="F21" s="17"/>
      <c r="G21" s="17"/>
      <c r="H21" s="19"/>
      <c r="I21" s="19"/>
      <c r="J21" s="19"/>
      <c r="K21" s="19"/>
      <c r="L21" s="19"/>
      <c r="M21" s="19"/>
      <c r="N21" s="19"/>
      <c r="O21" s="19"/>
      <c r="P21" s="19"/>
      <c r="Q21" s="19"/>
      <c r="R21" s="11"/>
    </row>
    <row r="22" spans="2:19" x14ac:dyDescent="0.25">
      <c r="B22" s="27" t="s">
        <v>96</v>
      </c>
      <c r="C22" s="17">
        <v>116280</v>
      </c>
      <c r="D22" s="17">
        <v>92724</v>
      </c>
      <c r="E22" s="17">
        <v>117312</v>
      </c>
      <c r="F22" s="17">
        <v>180916</v>
      </c>
      <c r="G22" s="17">
        <v>182830</v>
      </c>
      <c r="H22" s="19">
        <f>G22/G24*H24</f>
        <v>209761.56662131025</v>
      </c>
      <c r="I22" s="19">
        <f t="shared" ref="I22:Q22" si="9">H22/H24*I24</f>
        <v>240660.25724129725</v>
      </c>
      <c r="J22" s="19">
        <f t="shared" si="9"/>
        <v>276110.44457923772</v>
      </c>
      <c r="K22" s="19">
        <f t="shared" si="9"/>
        <v>316782.58171770145</v>
      </c>
      <c r="L22" s="19">
        <f t="shared" si="9"/>
        <v>363445.88207322807</v>
      </c>
      <c r="M22" s="19">
        <f t="shared" si="9"/>
        <v>416982.8671757605</v>
      </c>
      <c r="N22" s="19">
        <f t="shared" si="9"/>
        <v>478406.05739229469</v>
      </c>
      <c r="O22" s="19">
        <f t="shared" si="9"/>
        <v>548877.12125872227</v>
      </c>
      <c r="P22" s="19">
        <f t="shared" si="9"/>
        <v>629728.84558236855</v>
      </c>
      <c r="Q22" s="19">
        <f t="shared" si="9"/>
        <v>722490.34182566742</v>
      </c>
      <c r="R22" s="11"/>
    </row>
    <row r="23" spans="2:19" x14ac:dyDescent="0.25">
      <c r="B23" s="27" t="s">
        <v>97</v>
      </c>
      <c r="C23" s="17">
        <v>8920</v>
      </c>
      <c r="D23" s="17">
        <v>8001</v>
      </c>
      <c r="E23" s="17">
        <v>11014</v>
      </c>
      <c r="F23" s="17">
        <v>11289</v>
      </c>
      <c r="G23" s="17">
        <v>11853</v>
      </c>
      <c r="H23" s="19">
        <f>G23/G24*H24</f>
        <v>13598.992775596949</v>
      </c>
      <c r="I23" s="19">
        <f t="shared" ref="I23:Q23" si="10">H23/H24*I24</f>
        <v>15602.177044692316</v>
      </c>
      <c r="J23" s="19">
        <f t="shared" si="10"/>
        <v>17900.438109706858</v>
      </c>
      <c r="K23" s="19">
        <f t="shared" si="10"/>
        <v>20537.241924738366</v>
      </c>
      <c r="L23" s="19">
        <f t="shared" si="10"/>
        <v>23562.457147152945</v>
      </c>
      <c r="M23" s="19">
        <f t="shared" si="10"/>
        <v>27033.29828055729</v>
      </c>
      <c r="N23" s="19">
        <f t="shared" si="10"/>
        <v>31015.40774638117</v>
      </c>
      <c r="O23" s="19">
        <f t="shared" si="10"/>
        <v>35584.097348791962</v>
      </c>
      <c r="P23" s="19">
        <f t="shared" si="10"/>
        <v>40825.772612196102</v>
      </c>
      <c r="Q23" s="19">
        <f t="shared" si="10"/>
        <v>46839.566929167173</v>
      </c>
      <c r="R23" s="11"/>
    </row>
    <row r="24" spans="2:19" x14ac:dyDescent="0.25">
      <c r="B24" s="29" t="s">
        <v>108</v>
      </c>
      <c r="C24" s="22">
        <f t="shared" ref="C24:G24" si="11">SUM(C22:C23)</f>
        <v>125200</v>
      </c>
      <c r="D24" s="22">
        <f t="shared" si="11"/>
        <v>100725</v>
      </c>
      <c r="E24" s="22">
        <f t="shared" si="11"/>
        <v>128326</v>
      </c>
      <c r="F24" s="22">
        <f t="shared" si="11"/>
        <v>192205</v>
      </c>
      <c r="G24" s="22">
        <f t="shared" si="11"/>
        <v>194683</v>
      </c>
      <c r="H24" s="23">
        <f>G24*(1+H25)</f>
        <v>223360.55939690719</v>
      </c>
      <c r="I24" s="23">
        <f t="shared" ref="I24:Q24" si="12">H24*(1+I25)</f>
        <v>256262.43428598956</v>
      </c>
      <c r="J24" s="23">
        <f t="shared" si="12"/>
        <v>294010.88268894458</v>
      </c>
      <c r="K24" s="23">
        <f t="shared" si="12"/>
        <v>337319.82364243985</v>
      </c>
      <c r="L24" s="23">
        <f t="shared" si="12"/>
        <v>387008.33922038105</v>
      </c>
      <c r="M24" s="23">
        <f t="shared" si="12"/>
        <v>444016.16545631783</v>
      </c>
      <c r="N24" s="23">
        <f t="shared" si="12"/>
        <v>509421.46513867594</v>
      </c>
      <c r="O24" s="23">
        <f t="shared" si="12"/>
        <v>584461.21860751428</v>
      </c>
      <c r="P24" s="23">
        <f t="shared" si="12"/>
        <v>670554.61819456471</v>
      </c>
      <c r="Q24" s="23">
        <f t="shared" si="12"/>
        <v>769329.90875483467</v>
      </c>
      <c r="R24" s="11"/>
    </row>
    <row r="25" spans="2:19" x14ac:dyDescent="0.25">
      <c r="B25" s="27"/>
      <c r="C25" s="31" t="s">
        <v>98</v>
      </c>
      <c r="D25" s="30">
        <f>D24/C24-1</f>
        <v>-0.19548722044728439</v>
      </c>
      <c r="E25" s="30">
        <f t="shared" ref="E25:G25" si="13">E24/D24-1</f>
        <v>0.2740233308513278</v>
      </c>
      <c r="F25" s="30">
        <f t="shared" si="13"/>
        <v>0.49778688652338565</v>
      </c>
      <c r="G25" s="30">
        <f t="shared" si="13"/>
        <v>1.2892484586769282E-2</v>
      </c>
      <c r="H25" s="24">
        <f t="array" ref="H25:Q25">CHOOSE(Assumption_Sheet!C21,'Revenue Build Up'!H40:Q40,'Revenue Build Up'!H41:Q41,'Revenue Build Up'!H42:Q42)</f>
        <v>0.14730387037854958</v>
      </c>
      <c r="I25" s="24">
        <v>0.14730387037854958</v>
      </c>
      <c r="J25" s="24">
        <v>0.14730387037854958</v>
      </c>
      <c r="K25" s="24">
        <v>0.14730387037854958</v>
      </c>
      <c r="L25" s="24">
        <v>0.14730387037854958</v>
      </c>
      <c r="M25" s="24">
        <v>0.14730387037854958</v>
      </c>
      <c r="N25" s="24">
        <v>0.14730387037854958</v>
      </c>
      <c r="O25" s="24">
        <v>0.14730387037854958</v>
      </c>
      <c r="P25" s="24">
        <v>0.14730387037854958</v>
      </c>
      <c r="Q25" s="24">
        <v>0.14730387037854958</v>
      </c>
      <c r="R25" s="11"/>
    </row>
    <row r="26" spans="2:19" s="166" customFormat="1" x14ac:dyDescent="0.25">
      <c r="B26" s="27"/>
      <c r="C26" s="31"/>
      <c r="D26" s="30"/>
      <c r="E26" s="30"/>
      <c r="F26" s="30"/>
      <c r="G26" s="30"/>
      <c r="H26" s="224"/>
      <c r="I26" s="224"/>
      <c r="J26" s="224"/>
      <c r="K26" s="224"/>
      <c r="L26" s="224"/>
      <c r="M26" s="224"/>
      <c r="N26" s="224"/>
      <c r="O26" s="224"/>
      <c r="P26" s="224"/>
      <c r="Q26" s="224"/>
      <c r="R26" s="223"/>
    </row>
    <row r="27" spans="2:19" s="166" customFormat="1" x14ac:dyDescent="0.25">
      <c r="B27" s="27"/>
      <c r="C27" s="31"/>
      <c r="D27" s="30"/>
      <c r="E27" s="30"/>
      <c r="F27" s="30"/>
      <c r="G27" s="30"/>
      <c r="H27" s="225"/>
      <c r="I27" s="225"/>
      <c r="J27" s="225"/>
      <c r="K27" s="225"/>
      <c r="L27" s="225"/>
      <c r="M27" s="225"/>
      <c r="N27" s="225"/>
      <c r="O27" s="225"/>
      <c r="P27" s="225"/>
      <c r="Q27" s="225"/>
      <c r="R27" s="223"/>
    </row>
    <row r="28" spans="2:19" s="111" customFormat="1" x14ac:dyDescent="0.25">
      <c r="B28" s="27" t="s">
        <v>309</v>
      </c>
      <c r="C28" s="226">
        <f>C11/C24*10^7</f>
        <v>1523360.2236421725</v>
      </c>
      <c r="D28" s="226">
        <f>D11/D24*10^7</f>
        <v>1641310.4988830979</v>
      </c>
      <c r="E28" s="226">
        <f>E11/E24*10^7</f>
        <v>1812063.0269781651</v>
      </c>
      <c r="F28" s="226">
        <f>F11/F24*10^7</f>
        <v>2000963.5545381235</v>
      </c>
      <c r="G28" s="226">
        <f>G11/G24*10^7</f>
        <v>2132808.7198163169</v>
      </c>
      <c r="H28" s="85">
        <f>G28*(1+H29)</f>
        <v>2320282.0262320908</v>
      </c>
      <c r="I28" s="85">
        <f t="shared" ref="I28:Q28" si="14">H28*(1+I29)</f>
        <v>2524234.1852950393</v>
      </c>
      <c r="J28" s="85">
        <f t="shared" si="14"/>
        <v>2746113.6836711261</v>
      </c>
      <c r="K28" s="85">
        <f t="shared" si="14"/>
        <v>2987496.32961031</v>
      </c>
      <c r="L28" s="85">
        <f t="shared" si="14"/>
        <v>3250096.4444791521</v>
      </c>
      <c r="M28" s="85">
        <f t="shared" si="14"/>
        <v>3535779.0380260935</v>
      </c>
      <c r="N28" s="85">
        <f t="shared" si="14"/>
        <v>3846573.0538492394</v>
      </c>
      <c r="O28" s="85">
        <f t="shared" si="14"/>
        <v>4184685.7791371606</v>
      </c>
      <c r="P28" s="85">
        <f t="shared" si="14"/>
        <v>4552518.521021992</v>
      </c>
      <c r="Q28" s="85">
        <f t="shared" si="14"/>
        <v>4952683.6608797023</v>
      </c>
      <c r="R28" s="112"/>
    </row>
    <row r="29" spans="2:19" x14ac:dyDescent="0.25">
      <c r="B29" s="27"/>
      <c r="C29" s="17" t="s">
        <v>98</v>
      </c>
      <c r="D29" s="20">
        <f>D28/C28-1</f>
        <v>7.7427697934058237E-2</v>
      </c>
      <c r="E29" s="20">
        <f t="shared" ref="E29:G29" si="15">E28/D28-1</f>
        <v>0.10403426299366481</v>
      </c>
      <c r="F29" s="20">
        <f t="shared" si="15"/>
        <v>0.10424611326846223</v>
      </c>
      <c r="G29" s="20">
        <f t="shared" si="15"/>
        <v>6.5890837931142032E-2</v>
      </c>
      <c r="H29" s="21">
        <f t="array" ref="H29:Q29">CHOOSE(Assumption_Sheet!C21,'Revenue Build Up'!H32:Q32,'Revenue Build Up'!H33:Q33,'Revenue Build Up'!H34:Q34)</f>
        <v>8.7899728031831825E-2</v>
      </c>
      <c r="I29" s="21">
        <v>8.7899728031831825E-2</v>
      </c>
      <c r="J29" s="21">
        <v>8.7899728031831825E-2</v>
      </c>
      <c r="K29" s="21">
        <v>8.7899728031831825E-2</v>
      </c>
      <c r="L29" s="21">
        <v>8.7899728031831825E-2</v>
      </c>
      <c r="M29" s="21">
        <v>8.7899728031831825E-2</v>
      </c>
      <c r="N29" s="21">
        <v>8.7899728031831825E-2</v>
      </c>
      <c r="O29" s="21">
        <v>8.7899728031831825E-2</v>
      </c>
      <c r="P29" s="21">
        <v>8.7899728031831825E-2</v>
      </c>
      <c r="Q29" s="21">
        <v>8.7899728031831825E-2</v>
      </c>
      <c r="R29" s="11"/>
    </row>
    <row r="30" spans="2:19" s="166" customFormat="1" x14ac:dyDescent="0.25">
      <c r="B30" s="27"/>
      <c r="C30" s="17"/>
      <c r="D30" s="20"/>
      <c r="E30" s="20"/>
      <c r="F30" s="20"/>
      <c r="G30" s="20"/>
      <c r="H30" s="25"/>
      <c r="I30" s="25"/>
      <c r="J30" s="25"/>
      <c r="K30" s="25"/>
      <c r="L30" s="25"/>
      <c r="M30" s="25"/>
      <c r="N30" s="25"/>
      <c r="O30" s="25"/>
      <c r="P30" s="25"/>
      <c r="Q30" s="25"/>
      <c r="R30" s="223"/>
    </row>
    <row r="31" spans="2:19" x14ac:dyDescent="0.25">
      <c r="B31" s="27" t="s">
        <v>102</v>
      </c>
      <c r="C31" s="17"/>
      <c r="D31" s="17"/>
      <c r="E31" s="17"/>
      <c r="F31" s="17"/>
      <c r="G31" s="17"/>
      <c r="H31" s="25"/>
      <c r="I31" s="25"/>
      <c r="J31" s="25"/>
      <c r="K31" s="25"/>
      <c r="L31" s="25"/>
      <c r="M31" s="25"/>
      <c r="N31" s="25"/>
      <c r="O31" s="25"/>
      <c r="P31" s="25"/>
      <c r="Q31" s="25"/>
      <c r="R31" s="11"/>
    </row>
    <row r="32" spans="2:19" x14ac:dyDescent="0.25">
      <c r="B32" s="27" t="s">
        <v>103</v>
      </c>
      <c r="C32" s="26"/>
      <c r="D32" s="26"/>
      <c r="E32" s="26"/>
      <c r="F32" s="26"/>
      <c r="G32" s="26"/>
      <c r="H32" s="21">
        <f>H33+2%</f>
        <v>0.10789972803183183</v>
      </c>
      <c r="I32" s="21">
        <f>H32</f>
        <v>0.10789972803183183</v>
      </c>
      <c r="J32" s="21">
        <f t="shared" ref="J32:P32" si="16">I32</f>
        <v>0.10789972803183183</v>
      </c>
      <c r="K32" s="21">
        <f t="shared" si="16"/>
        <v>0.10789972803183183</v>
      </c>
      <c r="L32" s="21">
        <f t="shared" si="16"/>
        <v>0.10789972803183183</v>
      </c>
      <c r="M32" s="21">
        <f t="shared" si="16"/>
        <v>0.10789972803183183</v>
      </c>
      <c r="N32" s="21">
        <f t="shared" si="16"/>
        <v>0.10789972803183183</v>
      </c>
      <c r="O32" s="21">
        <f t="shared" si="16"/>
        <v>0.10789972803183183</v>
      </c>
      <c r="P32" s="21">
        <f t="shared" si="16"/>
        <v>0.10789972803183183</v>
      </c>
      <c r="Q32" s="21">
        <f>P32</f>
        <v>0.10789972803183183</v>
      </c>
      <c r="R32" s="16"/>
      <c r="S32" s="2"/>
    </row>
    <row r="33" spans="2:19" x14ac:dyDescent="0.25">
      <c r="B33" s="27" t="s">
        <v>104</v>
      </c>
      <c r="C33" s="26"/>
      <c r="D33" s="26"/>
      <c r="E33" s="26"/>
      <c r="F33" s="26"/>
      <c r="G33" s="26"/>
      <c r="H33" s="21">
        <f>AVERAGE(D29:G29)</f>
        <v>8.7899728031831825E-2</v>
      </c>
      <c r="I33" s="21">
        <f>H33</f>
        <v>8.7899728031831825E-2</v>
      </c>
      <c r="J33" s="21">
        <f t="shared" ref="J33:P33" si="17">I33</f>
        <v>8.7899728031831825E-2</v>
      </c>
      <c r="K33" s="21">
        <f t="shared" si="17"/>
        <v>8.7899728031831825E-2</v>
      </c>
      <c r="L33" s="21">
        <f t="shared" si="17"/>
        <v>8.7899728031831825E-2</v>
      </c>
      <c r="M33" s="21">
        <f t="shared" si="17"/>
        <v>8.7899728031831825E-2</v>
      </c>
      <c r="N33" s="21">
        <f t="shared" si="17"/>
        <v>8.7899728031831825E-2</v>
      </c>
      <c r="O33" s="21">
        <f t="shared" si="17"/>
        <v>8.7899728031831825E-2</v>
      </c>
      <c r="P33" s="21">
        <f t="shared" si="17"/>
        <v>8.7899728031831825E-2</v>
      </c>
      <c r="Q33" s="21">
        <f>P33</f>
        <v>8.7899728031831825E-2</v>
      </c>
      <c r="R33" s="16"/>
      <c r="S33" s="2"/>
    </row>
    <row r="34" spans="2:19" x14ac:dyDescent="0.25">
      <c r="B34" s="27" t="s">
        <v>105</v>
      </c>
      <c r="C34" s="26"/>
      <c r="D34" s="26"/>
      <c r="E34" s="26"/>
      <c r="F34" s="26"/>
      <c r="G34" s="26"/>
      <c r="H34" s="21">
        <f>H33-2%</f>
        <v>6.7899728031831821E-2</v>
      </c>
      <c r="I34" s="21">
        <f>H34</f>
        <v>6.7899728031831821E-2</v>
      </c>
      <c r="J34" s="21">
        <f t="shared" ref="J34:P34" si="18">I34</f>
        <v>6.7899728031831821E-2</v>
      </c>
      <c r="K34" s="21">
        <f t="shared" si="18"/>
        <v>6.7899728031831821E-2</v>
      </c>
      <c r="L34" s="21">
        <f t="shared" si="18"/>
        <v>6.7899728031831821E-2</v>
      </c>
      <c r="M34" s="21">
        <f t="shared" si="18"/>
        <v>6.7899728031831821E-2</v>
      </c>
      <c r="N34" s="21">
        <f t="shared" si="18"/>
        <v>6.7899728031831821E-2</v>
      </c>
      <c r="O34" s="21">
        <f t="shared" si="18"/>
        <v>6.7899728031831821E-2</v>
      </c>
      <c r="P34" s="21">
        <f t="shared" si="18"/>
        <v>6.7899728031831821E-2</v>
      </c>
      <c r="Q34" s="21">
        <f>P34</f>
        <v>6.7899728031831821E-2</v>
      </c>
      <c r="R34" s="16"/>
      <c r="S34" s="2"/>
    </row>
    <row r="35" spans="2:19" x14ac:dyDescent="0.25">
      <c r="B35" s="27"/>
      <c r="C35" s="17"/>
      <c r="D35" s="17"/>
      <c r="E35" s="17"/>
      <c r="F35" s="17"/>
      <c r="G35" s="17"/>
      <c r="H35" s="25"/>
      <c r="I35" s="25"/>
      <c r="J35" s="25"/>
      <c r="K35" s="25"/>
      <c r="L35" s="25"/>
      <c r="M35" s="25"/>
      <c r="N35" s="25"/>
      <c r="O35" s="25"/>
      <c r="P35" s="25"/>
      <c r="Q35" s="25"/>
      <c r="R35" s="11"/>
    </row>
    <row r="36" spans="2:19" x14ac:dyDescent="0.25">
      <c r="B36" s="27"/>
      <c r="C36" s="17"/>
      <c r="D36" s="17"/>
      <c r="E36" s="17"/>
      <c r="F36" s="17"/>
      <c r="G36" s="17"/>
      <c r="H36" s="25"/>
      <c r="I36" s="25"/>
      <c r="J36" s="25"/>
      <c r="K36" s="25"/>
      <c r="L36" s="25"/>
      <c r="M36" s="25"/>
      <c r="N36" s="25"/>
      <c r="O36" s="25"/>
      <c r="P36" s="25"/>
      <c r="Q36" s="25"/>
      <c r="R36" s="11"/>
    </row>
    <row r="37" spans="2:19" x14ac:dyDescent="0.25">
      <c r="B37" s="27"/>
      <c r="C37" s="17"/>
      <c r="D37" s="17"/>
      <c r="E37" s="17"/>
      <c r="F37" s="17"/>
      <c r="G37" s="17"/>
      <c r="H37" s="25"/>
      <c r="I37" s="25"/>
      <c r="J37" s="25"/>
      <c r="K37" s="25"/>
      <c r="L37" s="25"/>
      <c r="M37" s="25"/>
      <c r="N37" s="25"/>
      <c r="O37" s="25"/>
      <c r="P37" s="25"/>
      <c r="Q37" s="25"/>
      <c r="R37" s="11"/>
    </row>
    <row r="38" spans="2:19" x14ac:dyDescent="0.25">
      <c r="B38" s="27"/>
      <c r="C38" s="17"/>
      <c r="D38" s="17"/>
      <c r="E38" s="17"/>
      <c r="F38" s="17"/>
      <c r="G38" s="17"/>
      <c r="H38" s="25"/>
      <c r="I38" s="25"/>
      <c r="J38" s="25"/>
      <c r="K38" s="25"/>
      <c r="L38" s="25"/>
      <c r="M38" s="25"/>
      <c r="N38" s="25"/>
      <c r="O38" s="25"/>
      <c r="P38" s="25"/>
      <c r="Q38" s="25"/>
      <c r="R38" s="11"/>
    </row>
    <row r="39" spans="2:19" x14ac:dyDescent="0.25">
      <c r="B39" s="27" t="s">
        <v>110</v>
      </c>
      <c r="C39" s="17"/>
      <c r="D39" s="17"/>
      <c r="E39" s="17"/>
      <c r="F39" s="17"/>
      <c r="G39" s="17"/>
      <c r="H39" s="25"/>
      <c r="I39" s="25"/>
      <c r="J39" s="25"/>
      <c r="K39" s="25"/>
      <c r="L39" s="25"/>
      <c r="M39" s="25"/>
      <c r="N39" s="25"/>
      <c r="O39" s="25"/>
      <c r="P39" s="25"/>
      <c r="Q39" s="25"/>
      <c r="R39" s="11"/>
    </row>
    <row r="40" spans="2:19" x14ac:dyDescent="0.25">
      <c r="B40" s="27" t="s">
        <v>103</v>
      </c>
      <c r="C40" s="26"/>
      <c r="D40" s="26"/>
      <c r="E40" s="26"/>
      <c r="F40" s="26"/>
      <c r="G40" s="26"/>
      <c r="H40" s="21">
        <f>H41+2%</f>
        <v>0.16730387037854957</v>
      </c>
      <c r="I40" s="21">
        <f>H40</f>
        <v>0.16730387037854957</v>
      </c>
      <c r="J40" s="21">
        <f t="shared" ref="J40:Q40" si="19">I40</f>
        <v>0.16730387037854957</v>
      </c>
      <c r="K40" s="21">
        <f t="shared" si="19"/>
        <v>0.16730387037854957</v>
      </c>
      <c r="L40" s="21">
        <f t="shared" si="19"/>
        <v>0.16730387037854957</v>
      </c>
      <c r="M40" s="21">
        <f t="shared" si="19"/>
        <v>0.16730387037854957</v>
      </c>
      <c r="N40" s="21">
        <f t="shared" si="19"/>
        <v>0.16730387037854957</v>
      </c>
      <c r="O40" s="21">
        <f t="shared" si="19"/>
        <v>0.16730387037854957</v>
      </c>
      <c r="P40" s="21">
        <f t="shared" si="19"/>
        <v>0.16730387037854957</v>
      </c>
      <c r="Q40" s="21">
        <f t="shared" si="19"/>
        <v>0.16730387037854957</v>
      </c>
      <c r="R40" s="11"/>
    </row>
    <row r="41" spans="2:19" x14ac:dyDescent="0.25">
      <c r="B41" s="27" t="s">
        <v>104</v>
      </c>
      <c r="C41" s="26"/>
      <c r="D41" s="26"/>
      <c r="E41" s="26"/>
      <c r="F41" s="26"/>
      <c r="G41" s="26"/>
      <c r="H41" s="21">
        <f>AVERAGE(D25:G25)</f>
        <v>0.14730387037854958</v>
      </c>
      <c r="I41" s="21">
        <f t="shared" ref="I41:Q42" si="20">H41</f>
        <v>0.14730387037854958</v>
      </c>
      <c r="J41" s="21">
        <f t="shared" si="20"/>
        <v>0.14730387037854958</v>
      </c>
      <c r="K41" s="21">
        <f t="shared" si="20"/>
        <v>0.14730387037854958</v>
      </c>
      <c r="L41" s="21">
        <f t="shared" si="20"/>
        <v>0.14730387037854958</v>
      </c>
      <c r="M41" s="21">
        <f t="shared" si="20"/>
        <v>0.14730387037854958</v>
      </c>
      <c r="N41" s="21">
        <f t="shared" si="20"/>
        <v>0.14730387037854958</v>
      </c>
      <c r="O41" s="21">
        <f t="shared" si="20"/>
        <v>0.14730387037854958</v>
      </c>
      <c r="P41" s="21">
        <f t="shared" si="20"/>
        <v>0.14730387037854958</v>
      </c>
      <c r="Q41" s="21">
        <f t="shared" si="20"/>
        <v>0.14730387037854958</v>
      </c>
      <c r="R41" s="11"/>
    </row>
    <row r="42" spans="2:19" x14ac:dyDescent="0.25">
      <c r="B42" s="27" t="s">
        <v>105</v>
      </c>
      <c r="C42" s="26"/>
      <c r="D42" s="26"/>
      <c r="E42" s="26"/>
      <c r="F42" s="26"/>
      <c r="G42" s="26"/>
      <c r="H42" s="21">
        <f>H41-2%</f>
        <v>0.12730387037854959</v>
      </c>
      <c r="I42" s="21">
        <f t="shared" si="20"/>
        <v>0.12730387037854959</v>
      </c>
      <c r="J42" s="21">
        <f t="shared" si="20"/>
        <v>0.12730387037854959</v>
      </c>
      <c r="K42" s="21">
        <f t="shared" si="20"/>
        <v>0.12730387037854959</v>
      </c>
      <c r="L42" s="21">
        <f t="shared" si="20"/>
        <v>0.12730387037854959</v>
      </c>
      <c r="M42" s="21">
        <f t="shared" si="20"/>
        <v>0.12730387037854959</v>
      </c>
      <c r="N42" s="21">
        <f t="shared" si="20"/>
        <v>0.12730387037854959</v>
      </c>
      <c r="O42" s="21">
        <f t="shared" si="20"/>
        <v>0.12730387037854959</v>
      </c>
      <c r="P42" s="21">
        <f t="shared" si="20"/>
        <v>0.12730387037854959</v>
      </c>
      <c r="Q42" s="21">
        <f t="shared" si="20"/>
        <v>0.12730387037854959</v>
      </c>
      <c r="R42" s="11"/>
    </row>
    <row r="43" spans="2:19" x14ac:dyDescent="0.25">
      <c r="H43" s="4"/>
    </row>
    <row r="44" spans="2:19" x14ac:dyDescent="0.25">
      <c r="B44" s="211"/>
      <c r="C44" s="5"/>
    </row>
    <row r="45" spans="2:19" x14ac:dyDescent="0.25">
      <c r="B45" s="211"/>
      <c r="C45" s="212"/>
      <c r="D45" s="1"/>
      <c r="E45" s="1"/>
      <c r="F45" s="1"/>
      <c r="G45" s="1"/>
    </row>
    <row r="46" spans="2:19" x14ac:dyDescent="0.25">
      <c r="B46" s="211"/>
      <c r="C46" s="212"/>
      <c r="D46" s="1"/>
      <c r="E46" s="1"/>
      <c r="F46" s="1"/>
      <c r="G46" s="1"/>
    </row>
    <row r="47" spans="2:19" x14ac:dyDescent="0.25">
      <c r="B47" s="196"/>
      <c r="C47" s="1"/>
      <c r="D47" s="1"/>
      <c r="E47" s="1"/>
      <c r="F47" s="1"/>
      <c r="G47" s="1"/>
    </row>
    <row r="48" spans="2:19" x14ac:dyDescent="0.25">
      <c r="D48" s="166"/>
      <c r="E48" s="166"/>
      <c r="F48" s="166"/>
      <c r="G48" s="166"/>
    </row>
  </sheetData>
  <mergeCells count="2">
    <mergeCell ref="B8:B9"/>
    <mergeCell ref="B7:Q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61843-1E8A-4787-9D8A-04F9D56EA7FD}">
  <dimension ref="B6:R38"/>
  <sheetViews>
    <sheetView showGridLines="0" topLeftCell="A31" zoomScaleNormal="100" workbookViewId="0">
      <selection activeCell="H27" sqref="H27"/>
    </sheetView>
  </sheetViews>
  <sheetFormatPr defaultRowHeight="15" x14ac:dyDescent="0.25"/>
  <cols>
    <col min="1" max="1" width="0.85546875" customWidth="1"/>
    <col min="2" max="2" width="70.85546875" customWidth="1"/>
    <col min="3" max="3" width="12.85546875" bestFit="1" customWidth="1"/>
    <col min="4" max="4" width="12.5703125" customWidth="1"/>
    <col min="5" max="7" width="12.85546875" bestFit="1" customWidth="1"/>
    <col min="8" max="8" width="12.85546875" customWidth="1"/>
    <col min="9" max="10" width="12.85546875" bestFit="1" customWidth="1"/>
    <col min="11" max="11" width="12.5703125" customWidth="1"/>
    <col min="12" max="12" width="13.85546875" customWidth="1"/>
    <col min="13" max="17" width="14.28515625" bestFit="1" customWidth="1"/>
  </cols>
  <sheetData>
    <row r="6" spans="2:17" x14ac:dyDescent="0.25">
      <c r="Q6" t="s">
        <v>274</v>
      </c>
    </row>
    <row r="7" spans="2:17" ht="18" x14ac:dyDescent="0.25">
      <c r="B7" s="245" t="s">
        <v>275</v>
      </c>
      <c r="C7" s="245"/>
      <c r="D7" s="245"/>
      <c r="E7" s="245"/>
      <c r="F7" s="245"/>
      <c r="G7" s="245"/>
      <c r="H7" s="245"/>
      <c r="I7" s="245"/>
      <c r="J7" s="245"/>
      <c r="K7" s="245"/>
      <c r="L7" s="245"/>
      <c r="M7" s="245"/>
      <c r="N7" s="245"/>
      <c r="O7" s="245"/>
      <c r="P7" s="245"/>
      <c r="Q7" s="245"/>
    </row>
    <row r="8" spans="2:17" x14ac:dyDescent="0.25">
      <c r="B8" s="236" t="s">
        <v>0</v>
      </c>
      <c r="C8" s="37">
        <v>2020</v>
      </c>
      <c r="D8" s="38">
        <v>2021</v>
      </c>
      <c r="E8" s="38">
        <v>2022</v>
      </c>
      <c r="F8" s="38">
        <v>2023</v>
      </c>
      <c r="G8" s="38">
        <v>2024</v>
      </c>
      <c r="H8" s="39">
        <f>G8+1</f>
        <v>2025</v>
      </c>
      <c r="I8" s="39">
        <f t="shared" ref="I8:Q8" si="0">H8+1</f>
        <v>2026</v>
      </c>
      <c r="J8" s="39">
        <f t="shared" si="0"/>
        <v>2027</v>
      </c>
      <c r="K8" s="39">
        <f t="shared" si="0"/>
        <v>2028</v>
      </c>
      <c r="L8" s="39">
        <f t="shared" si="0"/>
        <v>2029</v>
      </c>
      <c r="M8" s="39">
        <f t="shared" si="0"/>
        <v>2030</v>
      </c>
      <c r="N8" s="39">
        <f t="shared" si="0"/>
        <v>2031</v>
      </c>
      <c r="O8" s="39">
        <f t="shared" si="0"/>
        <v>2032</v>
      </c>
      <c r="P8" s="39">
        <f t="shared" si="0"/>
        <v>2033</v>
      </c>
      <c r="Q8" s="39">
        <f t="shared" si="0"/>
        <v>2034</v>
      </c>
    </row>
    <row r="9" spans="2:17" x14ac:dyDescent="0.25">
      <c r="B9" s="237"/>
      <c r="C9" s="40" t="s">
        <v>1</v>
      </c>
      <c r="D9" s="41" t="s">
        <v>1</v>
      </c>
      <c r="E9" s="41" t="s">
        <v>1</v>
      </c>
      <c r="F9" s="41" t="s">
        <v>1</v>
      </c>
      <c r="G9" s="41" t="s">
        <v>1</v>
      </c>
      <c r="H9" s="42" t="s">
        <v>315</v>
      </c>
      <c r="I9" s="42" t="s">
        <v>315</v>
      </c>
      <c r="J9" s="42" t="s">
        <v>315</v>
      </c>
      <c r="K9" s="42" t="s">
        <v>315</v>
      </c>
      <c r="L9" s="42" t="s">
        <v>315</v>
      </c>
      <c r="M9" s="42" t="s">
        <v>315</v>
      </c>
      <c r="N9" s="42" t="s">
        <v>315</v>
      </c>
      <c r="O9" s="42" t="s">
        <v>315</v>
      </c>
      <c r="P9" s="42" t="s">
        <v>315</v>
      </c>
      <c r="Q9" s="42" t="s">
        <v>315</v>
      </c>
    </row>
    <row r="10" spans="2:17" x14ac:dyDescent="0.25">
      <c r="B10" s="43"/>
      <c r="H10" s="18"/>
      <c r="I10" s="18"/>
      <c r="J10" s="18"/>
      <c r="K10" s="18"/>
      <c r="L10" s="18"/>
      <c r="M10" s="18"/>
      <c r="N10" s="18"/>
      <c r="O10" s="18"/>
      <c r="P10" s="18"/>
      <c r="Q10" s="18"/>
    </row>
    <row r="11" spans="2:17" x14ac:dyDescent="0.25">
      <c r="B11" s="48" t="s">
        <v>2</v>
      </c>
      <c r="C11" s="52">
        <f>'Revenue Build Up'!C15</f>
        <v>21951.27</v>
      </c>
      <c r="D11" s="35">
        <f>'Revenue Build Up'!D15</f>
        <v>19454.100000000002</v>
      </c>
      <c r="E11" s="35">
        <f>'Revenue Build Up'!E15</f>
        <v>26237.15</v>
      </c>
      <c r="F11" s="35">
        <f>'Revenue Build Up'!F15</f>
        <v>41672.600000000006</v>
      </c>
      <c r="G11" s="35">
        <f>'Revenue Build Up'!G15</f>
        <v>45790.64</v>
      </c>
      <c r="H11" s="36">
        <f>'Revenue Build Up'!H15</f>
        <v>56642.794208691434</v>
      </c>
      <c r="I11" s="36">
        <f>'Revenue Build Up'!I15</f>
        <v>70122.297472604128</v>
      </c>
      <c r="J11" s="36">
        <f>'Revenue Build Up'!J15</f>
        <v>86872.699191201726</v>
      </c>
      <c r="K11" s="36">
        <f>'Revenue Build Up'!K15</f>
        <v>107696.16338916784</v>
      </c>
      <c r="L11" s="36">
        <f>'Revenue Build Up'!L15</f>
        <v>133592.69003155819</v>
      </c>
      <c r="M11" s="36">
        <f>'Revenue Build Up'!M15</f>
        <v>165809.05129306993</v>
      </c>
      <c r="N11" s="36">
        <f>'Revenue Build Up'!N15</f>
        <v>205899.85126593101</v>
      </c>
      <c r="O11" s="36">
        <f>'Revenue Build Up'!O15</f>
        <v>255803.71496507947</v>
      </c>
      <c r="P11" s="36">
        <f>'Revenue Build Up'!P15</f>
        <v>317938.35806490155</v>
      </c>
      <c r="Q11" s="36">
        <f>'Revenue Build Up'!Q15</f>
        <v>395319.21935037855</v>
      </c>
    </row>
    <row r="12" spans="2:17" x14ac:dyDescent="0.25">
      <c r="B12" s="44"/>
      <c r="C12" s="17"/>
      <c r="D12" s="17"/>
      <c r="E12" s="17"/>
      <c r="F12" s="17"/>
      <c r="G12" s="17"/>
      <c r="H12" s="19"/>
      <c r="I12" s="19"/>
      <c r="J12" s="19"/>
      <c r="K12" s="19"/>
      <c r="L12" s="19"/>
      <c r="M12" s="19"/>
      <c r="N12" s="19"/>
      <c r="O12" s="19"/>
      <c r="P12" s="19"/>
      <c r="Q12" s="19"/>
    </row>
    <row r="13" spans="2:17" x14ac:dyDescent="0.25">
      <c r="B13" s="44" t="s">
        <v>4</v>
      </c>
      <c r="C13" s="17">
        <f>'P&amp;L_Input'!C15</f>
        <v>11164.38</v>
      </c>
      <c r="D13" s="17">
        <f>'P&amp;L_Input'!D15</f>
        <v>11768.86</v>
      </c>
      <c r="E13" s="17">
        <f>'P&amp;L_Input'!E15</f>
        <v>16619.599999999999</v>
      </c>
      <c r="F13" s="17">
        <f>'P&amp;L_Input'!F15</f>
        <v>28272.18</v>
      </c>
      <c r="G13" s="17">
        <f>'P&amp;L_Input'!G15</f>
        <v>28241.38</v>
      </c>
      <c r="H13" s="19">
        <f>H$11*H14</f>
        <v>34463.482177350183</v>
      </c>
      <c r="I13" s="19">
        <f t="shared" ref="I13:Q13" si="1">I$11*I14</f>
        <v>42664.889381659799</v>
      </c>
      <c r="J13" s="19">
        <f t="shared" si="1"/>
        <v>52856.427054844804</v>
      </c>
      <c r="K13" s="19">
        <f t="shared" si="1"/>
        <v>65526.160200657316</v>
      </c>
      <c r="L13" s="19">
        <f t="shared" si="1"/>
        <v>81282.524215947167</v>
      </c>
      <c r="M13" s="19">
        <f t="shared" si="1"/>
        <v>100884.09945011559</v>
      </c>
      <c r="N13" s="19">
        <f t="shared" si="1"/>
        <v>125276.76209401464</v>
      </c>
      <c r="O13" s="19">
        <f t="shared" si="1"/>
        <v>155640.04026916894</v>
      </c>
      <c r="P13" s="19">
        <f t="shared" si="1"/>
        <v>193444.95782279756</v>
      </c>
      <c r="Q13" s="19">
        <f t="shared" si="1"/>
        <v>240526.21451282929</v>
      </c>
    </row>
    <row r="14" spans="2:17" x14ac:dyDescent="0.25">
      <c r="B14" s="44"/>
      <c r="C14" s="30">
        <f>C13/C11</f>
        <v>0.50859836355709709</v>
      </c>
      <c r="D14" s="30">
        <f t="shared" ref="D14:G14" si="2">D13/D11</f>
        <v>0.60495525364833114</v>
      </c>
      <c r="E14" s="30">
        <f t="shared" si="2"/>
        <v>0.63343770188454152</v>
      </c>
      <c r="F14" s="30">
        <f t="shared" si="2"/>
        <v>0.67843571075478848</v>
      </c>
      <c r="G14" s="30">
        <f t="shared" si="2"/>
        <v>0.61675006071109728</v>
      </c>
      <c r="H14" s="21">
        <f>AVERAGE(C14:G14)</f>
        <v>0.60843541811117097</v>
      </c>
      <c r="I14" s="21">
        <f>H14</f>
        <v>0.60843541811117097</v>
      </c>
      <c r="J14" s="21">
        <f t="shared" ref="J14:Q14" si="3">I14</f>
        <v>0.60843541811117097</v>
      </c>
      <c r="K14" s="21">
        <f t="shared" si="3"/>
        <v>0.60843541811117097</v>
      </c>
      <c r="L14" s="21">
        <f t="shared" si="3"/>
        <v>0.60843541811117097</v>
      </c>
      <c r="M14" s="21">
        <f t="shared" si="3"/>
        <v>0.60843541811117097</v>
      </c>
      <c r="N14" s="21">
        <f t="shared" si="3"/>
        <v>0.60843541811117097</v>
      </c>
      <c r="O14" s="21">
        <f t="shared" si="3"/>
        <v>0.60843541811117097</v>
      </c>
      <c r="P14" s="21">
        <f t="shared" si="3"/>
        <v>0.60843541811117097</v>
      </c>
      <c r="Q14" s="21">
        <f t="shared" si="3"/>
        <v>0.60843541811117097</v>
      </c>
    </row>
    <row r="15" spans="2:17" x14ac:dyDescent="0.25">
      <c r="B15" s="44"/>
      <c r="C15" s="17"/>
      <c r="D15" s="17"/>
      <c r="E15" s="17"/>
      <c r="F15" s="17"/>
      <c r="G15" s="17"/>
      <c r="H15" s="19"/>
      <c r="I15" s="19"/>
      <c r="J15" s="19"/>
      <c r="K15" s="19"/>
      <c r="L15" s="19"/>
      <c r="M15" s="19"/>
      <c r="N15" s="19"/>
      <c r="O15" s="19"/>
      <c r="P15" s="19"/>
      <c r="Q15" s="19"/>
    </row>
    <row r="16" spans="2:17" x14ac:dyDescent="0.25">
      <c r="B16" s="46" t="s">
        <v>5</v>
      </c>
      <c r="C16" s="17">
        <f>'P&amp;L_Input'!C16</f>
        <v>874.38</v>
      </c>
      <c r="D16" s="17">
        <f>'P&amp;L_Input'!D16</f>
        <v>807.62</v>
      </c>
      <c r="E16" s="17">
        <f>'P&amp;L_Input'!E16</f>
        <v>945.42</v>
      </c>
      <c r="F16" s="17">
        <f>'P&amp;L_Input'!F16</f>
        <v>1176.21</v>
      </c>
      <c r="G16" s="17">
        <f>'P&amp;L_Input'!G16</f>
        <v>1557.01</v>
      </c>
      <c r="H16" s="19">
        <f>H$11*H17</f>
        <v>2034.7039181425284</v>
      </c>
      <c r="I16" s="19">
        <f t="shared" ref="I16" si="4">I$11*I17</f>
        <v>2518.9102234432248</v>
      </c>
      <c r="J16" s="19">
        <f t="shared" ref="J16" si="5">J$11*J17</f>
        <v>3120.6126726854309</v>
      </c>
      <c r="K16" s="19">
        <f t="shared" ref="K16" si="6">K$11*K17</f>
        <v>3868.6263394688572</v>
      </c>
      <c r="L16" s="19">
        <f t="shared" ref="L16" si="7">L$11*L17</f>
        <v>4798.8728953047075</v>
      </c>
      <c r="M16" s="19">
        <f t="shared" ref="M16" si="8">M$11*M17</f>
        <v>5956.1384822667787</v>
      </c>
      <c r="N16" s="19">
        <f t="shared" ref="N16" si="9">N$11*N17</f>
        <v>7396.2670798374829</v>
      </c>
      <c r="O16" s="19">
        <f t="shared" ref="O16" si="10">O$11*O17</f>
        <v>9188.8973414202974</v>
      </c>
      <c r="P16" s="19">
        <f t="shared" ref="P16" si="11">P$11*P17</f>
        <v>11420.877658312866</v>
      </c>
      <c r="Q16" s="19">
        <f t="shared" ref="Q16" si="12">Q$11*Q17</f>
        <v>14200.527635796576</v>
      </c>
    </row>
    <row r="17" spans="2:18" x14ac:dyDescent="0.25">
      <c r="B17" s="45"/>
      <c r="C17" s="30">
        <f>C16/C11</f>
        <v>3.9832775051284047E-2</v>
      </c>
      <c r="D17" s="30">
        <f t="shared" ref="D17:G17" si="13">D16/D11</f>
        <v>4.1514128127232812E-2</v>
      </c>
      <c r="E17" s="30">
        <f t="shared" si="13"/>
        <v>3.6033639324393081E-2</v>
      </c>
      <c r="F17" s="30">
        <f t="shared" si="13"/>
        <v>2.8225020757044195E-2</v>
      </c>
      <c r="G17" s="30">
        <f t="shared" si="13"/>
        <v>3.400280057234404E-2</v>
      </c>
      <c r="H17" s="21">
        <f>AVERAGE(C17:G17)</f>
        <v>3.5921672766459634E-2</v>
      </c>
      <c r="I17" s="21">
        <f>H17</f>
        <v>3.5921672766459634E-2</v>
      </c>
      <c r="J17" s="21">
        <f t="shared" ref="J17:Q17" si="14">I17</f>
        <v>3.5921672766459634E-2</v>
      </c>
      <c r="K17" s="21">
        <f t="shared" si="14"/>
        <v>3.5921672766459634E-2</v>
      </c>
      <c r="L17" s="21">
        <f t="shared" si="14"/>
        <v>3.5921672766459634E-2</v>
      </c>
      <c r="M17" s="21">
        <f t="shared" si="14"/>
        <v>3.5921672766459634E-2</v>
      </c>
      <c r="N17" s="21">
        <f t="shared" si="14"/>
        <v>3.5921672766459634E-2</v>
      </c>
      <c r="O17" s="21">
        <f t="shared" si="14"/>
        <v>3.5921672766459634E-2</v>
      </c>
      <c r="P17" s="21">
        <f t="shared" si="14"/>
        <v>3.5921672766459634E-2</v>
      </c>
      <c r="Q17" s="21">
        <f t="shared" si="14"/>
        <v>3.5921672766459634E-2</v>
      </c>
    </row>
    <row r="18" spans="2:18" x14ac:dyDescent="0.25">
      <c r="B18" s="45"/>
      <c r="C18" s="17"/>
      <c r="D18" s="17"/>
      <c r="E18" s="17"/>
      <c r="F18" s="17"/>
      <c r="G18" s="17"/>
      <c r="H18" s="19"/>
      <c r="I18" s="19"/>
      <c r="J18" s="19"/>
      <c r="K18" s="19"/>
      <c r="L18" s="19"/>
      <c r="M18" s="19"/>
      <c r="N18" s="19"/>
      <c r="O18" s="19"/>
      <c r="P18" s="19"/>
      <c r="Q18" s="19"/>
    </row>
    <row r="19" spans="2:18" x14ac:dyDescent="0.25">
      <c r="B19" s="44" t="s">
        <v>6</v>
      </c>
      <c r="C19" s="17">
        <f>'P&amp;L_Input'!C17</f>
        <v>1307.1600000000001</v>
      </c>
      <c r="D19" s="17">
        <f>'P&amp;L_Input'!D17</f>
        <v>-529.1</v>
      </c>
      <c r="E19" s="17">
        <f>'P&amp;L_Input'!E17</f>
        <v>48.24</v>
      </c>
      <c r="F19" s="17">
        <f>'P&amp;L_Input'!F17</f>
        <v>-629.49</v>
      </c>
      <c r="G19" s="17">
        <f>'P&amp;L_Input'!G17</f>
        <v>-568.89</v>
      </c>
      <c r="H19" s="19">
        <f>H$11*H20</f>
        <v>75.450452405040934</v>
      </c>
      <c r="I19" s="19">
        <f t="shared" ref="I19" si="15">I$11*I20</f>
        <v>93.405686317236984</v>
      </c>
      <c r="J19" s="19">
        <f t="shared" ref="J19" si="16">J$11*J20</f>
        <v>115.71788692969263</v>
      </c>
      <c r="K19" s="19">
        <f t="shared" ref="K19" si="17">K$11*K20</f>
        <v>143.45556859469133</v>
      </c>
      <c r="L19" s="19">
        <f t="shared" ref="L19" si="18">L$11*L20</f>
        <v>177.95077099746644</v>
      </c>
      <c r="M19" s="19">
        <f t="shared" ref="M19" si="19">M$11*M20</f>
        <v>220.86424421119281</v>
      </c>
      <c r="N19" s="19">
        <f t="shared" ref="N19" si="20">N$11*N20</f>
        <v>274.2667826539066</v>
      </c>
      <c r="O19" s="19">
        <f t="shared" ref="O19" si="21">O$11*O20</f>
        <v>340.7407118705288</v>
      </c>
      <c r="P19" s="19">
        <f t="shared" ref="P19" si="22">P$11*P20</f>
        <v>423.50652519949017</v>
      </c>
      <c r="Q19" s="19">
        <f t="shared" ref="Q19" si="23">Q$11*Q20</f>
        <v>526.58090691113773</v>
      </c>
    </row>
    <row r="20" spans="2:18" x14ac:dyDescent="0.25">
      <c r="B20" s="44"/>
      <c r="C20" s="30">
        <f>C19/C11</f>
        <v>5.9548263038995013E-2</v>
      </c>
      <c r="D20" s="30">
        <f t="shared" ref="D20:G20" si="24">D19/D11</f>
        <v>-2.7197351715062632E-2</v>
      </c>
      <c r="E20" s="30">
        <f t="shared" si="24"/>
        <v>1.8386143312059428E-3</v>
      </c>
      <c r="F20" s="30">
        <f t="shared" si="24"/>
        <v>-1.5105608961283911E-2</v>
      </c>
      <c r="G20" s="30">
        <f t="shared" si="24"/>
        <v>-1.2423718034952121E-2</v>
      </c>
      <c r="H20" s="21">
        <f>AVERAGE(C20:G20)</f>
        <v>1.3320397317804565E-3</v>
      </c>
      <c r="I20" s="21">
        <f>H20</f>
        <v>1.3320397317804565E-3</v>
      </c>
      <c r="J20" s="21">
        <f t="shared" ref="J20:Q20" si="25">I20</f>
        <v>1.3320397317804565E-3</v>
      </c>
      <c r="K20" s="21">
        <f t="shared" si="25"/>
        <v>1.3320397317804565E-3</v>
      </c>
      <c r="L20" s="21">
        <f t="shared" si="25"/>
        <v>1.3320397317804565E-3</v>
      </c>
      <c r="M20" s="21">
        <f t="shared" si="25"/>
        <v>1.3320397317804565E-3</v>
      </c>
      <c r="N20" s="21">
        <f t="shared" si="25"/>
        <v>1.3320397317804565E-3</v>
      </c>
      <c r="O20" s="21">
        <f t="shared" si="25"/>
        <v>1.3320397317804565E-3</v>
      </c>
      <c r="P20" s="21">
        <f t="shared" si="25"/>
        <v>1.3320397317804565E-3</v>
      </c>
      <c r="Q20" s="21">
        <f t="shared" si="25"/>
        <v>1.3320397317804565E-3</v>
      </c>
    </row>
    <row r="21" spans="2:18" x14ac:dyDescent="0.25">
      <c r="B21" s="46"/>
      <c r="C21" s="17"/>
      <c r="D21" s="17"/>
      <c r="E21" s="17"/>
      <c r="F21" s="17"/>
      <c r="G21" s="17"/>
      <c r="H21" s="19"/>
      <c r="I21" s="19"/>
      <c r="J21" s="19"/>
      <c r="K21" s="19"/>
      <c r="L21" s="19"/>
      <c r="M21" s="19"/>
      <c r="N21" s="19"/>
      <c r="O21" s="19"/>
      <c r="P21" s="19"/>
      <c r="Q21" s="19"/>
    </row>
    <row r="22" spans="2:18" x14ac:dyDescent="0.25">
      <c r="B22" s="48" t="s">
        <v>111</v>
      </c>
      <c r="C22" s="34">
        <f>SUM(C13,C16,C19)</f>
        <v>13345.919999999998</v>
      </c>
      <c r="D22" s="34">
        <f t="shared" ref="D22:Q22" si="26">SUM(D13,D16,D19)</f>
        <v>12047.380000000001</v>
      </c>
      <c r="E22" s="34">
        <f t="shared" si="26"/>
        <v>17613.259999999998</v>
      </c>
      <c r="F22" s="34">
        <f t="shared" si="26"/>
        <v>28818.899999999998</v>
      </c>
      <c r="G22" s="34">
        <f t="shared" si="26"/>
        <v>29229.5</v>
      </c>
      <c r="H22" s="23">
        <f t="shared" si="26"/>
        <v>36573.636547897753</v>
      </c>
      <c r="I22" s="23">
        <f t="shared" si="26"/>
        <v>45277.205291420258</v>
      </c>
      <c r="J22" s="23">
        <f t="shared" si="26"/>
        <v>56092.75761445993</v>
      </c>
      <c r="K22" s="23">
        <f t="shared" si="26"/>
        <v>69538.242108720864</v>
      </c>
      <c r="L22" s="23">
        <f t="shared" si="26"/>
        <v>86259.347882249349</v>
      </c>
      <c r="M22" s="23">
        <f t="shared" si="26"/>
        <v>107061.10217659356</v>
      </c>
      <c r="N22" s="23">
        <f t="shared" si="26"/>
        <v>132947.29595650602</v>
      </c>
      <c r="O22" s="23">
        <f t="shared" si="26"/>
        <v>165169.67832245975</v>
      </c>
      <c r="P22" s="23">
        <f t="shared" si="26"/>
        <v>205289.34200630992</v>
      </c>
      <c r="Q22" s="23">
        <f t="shared" si="26"/>
        <v>255253.32305553701</v>
      </c>
    </row>
    <row r="23" spans="2:18" x14ac:dyDescent="0.25">
      <c r="B23" s="44"/>
      <c r="C23" s="17"/>
      <c r="D23" s="17"/>
      <c r="E23" s="17"/>
      <c r="F23" s="17"/>
      <c r="G23" s="17"/>
      <c r="H23" s="19"/>
      <c r="I23" s="19"/>
      <c r="J23" s="19"/>
      <c r="K23" s="19"/>
      <c r="L23" s="19"/>
      <c r="M23" s="19"/>
      <c r="N23" s="19"/>
      <c r="O23" s="19"/>
      <c r="P23" s="19"/>
      <c r="Q23" s="19"/>
    </row>
    <row r="24" spans="2:18" x14ac:dyDescent="0.25">
      <c r="B24" s="44" t="s">
        <v>195</v>
      </c>
      <c r="C24" s="30">
        <f>(C11-C22)/C11</f>
        <v>0.39202059835262387</v>
      </c>
      <c r="D24" s="30">
        <f t="shared" ref="D24:Q24" si="27">(D11-D22)/D11</f>
        <v>0.38072796993949864</v>
      </c>
      <c r="E24" s="30">
        <f t="shared" si="27"/>
        <v>0.3286900444598595</v>
      </c>
      <c r="F24" s="30">
        <f t="shared" si="27"/>
        <v>0.30844487744945137</v>
      </c>
      <c r="G24" s="30">
        <f t="shared" si="27"/>
        <v>0.36167085675151078</v>
      </c>
      <c r="H24" s="32">
        <f t="shared" si="27"/>
        <v>0.35431086939058898</v>
      </c>
      <c r="I24" s="32">
        <f t="shared" si="27"/>
        <v>0.35431086939058898</v>
      </c>
      <c r="J24" s="32">
        <f t="shared" si="27"/>
        <v>0.35431086939058892</v>
      </c>
      <c r="K24" s="32">
        <f t="shared" si="27"/>
        <v>0.35431086939058892</v>
      </c>
      <c r="L24" s="32">
        <f t="shared" si="27"/>
        <v>0.35431086939058887</v>
      </c>
      <c r="M24" s="32">
        <f t="shared" si="27"/>
        <v>0.35431086939058903</v>
      </c>
      <c r="N24" s="32">
        <f t="shared" si="27"/>
        <v>0.35431086939058903</v>
      </c>
      <c r="O24" s="32">
        <f t="shared" si="27"/>
        <v>0.35431086939058898</v>
      </c>
      <c r="P24" s="32">
        <f t="shared" si="27"/>
        <v>0.35431086939058892</v>
      </c>
      <c r="Q24" s="32">
        <f t="shared" si="27"/>
        <v>0.35431086939058892</v>
      </c>
    </row>
    <row r="25" spans="2:18" x14ac:dyDescent="0.25">
      <c r="B25" s="46"/>
      <c r="C25" s="17"/>
      <c r="D25" s="17"/>
      <c r="E25" s="17"/>
      <c r="F25" s="17"/>
      <c r="G25" s="17"/>
      <c r="H25" s="19"/>
      <c r="I25" s="19"/>
      <c r="J25" s="19"/>
      <c r="K25" s="19"/>
      <c r="L25" s="19"/>
      <c r="M25" s="19"/>
      <c r="N25" s="19"/>
      <c r="O25" s="19"/>
      <c r="P25" s="19"/>
      <c r="Q25" s="19"/>
    </row>
    <row r="26" spans="2:18" x14ac:dyDescent="0.25">
      <c r="B26" s="44" t="s">
        <v>7</v>
      </c>
      <c r="C26" s="17">
        <f>'P&amp;L_Input'!C18</f>
        <v>2190.27</v>
      </c>
      <c r="D26" s="17">
        <f>'P&amp;L_Input'!D18</f>
        <v>2159.4299999999998</v>
      </c>
      <c r="E26" s="17">
        <f>'P&amp;L_Input'!E18</f>
        <v>2616.7600000000002</v>
      </c>
      <c r="F26" s="17">
        <f>'P&amp;L_Input'!F18</f>
        <v>3234.38</v>
      </c>
      <c r="G26" s="17">
        <f>'P&amp;L_Input'!G18</f>
        <v>3672.69</v>
      </c>
      <c r="H26" s="19">
        <f>H$11*H27</f>
        <v>5305.5621026163008</v>
      </c>
      <c r="I26" s="19">
        <f t="shared" ref="I26" si="28">I$11*I27</f>
        <v>6568.1470911960887</v>
      </c>
      <c r="J26" s="19">
        <f t="shared" ref="J26" si="29">J$11*J27</f>
        <v>8137.1074118038923</v>
      </c>
      <c r="K26" s="19">
        <f t="shared" ref="K26" si="30">K$11*K27</f>
        <v>10087.579383346636</v>
      </c>
      <c r="L26" s="19">
        <f t="shared" ref="L26" si="31">L$11*L27</f>
        <v>12513.23002898829</v>
      </c>
      <c r="M26" s="19">
        <f t="shared" ref="M26" si="32">M$11*M27</f>
        <v>15530.840790977238</v>
      </c>
      <c r="N26" s="19">
        <f t="shared" ref="N26" si="33">N$11*N27</f>
        <v>19286.026811919412</v>
      </c>
      <c r="O26" s="19">
        <f t="shared" ref="O26" si="34">O$11*O27</f>
        <v>23960.37333234062</v>
      </c>
      <c r="P26" s="19">
        <f t="shared" ref="P26" si="35">P$11*P27</f>
        <v>29780.340590230971</v>
      </c>
      <c r="Q26" s="19">
        <f t="shared" ref="Q26" si="36">Q$11*Q27</f>
        <v>37028.375769982747</v>
      </c>
      <c r="R26" s="21"/>
    </row>
    <row r="27" spans="2:18" x14ac:dyDescent="0.25">
      <c r="B27" s="44"/>
      <c r="C27" s="30">
        <f>C26/C11</f>
        <v>9.9778737175571161E-2</v>
      </c>
      <c r="D27" s="30">
        <f t="shared" ref="D27:G27" si="37">D26/D11</f>
        <v>0.11100127993584898</v>
      </c>
      <c r="E27" s="30">
        <f t="shared" si="37"/>
        <v>9.9734917855026181E-2</v>
      </c>
      <c r="F27" s="30">
        <f t="shared" si="37"/>
        <v>7.7614067756751434E-2</v>
      </c>
      <c r="G27" s="30">
        <f t="shared" si="37"/>
        <v>8.0206129462265657E-2</v>
      </c>
      <c r="H27" s="21">
        <f>AVERAGE(C27:G27)</f>
        <v>9.3667026437092682E-2</v>
      </c>
      <c r="I27" s="21">
        <f>H27</f>
        <v>9.3667026437092682E-2</v>
      </c>
      <c r="J27" s="21">
        <f t="shared" ref="J27:Q27" si="38">I27</f>
        <v>9.3667026437092682E-2</v>
      </c>
      <c r="K27" s="21">
        <f t="shared" si="38"/>
        <v>9.3667026437092682E-2</v>
      </c>
      <c r="L27" s="21">
        <f t="shared" si="38"/>
        <v>9.3667026437092682E-2</v>
      </c>
      <c r="M27" s="21">
        <f t="shared" si="38"/>
        <v>9.3667026437092682E-2</v>
      </c>
      <c r="N27" s="21">
        <f t="shared" si="38"/>
        <v>9.3667026437092682E-2</v>
      </c>
      <c r="O27" s="21">
        <f t="shared" si="38"/>
        <v>9.3667026437092682E-2</v>
      </c>
      <c r="P27" s="21">
        <f t="shared" si="38"/>
        <v>9.3667026437092682E-2</v>
      </c>
      <c r="Q27" s="21">
        <f t="shared" si="38"/>
        <v>9.3667026437092682E-2</v>
      </c>
    </row>
    <row r="28" spans="2:18" x14ac:dyDescent="0.25">
      <c r="B28" s="44"/>
      <c r="C28" s="17"/>
      <c r="D28" s="17"/>
      <c r="E28" s="17"/>
      <c r="F28" s="17"/>
      <c r="G28" s="17"/>
      <c r="H28" s="19"/>
      <c r="I28" s="19"/>
      <c r="J28" s="19"/>
      <c r="K28" s="19"/>
      <c r="L28" s="19"/>
      <c r="M28" s="19"/>
      <c r="N28" s="19"/>
      <c r="O28" s="19"/>
      <c r="P28" s="19"/>
      <c r="Q28" s="19"/>
    </row>
    <row r="29" spans="2:18" x14ac:dyDescent="0.25">
      <c r="B29" s="44" t="s">
        <v>8</v>
      </c>
      <c r="C29" s="17">
        <f>'P&amp;L_Input'!C19</f>
        <v>3181.73</v>
      </c>
      <c r="D29" s="17">
        <f>'P&amp;L_Input'!D19</f>
        <v>2784.85</v>
      </c>
      <c r="E29" s="17">
        <f>'P&amp;L_Input'!E19</f>
        <v>3241.89</v>
      </c>
      <c r="F29" s="17">
        <f>'P&amp;L_Input'!F19</f>
        <v>4526.42</v>
      </c>
      <c r="G29" s="17">
        <f>'P&amp;L_Input'!G19</f>
        <v>4945.58</v>
      </c>
      <c r="H29" s="19">
        <f>H$11*H30</f>
        <v>7117.4928587923596</v>
      </c>
      <c r="I29" s="19">
        <f t="shared" ref="I29" si="39">I$11*I30</f>
        <v>8811.2699678009685</v>
      </c>
      <c r="J29" s="19">
        <f t="shared" ref="J29" si="40">J$11*J30</f>
        <v>10916.054279372378</v>
      </c>
      <c r="K29" s="19">
        <f t="shared" ref="K29" si="41">K$11*K30</f>
        <v>13532.642316648269</v>
      </c>
      <c r="L29" s="19">
        <f t="shared" ref="L29" si="42">L$11*L30</f>
        <v>16786.689826480633</v>
      </c>
      <c r="M29" s="19">
        <f t="shared" ref="M29" si="43">M$11*M30</f>
        <v>20834.860903109835</v>
      </c>
      <c r="N29" s="19">
        <f t="shared" ref="N29" si="44">N$11*N30</f>
        <v>25872.500491630122</v>
      </c>
      <c r="O29" s="19">
        <f t="shared" ref="O29" si="45">O$11*O30</f>
        <v>32143.207974671892</v>
      </c>
      <c r="P29" s="19">
        <f t="shared" ref="P29" si="46">P$11*P30</f>
        <v>39950.78323159198</v>
      </c>
      <c r="Q29" s="19">
        <f t="shared" ref="Q29" si="47">Q$11*Q30</f>
        <v>49674.133488244304</v>
      </c>
      <c r="R29" s="1"/>
    </row>
    <row r="30" spans="2:18" x14ac:dyDescent="0.25">
      <c r="B30" s="44"/>
      <c r="C30" s="30">
        <f>C29/C11</f>
        <v>0.14494514440394565</v>
      </c>
      <c r="D30" s="30">
        <f t="shared" ref="D30:G30" si="48">D29/D11</f>
        <v>0.14314977305555124</v>
      </c>
      <c r="E30" s="30">
        <f t="shared" si="48"/>
        <v>0.12356105750815159</v>
      </c>
      <c r="F30" s="30">
        <f t="shared" si="48"/>
        <v>0.10861861270955014</v>
      </c>
      <c r="G30" s="30">
        <f t="shared" si="48"/>
        <v>0.10800416853750024</v>
      </c>
      <c r="H30" s="21">
        <f>AVERAGE(C30:G30)</f>
        <v>0.12565575124293976</v>
      </c>
      <c r="I30" s="21">
        <f>H30</f>
        <v>0.12565575124293976</v>
      </c>
      <c r="J30" s="21">
        <f t="shared" ref="J30:Q30" si="49">I30</f>
        <v>0.12565575124293976</v>
      </c>
      <c r="K30" s="21">
        <f t="shared" si="49"/>
        <v>0.12565575124293976</v>
      </c>
      <c r="L30" s="21">
        <f t="shared" si="49"/>
        <v>0.12565575124293976</v>
      </c>
      <c r="M30" s="21">
        <f t="shared" si="49"/>
        <v>0.12565575124293976</v>
      </c>
      <c r="N30" s="21">
        <f t="shared" si="49"/>
        <v>0.12565575124293976</v>
      </c>
      <c r="O30" s="21">
        <f t="shared" si="49"/>
        <v>0.12565575124293976</v>
      </c>
      <c r="P30" s="21">
        <f t="shared" si="49"/>
        <v>0.12565575124293976</v>
      </c>
      <c r="Q30" s="21">
        <f t="shared" si="49"/>
        <v>0.12565575124293976</v>
      </c>
    </row>
    <row r="31" spans="2:18" x14ac:dyDescent="0.25">
      <c r="B31" s="44"/>
      <c r="C31" s="17"/>
      <c r="D31" s="17"/>
      <c r="E31" s="17"/>
      <c r="F31" s="17"/>
      <c r="G31" s="17"/>
      <c r="H31" s="19"/>
      <c r="I31" s="19"/>
      <c r="J31" s="19"/>
      <c r="K31" s="19"/>
      <c r="L31" s="19"/>
      <c r="M31" s="19"/>
      <c r="N31" s="19"/>
      <c r="O31" s="19"/>
      <c r="P31" s="19"/>
      <c r="Q31" s="19"/>
    </row>
    <row r="32" spans="2:18" x14ac:dyDescent="0.25">
      <c r="B32" s="44" t="s">
        <v>12</v>
      </c>
      <c r="C32" s="17">
        <f>'P&amp;L_Input'!C29</f>
        <v>1801.65</v>
      </c>
      <c r="D32" s="17">
        <f>'P&amp;L_Input'!D29</f>
        <v>1900.64</v>
      </c>
      <c r="E32" s="17">
        <f>'P&amp;L_Input'!E29</f>
        <v>1869.05</v>
      </c>
      <c r="F32" s="17">
        <f>'P&amp;L_Input'!F29</f>
        <v>2093.5</v>
      </c>
      <c r="G32" s="17">
        <f>'P&amp;L_Input'!G29</f>
        <v>2982.25</v>
      </c>
      <c r="H32" s="19">
        <f>H33*SUM(Balance_Sheet!H58,Balance_Sheet!H70,Balance_Sheet!H72,Balance_Sheet!H59)</f>
        <v>4152.1811704347601</v>
      </c>
      <c r="I32" s="19">
        <f>I33*SUM(Balance_Sheet!I58,Balance_Sheet!I70,Balance_Sheet!I72,Balance_Sheet!I59)</f>
        <v>5140.2916692392864</v>
      </c>
      <c r="J32" s="19">
        <f>J33*SUM(Balance_Sheet!J58,Balance_Sheet!J70,Balance_Sheet!J72,Balance_Sheet!J59)</f>
        <v>6368.17429022953</v>
      </c>
      <c r="K32" s="19">
        <f>K33*SUM(Balance_Sheet!K58,Balance_Sheet!K70,Balance_Sheet!K72,Balance_Sheet!K59)</f>
        <v>7894.6314001570281</v>
      </c>
      <c r="L32" s="19">
        <f>L33*SUM(Balance_Sheet!L58,Balance_Sheet!L70,Balance_Sheet!L72,Balance_Sheet!L59)</f>
        <v>9792.9676635134747</v>
      </c>
      <c r="M32" s="19">
        <f>M33*SUM(Balance_Sheet!M58,Balance_Sheet!M70,Balance_Sheet!M72,Balance_Sheet!M59)</f>
        <v>12154.577299456312</v>
      </c>
      <c r="N32" s="19">
        <f>N33*SUM(Balance_Sheet!N58,Balance_Sheet!N70,Balance_Sheet!N72,Balance_Sheet!N59)</f>
        <v>15093.420043365957</v>
      </c>
      <c r="O32" s="19">
        <f>O33*SUM(Balance_Sheet!O58,Balance_Sheet!O70,Balance_Sheet!O72,Balance_Sheet!O59)</f>
        <v>18751.606156503578</v>
      </c>
      <c r="P32" s="19">
        <f>P33*SUM(Balance_Sheet!P58,Balance_Sheet!P70,Balance_Sheet!P72,Balance_Sheet!P59)</f>
        <v>23306.365481409521</v>
      </c>
      <c r="Q32" s="19">
        <f>Q33*SUM(Balance_Sheet!Q58,Balance_Sheet!Q70,Balance_Sheet!Q72,Balance_Sheet!Q59)</f>
        <v>28978.743754236333</v>
      </c>
    </row>
    <row r="33" spans="2:17" x14ac:dyDescent="0.25">
      <c r="B33" s="44"/>
      <c r="C33" s="30">
        <f>'P&amp;L_Input'!C29/SUM(BS_Input!C57:C58,BS_Input!C69,BS_Input!C73)</f>
        <v>0.11032153769847344</v>
      </c>
      <c r="D33" s="30">
        <f>'P&amp;L_Input'!D29/SUM(BS_Input!D57:D58,BS_Input!D69,BS_Input!D73)</f>
        <v>0.10356909710529212</v>
      </c>
      <c r="E33" s="30">
        <f>'P&amp;L_Input'!E29/SUM(BS_Input!E57:E58,BS_Input!E69,BS_Input!E73)</f>
        <v>7.7409337412021204E-2</v>
      </c>
      <c r="F33" s="30">
        <f>'P&amp;L_Input'!F29/SUM(BS_Input!F57:F58,BS_Input!F69,BS_Input!F73)</f>
        <v>6.7183489067880825E-2</v>
      </c>
      <c r="G33" s="30">
        <f>'P&amp;L_Input'!G29/SUM(BS_Input!G57:G58,BS_Input!G69,BS_Input!G73)</f>
        <v>7.3090457421637778E-2</v>
      </c>
      <c r="H33" s="21">
        <f>AVERAGE(C33:G33)</f>
        <v>8.631478374106108E-2</v>
      </c>
      <c r="I33" s="21">
        <f>H33</f>
        <v>8.631478374106108E-2</v>
      </c>
      <c r="J33" s="21">
        <f t="shared" ref="J33:Q33" si="50">I33</f>
        <v>8.631478374106108E-2</v>
      </c>
      <c r="K33" s="21">
        <f t="shared" si="50"/>
        <v>8.631478374106108E-2</v>
      </c>
      <c r="L33" s="21">
        <f t="shared" si="50"/>
        <v>8.631478374106108E-2</v>
      </c>
      <c r="M33" s="21">
        <f t="shared" si="50"/>
        <v>8.631478374106108E-2</v>
      </c>
      <c r="N33" s="21">
        <f t="shared" si="50"/>
        <v>8.631478374106108E-2</v>
      </c>
      <c r="O33" s="21">
        <f t="shared" si="50"/>
        <v>8.631478374106108E-2</v>
      </c>
      <c r="P33" s="21">
        <f t="shared" si="50"/>
        <v>8.631478374106108E-2</v>
      </c>
      <c r="Q33" s="21">
        <f t="shared" si="50"/>
        <v>8.631478374106108E-2</v>
      </c>
    </row>
    <row r="34" spans="2:17" x14ac:dyDescent="0.25">
      <c r="B34" s="44"/>
      <c r="C34" s="17"/>
      <c r="D34" s="17"/>
      <c r="E34" s="17"/>
      <c r="F34" s="17"/>
      <c r="G34" s="17"/>
      <c r="H34" s="19"/>
      <c r="I34" s="19"/>
      <c r="J34" s="19"/>
      <c r="K34" s="19"/>
      <c r="L34" s="19"/>
      <c r="M34" s="19"/>
      <c r="N34" s="19"/>
      <c r="O34" s="19"/>
      <c r="P34" s="19"/>
      <c r="Q34" s="19"/>
    </row>
    <row r="35" spans="2:17" x14ac:dyDescent="0.25">
      <c r="B35" s="59" t="s">
        <v>155</v>
      </c>
      <c r="C35" s="188">
        <f>'P&amp;L_Input'!C40/'P&amp;L_Input'!C38</f>
        <v>0.37794252935764805</v>
      </c>
      <c r="D35" s="188">
        <f>'P&amp;L_Input'!D40/'P&amp;L_Input'!D38</f>
        <v>-3.7567084078711253E-2</v>
      </c>
      <c r="E35" s="188">
        <f>'P&amp;L_Input'!E40/'P&amp;L_Input'!E38</f>
        <v>-0.4301818728393319</v>
      </c>
      <c r="F35" s="188">
        <f>'P&amp;L_Input'!F40/'P&amp;L_Input'!F38</f>
        <v>0.3997769539670013</v>
      </c>
      <c r="G35" s="188">
        <f>'P&amp;L_Input'!G40/'P&amp;L_Input'!G38</f>
        <v>0.3433282920164541</v>
      </c>
      <c r="H35" s="21">
        <v>0.3</v>
      </c>
      <c r="I35" s="21">
        <f>H35</f>
        <v>0.3</v>
      </c>
      <c r="J35" s="21">
        <f t="shared" ref="J35:Q35" si="51">I35</f>
        <v>0.3</v>
      </c>
      <c r="K35" s="21">
        <f t="shared" si="51"/>
        <v>0.3</v>
      </c>
      <c r="L35" s="21">
        <f t="shared" si="51"/>
        <v>0.3</v>
      </c>
      <c r="M35" s="21">
        <f t="shared" si="51"/>
        <v>0.3</v>
      </c>
      <c r="N35" s="21">
        <f t="shared" si="51"/>
        <v>0.3</v>
      </c>
      <c r="O35" s="21">
        <f t="shared" si="51"/>
        <v>0.3</v>
      </c>
      <c r="P35" s="21">
        <f t="shared" si="51"/>
        <v>0.3</v>
      </c>
      <c r="Q35" s="21">
        <f t="shared" si="51"/>
        <v>0.3</v>
      </c>
    </row>
    <row r="36" spans="2:17" x14ac:dyDescent="0.25">
      <c r="C36" s="7"/>
    </row>
    <row r="37" spans="2:17" x14ac:dyDescent="0.25">
      <c r="H37" s="160"/>
    </row>
    <row r="38" spans="2:17" x14ac:dyDescent="0.25">
      <c r="H38" s="160"/>
    </row>
  </sheetData>
  <mergeCells count="2">
    <mergeCell ref="B8:B9"/>
    <mergeCell ref="B7:Q7"/>
  </mergeCells>
  <pageMargins left="0.7" right="0.7" top="0.75" bottom="0.75" header="0.3" footer="0.3"/>
  <ignoredErrors>
    <ignoredError sqref="C33:G33" formulaRange="1"/>
  </ignoredErrors>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DD30A-A427-4031-A089-02B136BDDA0F}">
  <dimension ref="B6:Q320"/>
  <sheetViews>
    <sheetView showGridLines="0" topLeftCell="A91" zoomScale="90" zoomScaleNormal="90" workbookViewId="0">
      <selection activeCell="K322" sqref="K322"/>
    </sheetView>
  </sheetViews>
  <sheetFormatPr defaultRowHeight="15" x14ac:dyDescent="0.25"/>
  <cols>
    <col min="1" max="1" width="0.85546875" customWidth="1"/>
    <col min="2" max="2" width="39.85546875" customWidth="1"/>
    <col min="3" max="4" width="11.5703125" bestFit="1" customWidth="1"/>
    <col min="5" max="6" width="11.7109375" bestFit="1" customWidth="1"/>
    <col min="7" max="7" width="12" style="6" bestFit="1" customWidth="1"/>
    <col min="8" max="17" width="11.7109375" style="6" bestFit="1" customWidth="1"/>
  </cols>
  <sheetData>
    <row r="6" spans="2:17" x14ac:dyDescent="0.25">
      <c r="Q6" s="6" t="s">
        <v>274</v>
      </c>
    </row>
    <row r="7" spans="2:17" ht="18" x14ac:dyDescent="0.25">
      <c r="B7" s="245" t="s">
        <v>278</v>
      </c>
      <c r="C7" s="245"/>
      <c r="D7" s="245"/>
      <c r="E7" s="245"/>
      <c r="F7" s="245"/>
      <c r="G7" s="245"/>
      <c r="H7" s="245"/>
      <c r="I7" s="245"/>
      <c r="J7" s="245"/>
      <c r="K7" s="245"/>
      <c r="L7" s="245"/>
      <c r="M7" s="245"/>
      <c r="N7" s="245"/>
      <c r="O7" s="245"/>
      <c r="P7" s="245"/>
      <c r="Q7" s="245"/>
    </row>
    <row r="8" spans="2:17" x14ac:dyDescent="0.25">
      <c r="B8" s="236" t="s">
        <v>0</v>
      </c>
      <c r="C8" s="37">
        <v>2020</v>
      </c>
      <c r="D8" s="38">
        <v>2021</v>
      </c>
      <c r="E8" s="38">
        <v>2022</v>
      </c>
      <c r="F8" s="38">
        <v>2023</v>
      </c>
      <c r="G8" s="38">
        <v>2024</v>
      </c>
      <c r="H8" s="39">
        <f t="shared" ref="H8:Q8" si="0">G8+1</f>
        <v>2025</v>
      </c>
      <c r="I8" s="39">
        <f t="shared" si="0"/>
        <v>2026</v>
      </c>
      <c r="J8" s="39">
        <f t="shared" si="0"/>
        <v>2027</v>
      </c>
      <c r="K8" s="39">
        <f t="shared" si="0"/>
        <v>2028</v>
      </c>
      <c r="L8" s="39">
        <f t="shared" si="0"/>
        <v>2029</v>
      </c>
      <c r="M8" s="39">
        <f t="shared" si="0"/>
        <v>2030</v>
      </c>
      <c r="N8" s="39">
        <f t="shared" si="0"/>
        <v>2031</v>
      </c>
      <c r="O8" s="39">
        <f t="shared" si="0"/>
        <v>2032</v>
      </c>
      <c r="P8" s="39">
        <f t="shared" si="0"/>
        <v>2033</v>
      </c>
      <c r="Q8" s="39">
        <f t="shared" si="0"/>
        <v>2034</v>
      </c>
    </row>
    <row r="9" spans="2:17" x14ac:dyDescent="0.25">
      <c r="B9" s="237"/>
      <c r="C9" s="40" t="s">
        <v>1</v>
      </c>
      <c r="D9" s="41" t="s">
        <v>1</v>
      </c>
      <c r="E9" s="41" t="s">
        <v>1</v>
      </c>
      <c r="F9" s="41" t="s">
        <v>1</v>
      </c>
      <c r="G9" s="41" t="s">
        <v>1</v>
      </c>
      <c r="H9" s="42" t="s">
        <v>315</v>
      </c>
      <c r="I9" s="42" t="s">
        <v>315</v>
      </c>
      <c r="J9" s="42" t="s">
        <v>315</v>
      </c>
      <c r="K9" s="42" t="s">
        <v>315</v>
      </c>
      <c r="L9" s="42" t="s">
        <v>315</v>
      </c>
      <c r="M9" s="42" t="s">
        <v>315</v>
      </c>
      <c r="N9" s="42" t="s">
        <v>315</v>
      </c>
      <c r="O9" s="42" t="s">
        <v>315</v>
      </c>
      <c r="P9" s="42" t="s">
        <v>315</v>
      </c>
      <c r="Q9" s="42" t="s">
        <v>315</v>
      </c>
    </row>
    <row r="10" spans="2:17" x14ac:dyDescent="0.25">
      <c r="B10" s="58"/>
      <c r="C10" s="49"/>
      <c r="D10" s="49"/>
      <c r="E10" s="49"/>
      <c r="F10" s="49"/>
      <c r="G10" s="49"/>
      <c r="H10" s="19"/>
      <c r="I10" s="19"/>
      <c r="J10" s="19"/>
      <c r="K10" s="19"/>
      <c r="L10" s="19"/>
      <c r="M10" s="19"/>
      <c r="N10" s="19"/>
      <c r="O10" s="19"/>
      <c r="P10" s="19"/>
      <c r="Q10" s="19"/>
    </row>
    <row r="11" spans="2:17" x14ac:dyDescent="0.25">
      <c r="B11" s="55" t="s">
        <v>112</v>
      </c>
      <c r="C11" s="49"/>
      <c r="D11" s="49"/>
      <c r="E11" s="49"/>
      <c r="F11" s="49"/>
      <c r="G11" s="49"/>
      <c r="H11" s="19"/>
      <c r="I11" s="19"/>
      <c r="J11" s="19"/>
      <c r="K11" s="19"/>
      <c r="L11" s="19"/>
      <c r="M11" s="19"/>
      <c r="N11" s="19"/>
      <c r="O11" s="19"/>
      <c r="P11" s="19"/>
      <c r="Q11" s="19"/>
    </row>
    <row r="12" spans="2:17" x14ac:dyDescent="0.25">
      <c r="B12" s="55" t="s">
        <v>113</v>
      </c>
      <c r="C12" s="50">
        <v>760.48</v>
      </c>
      <c r="D12" s="50">
        <v>754.23</v>
      </c>
      <c r="E12" s="50">
        <v>793.58</v>
      </c>
      <c r="F12" s="50">
        <v>779.07</v>
      </c>
      <c r="G12" s="50">
        <v>830.82</v>
      </c>
      <c r="H12" s="33">
        <f>G18</f>
        <v>831.38000000000011</v>
      </c>
      <c r="I12" s="33">
        <f t="shared" ref="I12:Q12" si="1">H18</f>
        <v>831.73175000000015</v>
      </c>
      <c r="J12" s="33">
        <f t="shared" si="1"/>
        <v>832.08525875000009</v>
      </c>
      <c r="K12" s="33">
        <f t="shared" si="1"/>
        <v>832.44053504375006</v>
      </c>
      <c r="L12" s="33">
        <f t="shared" si="1"/>
        <v>832.79758771896877</v>
      </c>
      <c r="M12" s="33">
        <f t="shared" si="1"/>
        <v>833.15642565756366</v>
      </c>
      <c r="N12" s="33">
        <f t="shared" si="1"/>
        <v>833.51705778585142</v>
      </c>
      <c r="O12" s="33">
        <f t="shared" si="1"/>
        <v>833.87949307478073</v>
      </c>
      <c r="P12" s="33">
        <f t="shared" si="1"/>
        <v>834.24374054015459</v>
      </c>
      <c r="Q12" s="33">
        <f t="shared" si="1"/>
        <v>834.60980924285536</v>
      </c>
    </row>
    <row r="13" spans="2:17" x14ac:dyDescent="0.25">
      <c r="B13" s="56" t="s">
        <v>114</v>
      </c>
      <c r="C13" s="51">
        <v>0</v>
      </c>
      <c r="D13" s="51">
        <v>39.35</v>
      </c>
      <c r="E13" s="51">
        <v>0.64</v>
      </c>
      <c r="F13" s="51">
        <v>42.55</v>
      </c>
      <c r="G13" s="51">
        <v>0.35</v>
      </c>
      <c r="H13" s="189">
        <f>G13*(1+0.5%)</f>
        <v>0.35174999999999995</v>
      </c>
      <c r="I13" s="19">
        <f t="shared" ref="I13:Q13" si="2">H13*(1+0.5%)</f>
        <v>0.35350874999999993</v>
      </c>
      <c r="J13" s="19">
        <f t="shared" si="2"/>
        <v>0.35527629374999992</v>
      </c>
      <c r="K13" s="189">
        <f t="shared" si="2"/>
        <v>0.35705267521874989</v>
      </c>
      <c r="L13" s="19">
        <f t="shared" si="2"/>
        <v>0.35883793859484359</v>
      </c>
      <c r="M13" s="19">
        <f t="shared" si="2"/>
        <v>0.36063212828781777</v>
      </c>
      <c r="N13" s="19">
        <f t="shared" si="2"/>
        <v>0.3624352889292568</v>
      </c>
      <c r="O13" s="19">
        <f t="shared" si="2"/>
        <v>0.36424746537390307</v>
      </c>
      <c r="P13" s="19">
        <f t="shared" si="2"/>
        <v>0.36606870270077252</v>
      </c>
      <c r="Q13" s="19">
        <f t="shared" si="2"/>
        <v>0.36789904621427633</v>
      </c>
    </row>
    <row r="14" spans="2:17" x14ac:dyDescent="0.25">
      <c r="B14" s="59" t="s">
        <v>135</v>
      </c>
      <c r="C14" s="51">
        <v>0</v>
      </c>
      <c r="D14" s="51">
        <v>0</v>
      </c>
      <c r="E14" s="51">
        <v>0</v>
      </c>
      <c r="F14" s="51">
        <v>6.26</v>
      </c>
      <c r="G14" s="51">
        <v>0.21</v>
      </c>
      <c r="H14" s="19">
        <v>0</v>
      </c>
      <c r="I14" s="19">
        <v>0</v>
      </c>
      <c r="J14" s="19">
        <v>0</v>
      </c>
      <c r="K14" s="19">
        <v>0</v>
      </c>
      <c r="L14" s="19">
        <v>0</v>
      </c>
      <c r="M14" s="19">
        <v>0</v>
      </c>
      <c r="N14" s="19">
        <v>0</v>
      </c>
      <c r="O14" s="19">
        <v>0</v>
      </c>
      <c r="P14" s="19">
        <v>0</v>
      </c>
      <c r="Q14" s="19">
        <v>0</v>
      </c>
    </row>
    <row r="15" spans="2:17" x14ac:dyDescent="0.25">
      <c r="B15" s="56" t="s">
        <v>116</v>
      </c>
      <c r="C15" s="51">
        <v>0</v>
      </c>
      <c r="D15" s="51">
        <v>0</v>
      </c>
      <c r="E15" s="51">
        <v>0</v>
      </c>
      <c r="F15" s="51">
        <v>2.94</v>
      </c>
      <c r="G15" s="51">
        <v>0</v>
      </c>
      <c r="H15" s="19">
        <v>0</v>
      </c>
      <c r="I15" s="19">
        <v>0</v>
      </c>
      <c r="J15" s="19">
        <v>0</v>
      </c>
      <c r="K15" s="19">
        <v>0</v>
      </c>
      <c r="L15" s="19">
        <v>0</v>
      </c>
      <c r="M15" s="19">
        <v>0</v>
      </c>
      <c r="N15" s="19">
        <v>0</v>
      </c>
      <c r="O15" s="19">
        <v>0</v>
      </c>
      <c r="P15" s="19">
        <v>0</v>
      </c>
      <c r="Q15" s="19">
        <v>0</v>
      </c>
    </row>
    <row r="16" spans="2:17" x14ac:dyDescent="0.25">
      <c r="B16" s="56" t="s">
        <v>136</v>
      </c>
      <c r="C16" s="51">
        <v>0</v>
      </c>
      <c r="D16" s="51">
        <v>0</v>
      </c>
      <c r="E16" s="51">
        <v>0</v>
      </c>
      <c r="F16" s="51">
        <v>0</v>
      </c>
      <c r="G16" s="51">
        <v>0</v>
      </c>
      <c r="H16" s="19">
        <f>G16*(1+5%)</f>
        <v>0</v>
      </c>
      <c r="I16" s="19">
        <f>H16</f>
        <v>0</v>
      </c>
      <c r="J16" s="19">
        <f>I16</f>
        <v>0</v>
      </c>
      <c r="K16" s="19">
        <f>J16*(1+5%)</f>
        <v>0</v>
      </c>
      <c r="L16" s="19">
        <f>K16</f>
        <v>0</v>
      </c>
      <c r="M16" s="19">
        <f>L16</f>
        <v>0</v>
      </c>
      <c r="N16" s="19">
        <f>M16*(1+5%)</f>
        <v>0</v>
      </c>
      <c r="O16" s="19">
        <f>N16</f>
        <v>0</v>
      </c>
      <c r="P16" s="19">
        <f>O16</f>
        <v>0</v>
      </c>
      <c r="Q16" s="19">
        <f>P16*(1+5%)</f>
        <v>0</v>
      </c>
    </row>
    <row r="17" spans="2:17" x14ac:dyDescent="0.25">
      <c r="B17" s="56" t="s">
        <v>117</v>
      </c>
      <c r="C17" s="51">
        <v>-6.25</v>
      </c>
      <c r="D17" s="51">
        <v>0</v>
      </c>
      <c r="E17" s="51">
        <v>-15.15</v>
      </c>
      <c r="F17" s="51">
        <v>0</v>
      </c>
      <c r="G17" s="51">
        <v>0</v>
      </c>
      <c r="H17" s="19">
        <f>G17*(1+0.5%)</f>
        <v>0</v>
      </c>
      <c r="I17" s="19">
        <f>H17</f>
        <v>0</v>
      </c>
      <c r="J17" s="19">
        <f>I17</f>
        <v>0</v>
      </c>
      <c r="K17" s="19">
        <f>J17*(1+0.5%)</f>
        <v>0</v>
      </c>
      <c r="L17" s="19">
        <f>K17</f>
        <v>0</v>
      </c>
      <c r="M17" s="19">
        <f>L17</f>
        <v>0</v>
      </c>
      <c r="N17" s="19">
        <f>M17*(1+0.5%)</f>
        <v>0</v>
      </c>
      <c r="O17" s="19">
        <f>N17</f>
        <v>0</v>
      </c>
      <c r="P17" s="19">
        <f>O17</f>
        <v>0</v>
      </c>
      <c r="Q17" s="19">
        <f>P17*(1+0.5%)</f>
        <v>0</v>
      </c>
    </row>
    <row r="18" spans="2:17" ht="15.75" thickBot="1" x14ac:dyDescent="0.3">
      <c r="B18" s="55" t="s">
        <v>118</v>
      </c>
      <c r="C18" s="53">
        <f>SUM(C12:C15,C17)</f>
        <v>754.23</v>
      </c>
      <c r="D18" s="53">
        <f>SUM(D12:D15,D17)</f>
        <v>793.58</v>
      </c>
      <c r="E18" s="53">
        <f>SUM(E12:E15,E17)</f>
        <v>779.07</v>
      </c>
      <c r="F18" s="53">
        <f>SUM(F12:F15,F17)</f>
        <v>830.82</v>
      </c>
      <c r="G18" s="53">
        <f>SUM(G12:G15,G17)</f>
        <v>831.38000000000011</v>
      </c>
      <c r="H18" s="54">
        <f t="shared" ref="H18:Q18" si="3">SUM(H12:H15,H17)</f>
        <v>831.73175000000015</v>
      </c>
      <c r="I18" s="54">
        <f t="shared" si="3"/>
        <v>832.08525875000009</v>
      </c>
      <c r="J18" s="54">
        <f t="shared" si="3"/>
        <v>832.44053504375006</v>
      </c>
      <c r="K18" s="54">
        <f t="shared" si="3"/>
        <v>832.79758771896877</v>
      </c>
      <c r="L18" s="54">
        <f t="shared" si="3"/>
        <v>833.15642565756366</v>
      </c>
      <c r="M18" s="54">
        <f t="shared" si="3"/>
        <v>833.51705778585142</v>
      </c>
      <c r="N18" s="54">
        <f t="shared" si="3"/>
        <v>833.87949307478073</v>
      </c>
      <c r="O18" s="54">
        <f t="shared" si="3"/>
        <v>834.24374054015459</v>
      </c>
      <c r="P18" s="54">
        <f t="shared" si="3"/>
        <v>834.60980924285536</v>
      </c>
      <c r="Q18" s="54">
        <f t="shared" si="3"/>
        <v>834.9777082890696</v>
      </c>
    </row>
    <row r="19" spans="2:17" ht="15.75" thickTop="1" x14ac:dyDescent="0.25">
      <c r="B19" s="56"/>
      <c r="C19" s="51"/>
      <c r="D19" s="163"/>
      <c r="E19" s="163"/>
      <c r="F19" s="163"/>
      <c r="G19" s="163"/>
      <c r="H19" s="190"/>
      <c r="I19" s="190"/>
      <c r="J19" s="190"/>
      <c r="K19" s="190"/>
      <c r="L19" s="190"/>
      <c r="M19" s="190"/>
      <c r="N19" s="190"/>
      <c r="O19" s="190"/>
      <c r="P19" s="190"/>
      <c r="Q19" s="190"/>
    </row>
    <row r="20" spans="2:17" x14ac:dyDescent="0.25">
      <c r="B20" s="55" t="s">
        <v>119</v>
      </c>
      <c r="C20" s="51"/>
      <c r="D20" s="51"/>
      <c r="E20" s="51"/>
      <c r="F20" s="51"/>
      <c r="G20" s="51"/>
      <c r="H20" s="19"/>
      <c r="I20" s="19"/>
      <c r="J20" s="19"/>
      <c r="K20" s="19"/>
      <c r="L20" s="19"/>
      <c r="M20" s="19"/>
      <c r="N20" s="19"/>
      <c r="O20" s="19"/>
      <c r="P20" s="19"/>
      <c r="Q20" s="19"/>
    </row>
    <row r="21" spans="2:17" x14ac:dyDescent="0.25">
      <c r="B21" s="55" t="s">
        <v>113</v>
      </c>
      <c r="C21" s="50">
        <v>1649.47</v>
      </c>
      <c r="D21" s="50">
        <v>1767.93</v>
      </c>
      <c r="E21" s="50">
        <v>1938.7</v>
      </c>
      <c r="F21" s="50">
        <v>1961.63</v>
      </c>
      <c r="G21" s="50">
        <v>2021.37</v>
      </c>
      <c r="H21" s="33">
        <f>G27</f>
        <v>2091.1400000000003</v>
      </c>
      <c r="I21" s="33">
        <f t="shared" ref="I21:J21" si="4">H27</f>
        <v>2161.2588500000002</v>
      </c>
      <c r="J21" s="33">
        <f t="shared" si="4"/>
        <v>2231.7282942500001</v>
      </c>
      <c r="K21" s="33">
        <f>J27</f>
        <v>2302.5500857212501</v>
      </c>
      <c r="L21" s="33">
        <f t="shared" ref="L21:Q21" si="5">K27</f>
        <v>2373.7259861498565</v>
      </c>
      <c r="M21" s="33">
        <f t="shared" si="5"/>
        <v>2445.2577660806055</v>
      </c>
      <c r="N21" s="33">
        <f t="shared" si="5"/>
        <v>2517.1472049110084</v>
      </c>
      <c r="O21" s="33">
        <f t="shared" si="5"/>
        <v>2589.3960909355633</v>
      </c>
      <c r="P21" s="33">
        <f t="shared" si="5"/>
        <v>2662.0062213902411</v>
      </c>
      <c r="Q21" s="33">
        <f t="shared" si="5"/>
        <v>2734.979402497192</v>
      </c>
    </row>
    <row r="22" spans="2:17" x14ac:dyDescent="0.25">
      <c r="B22" s="56" t="s">
        <v>114</v>
      </c>
      <c r="C22" s="51">
        <v>105.01</v>
      </c>
      <c r="D22" s="51">
        <v>178.19</v>
      </c>
      <c r="E22" s="51">
        <v>33.71</v>
      </c>
      <c r="F22" s="51">
        <v>44.39</v>
      </c>
      <c r="G22" s="51">
        <v>67.069999999999993</v>
      </c>
      <c r="H22" s="19">
        <f>G22*(1+0.5%)</f>
        <v>67.405349999999984</v>
      </c>
      <c r="I22" s="19">
        <f t="shared" ref="I22:Q22" si="6">H22*(1+0.5%)</f>
        <v>67.742376749999977</v>
      </c>
      <c r="J22" s="19">
        <f t="shared" si="6"/>
        <v>68.081088633749971</v>
      </c>
      <c r="K22" s="19">
        <f t="shared" si="6"/>
        <v>68.421494076918719</v>
      </c>
      <c r="L22" s="19">
        <f t="shared" si="6"/>
        <v>68.76360154730331</v>
      </c>
      <c r="M22" s="19">
        <f t="shared" si="6"/>
        <v>69.107419555039826</v>
      </c>
      <c r="N22" s="19">
        <f t="shared" si="6"/>
        <v>69.452956652815018</v>
      </c>
      <c r="O22" s="19">
        <f t="shared" si="6"/>
        <v>69.800221436079084</v>
      </c>
      <c r="P22" s="19">
        <f t="shared" si="6"/>
        <v>70.149222543259469</v>
      </c>
      <c r="Q22" s="19">
        <f t="shared" si="6"/>
        <v>70.499968655975763</v>
      </c>
    </row>
    <row r="23" spans="2:17" x14ac:dyDescent="0.25">
      <c r="B23" s="59" t="s">
        <v>135</v>
      </c>
      <c r="C23" s="51">
        <v>0</v>
      </c>
      <c r="D23" s="51">
        <v>0</v>
      </c>
      <c r="E23" s="51">
        <v>0</v>
      </c>
      <c r="F23" s="51">
        <v>12.13</v>
      </c>
      <c r="G23" s="51">
        <v>0</v>
      </c>
      <c r="H23" s="19">
        <f t="shared" ref="H23:Q23" si="7">G23*(1+0.5%)</f>
        <v>0</v>
      </c>
      <c r="I23" s="19">
        <f t="shared" si="7"/>
        <v>0</v>
      </c>
      <c r="J23" s="19">
        <f t="shared" si="7"/>
        <v>0</v>
      </c>
      <c r="K23" s="19">
        <f t="shared" si="7"/>
        <v>0</v>
      </c>
      <c r="L23" s="19">
        <f t="shared" si="7"/>
        <v>0</v>
      </c>
      <c r="M23" s="19">
        <f t="shared" si="7"/>
        <v>0</v>
      </c>
      <c r="N23" s="19">
        <f t="shared" si="7"/>
        <v>0</v>
      </c>
      <c r="O23" s="19">
        <f t="shared" si="7"/>
        <v>0</v>
      </c>
      <c r="P23" s="19">
        <f t="shared" si="7"/>
        <v>0</v>
      </c>
      <c r="Q23" s="19">
        <f t="shared" si="7"/>
        <v>0</v>
      </c>
    </row>
    <row r="24" spans="2:17" x14ac:dyDescent="0.25">
      <c r="B24" s="56" t="s">
        <v>115</v>
      </c>
      <c r="C24" s="51">
        <v>10.73</v>
      </c>
      <c r="D24" s="51">
        <v>-4.13</v>
      </c>
      <c r="E24" s="51">
        <v>4.4400000000000004</v>
      </c>
      <c r="F24" s="51">
        <v>10.46</v>
      </c>
      <c r="G24" s="51">
        <v>3.63</v>
      </c>
      <c r="H24" s="19">
        <f t="shared" ref="H24:Q24" si="8">G24*(1+0.5%)</f>
        <v>3.6481499999999993</v>
      </c>
      <c r="I24" s="19">
        <f t="shared" si="8"/>
        <v>3.6663907499999988</v>
      </c>
      <c r="J24" s="19">
        <f t="shared" si="8"/>
        <v>3.6847227037499986</v>
      </c>
      <c r="K24" s="19">
        <f t="shared" si="8"/>
        <v>3.703146317268748</v>
      </c>
      <c r="L24" s="19">
        <f t="shared" si="8"/>
        <v>3.7216620488550913</v>
      </c>
      <c r="M24" s="19">
        <f t="shared" si="8"/>
        <v>3.7402703590993664</v>
      </c>
      <c r="N24" s="19">
        <f t="shared" si="8"/>
        <v>3.7589717108948628</v>
      </c>
      <c r="O24" s="19">
        <f t="shared" si="8"/>
        <v>3.7777665694493368</v>
      </c>
      <c r="P24" s="19">
        <f t="shared" si="8"/>
        <v>3.796655402296583</v>
      </c>
      <c r="Q24" s="19">
        <f t="shared" si="8"/>
        <v>3.8156386793080657</v>
      </c>
    </row>
    <row r="25" spans="2:17" x14ac:dyDescent="0.25">
      <c r="B25" s="56" t="s">
        <v>136</v>
      </c>
      <c r="C25" s="51">
        <v>0</v>
      </c>
      <c r="D25" s="51">
        <v>0</v>
      </c>
      <c r="E25" s="51">
        <v>-0.98</v>
      </c>
      <c r="F25" s="51">
        <v>0</v>
      </c>
      <c r="G25" s="51">
        <v>0</v>
      </c>
      <c r="H25" s="19">
        <f t="shared" ref="H25:Q25" si="9">G25*(1+0.5%)</f>
        <v>0</v>
      </c>
      <c r="I25" s="19">
        <f t="shared" si="9"/>
        <v>0</v>
      </c>
      <c r="J25" s="19">
        <f t="shared" si="9"/>
        <v>0</v>
      </c>
      <c r="K25" s="19">
        <f t="shared" si="9"/>
        <v>0</v>
      </c>
      <c r="L25" s="19">
        <f t="shared" si="9"/>
        <v>0</v>
      </c>
      <c r="M25" s="19">
        <f t="shared" si="9"/>
        <v>0</v>
      </c>
      <c r="N25" s="19">
        <f t="shared" si="9"/>
        <v>0</v>
      </c>
      <c r="O25" s="19">
        <f t="shared" si="9"/>
        <v>0</v>
      </c>
      <c r="P25" s="19">
        <f t="shared" si="9"/>
        <v>0</v>
      </c>
      <c r="Q25" s="19">
        <f t="shared" si="9"/>
        <v>0</v>
      </c>
    </row>
    <row r="26" spans="2:17" x14ac:dyDescent="0.25">
      <c r="B26" s="56" t="s">
        <v>117</v>
      </c>
      <c r="C26" s="51">
        <v>2.72</v>
      </c>
      <c r="D26" s="51">
        <v>-3.29</v>
      </c>
      <c r="E26" s="51">
        <v>-14.24</v>
      </c>
      <c r="F26" s="51">
        <v>-7.24</v>
      </c>
      <c r="G26" s="51">
        <v>-0.93</v>
      </c>
      <c r="H26" s="19">
        <f t="shared" ref="H26:Q26" si="10">G26*(1+0.5%)</f>
        <v>-0.93464999999999998</v>
      </c>
      <c r="I26" s="19">
        <f t="shared" si="10"/>
        <v>-0.93932324999999983</v>
      </c>
      <c r="J26" s="19">
        <f t="shared" si="10"/>
        <v>-0.94401986624999978</v>
      </c>
      <c r="K26" s="19">
        <f t="shared" si="10"/>
        <v>-0.94873996558124973</v>
      </c>
      <c r="L26" s="19">
        <f t="shared" si="10"/>
        <v>-0.95348366540915586</v>
      </c>
      <c r="M26" s="19">
        <f t="shared" si="10"/>
        <v>-0.95825108373620149</v>
      </c>
      <c r="N26" s="19">
        <f t="shared" si="10"/>
        <v>-0.96304233915488235</v>
      </c>
      <c r="O26" s="19">
        <f t="shared" si="10"/>
        <v>-0.96785755085065661</v>
      </c>
      <c r="P26" s="19">
        <f t="shared" si="10"/>
        <v>-0.97269683860490974</v>
      </c>
      <c r="Q26" s="19">
        <f t="shared" si="10"/>
        <v>-0.97756032279793414</v>
      </c>
    </row>
    <row r="27" spans="2:17" x14ac:dyDescent="0.25">
      <c r="B27" s="55" t="s">
        <v>118</v>
      </c>
      <c r="C27" s="50">
        <f t="shared" ref="C27:H27" si="11">SUM(C21:C26)</f>
        <v>1767.93</v>
      </c>
      <c r="D27" s="50">
        <f t="shared" si="11"/>
        <v>1938.7</v>
      </c>
      <c r="E27" s="50">
        <f t="shared" si="11"/>
        <v>1961.63</v>
      </c>
      <c r="F27" s="50">
        <f t="shared" si="11"/>
        <v>2021.3700000000003</v>
      </c>
      <c r="G27" s="50">
        <f t="shared" si="11"/>
        <v>2091.1400000000003</v>
      </c>
      <c r="H27" s="33">
        <f t="shared" si="11"/>
        <v>2161.2588500000002</v>
      </c>
      <c r="I27" s="33">
        <f t="shared" ref="I27:J27" si="12">SUM(I21:I26)</f>
        <v>2231.7282942500001</v>
      </c>
      <c r="J27" s="33">
        <f t="shared" si="12"/>
        <v>2302.5500857212501</v>
      </c>
      <c r="K27" s="33">
        <f>SUM(K21:K26)</f>
        <v>2373.7259861498565</v>
      </c>
      <c r="L27" s="33">
        <f t="shared" ref="L27" si="13">SUM(L21:L26)</f>
        <v>2445.2577660806055</v>
      </c>
      <c r="M27" s="33">
        <f t="shared" ref="M27" si="14">SUM(M21:M26)</f>
        <v>2517.1472049110084</v>
      </c>
      <c r="N27" s="33">
        <f t="shared" ref="N27" si="15">SUM(N21:N26)</f>
        <v>2589.3960909355633</v>
      </c>
      <c r="O27" s="33">
        <f t="shared" ref="O27" si="16">SUM(O21:O26)</f>
        <v>2662.0062213902411</v>
      </c>
      <c r="P27" s="33">
        <f t="shared" ref="P27" si="17">SUM(P21:P26)</f>
        <v>2734.979402497192</v>
      </c>
      <c r="Q27" s="33">
        <f t="shared" ref="Q27" si="18">SUM(Q21:Q26)</f>
        <v>2808.3174495096778</v>
      </c>
    </row>
    <row r="28" spans="2:17" x14ac:dyDescent="0.25">
      <c r="B28" s="56" t="s">
        <v>120</v>
      </c>
      <c r="C28" s="51">
        <v>238.03</v>
      </c>
      <c r="D28" s="51">
        <v>316.77</v>
      </c>
      <c r="E28" s="51">
        <v>399.57</v>
      </c>
      <c r="F28" s="51">
        <v>468.18</v>
      </c>
      <c r="G28" s="51">
        <v>547.99</v>
      </c>
      <c r="H28" s="19">
        <f>SUM(G28:G32)</f>
        <v>629.08999999999992</v>
      </c>
      <c r="I28" s="19">
        <f t="shared" ref="I28:Q28" si="19">SUM(H28:H32)</f>
        <v>710.5954999999999</v>
      </c>
      <c r="J28" s="19">
        <f t="shared" si="19"/>
        <v>792.5085274999999</v>
      </c>
      <c r="K28" s="19">
        <f t="shared" si="19"/>
        <v>874.83112013749985</v>
      </c>
      <c r="L28" s="19">
        <f t="shared" si="19"/>
        <v>957.56532573818731</v>
      </c>
      <c r="M28" s="19">
        <f t="shared" si="19"/>
        <v>1040.7132023668782</v>
      </c>
      <c r="N28" s="19">
        <f t="shared" si="19"/>
        <v>1124.2768183787125</v>
      </c>
      <c r="O28" s="19">
        <f t="shared" si="19"/>
        <v>1208.2582524706061</v>
      </c>
      <c r="P28" s="19">
        <f t="shared" si="19"/>
        <v>1292.6595937329591</v>
      </c>
      <c r="Q28" s="19">
        <f t="shared" si="19"/>
        <v>1377.482941701624</v>
      </c>
    </row>
    <row r="29" spans="2:17" x14ac:dyDescent="0.25">
      <c r="B29" s="56" t="s">
        <v>121</v>
      </c>
      <c r="C29" s="51">
        <v>72.64</v>
      </c>
      <c r="D29" s="51">
        <v>85.37</v>
      </c>
      <c r="E29" s="51">
        <v>81.88</v>
      </c>
      <c r="F29" s="51">
        <v>84.3</v>
      </c>
      <c r="G29" s="51">
        <v>80.67</v>
      </c>
      <c r="H29" s="19">
        <f>G29*(1+0.5%)</f>
        <v>81.073349999999991</v>
      </c>
      <c r="I29" s="19">
        <f t="shared" ref="I29:Q29" si="20">H29*(1+0.5%)</f>
        <v>81.478716749999975</v>
      </c>
      <c r="J29" s="19">
        <f t="shared" si="20"/>
        <v>81.886110333749969</v>
      </c>
      <c r="K29" s="19">
        <f t="shared" si="20"/>
        <v>82.295540885418703</v>
      </c>
      <c r="L29" s="19">
        <f t="shared" si="20"/>
        <v>82.707018589845788</v>
      </c>
      <c r="M29" s="19">
        <f t="shared" si="20"/>
        <v>83.120553682795006</v>
      </c>
      <c r="N29" s="19">
        <f t="shared" si="20"/>
        <v>83.536156451208967</v>
      </c>
      <c r="O29" s="19">
        <f t="shared" si="20"/>
        <v>83.953837233465009</v>
      </c>
      <c r="P29" s="19">
        <f t="shared" si="20"/>
        <v>84.373606419632324</v>
      </c>
      <c r="Q29" s="19">
        <f t="shared" si="20"/>
        <v>84.79547445173047</v>
      </c>
    </row>
    <row r="30" spans="2:17" x14ac:dyDescent="0.25">
      <c r="B30" s="56" t="s">
        <v>115</v>
      </c>
      <c r="C30" s="51">
        <v>1.79</v>
      </c>
      <c r="D30" s="51">
        <v>-0.79</v>
      </c>
      <c r="E30" s="51">
        <v>1.02</v>
      </c>
      <c r="F30" s="51">
        <v>2.74</v>
      </c>
      <c r="G30" s="51">
        <v>0.91</v>
      </c>
      <c r="H30" s="19">
        <f t="shared" ref="H30:Q30" si="21">G30*(1+0.5%)</f>
        <v>0.91454999999999997</v>
      </c>
      <c r="I30" s="19">
        <f t="shared" si="21"/>
        <v>0.91912274999999988</v>
      </c>
      <c r="J30" s="19">
        <f t="shared" si="21"/>
        <v>0.92371836374999983</v>
      </c>
      <c r="K30" s="19">
        <f t="shared" si="21"/>
        <v>0.92833695556874973</v>
      </c>
      <c r="L30" s="19">
        <f t="shared" si="21"/>
        <v>0.93297864034659339</v>
      </c>
      <c r="M30" s="19">
        <f t="shared" si="21"/>
        <v>0.9376435335483263</v>
      </c>
      <c r="N30" s="19">
        <f t="shared" si="21"/>
        <v>0.94233175121606783</v>
      </c>
      <c r="O30" s="19">
        <f t="shared" si="21"/>
        <v>0.94704340997214809</v>
      </c>
      <c r="P30" s="19">
        <f t="shared" si="21"/>
        <v>0.95177862702200877</v>
      </c>
      <c r="Q30" s="19">
        <f t="shared" si="21"/>
        <v>0.95653752015711868</v>
      </c>
    </row>
    <row r="31" spans="2:17" x14ac:dyDescent="0.25">
      <c r="B31" s="56" t="s">
        <v>117</v>
      </c>
      <c r="C31" s="51">
        <v>4.3099999999999996</v>
      </c>
      <c r="D31" s="51">
        <v>-1.78</v>
      </c>
      <c r="E31" s="51">
        <v>-14.2</v>
      </c>
      <c r="F31" s="51">
        <v>-7.23</v>
      </c>
      <c r="G31" s="51">
        <v>-0.48</v>
      </c>
      <c r="H31" s="19">
        <f t="shared" ref="H31:Q31" si="22">G31*(1+0.5%)</f>
        <v>-0.48239999999999994</v>
      </c>
      <c r="I31" s="19">
        <f t="shared" si="22"/>
        <v>-0.48481199999999991</v>
      </c>
      <c r="J31" s="19">
        <f t="shared" si="22"/>
        <v>-0.48723605999999986</v>
      </c>
      <c r="K31" s="19">
        <f t="shared" si="22"/>
        <v>-0.48967224029999978</v>
      </c>
      <c r="L31" s="19">
        <f t="shared" si="22"/>
        <v>-0.49212060150149972</v>
      </c>
      <c r="M31" s="19">
        <f t="shared" si="22"/>
        <v>-0.49458120450900717</v>
      </c>
      <c r="N31" s="19">
        <f t="shared" si="22"/>
        <v>-0.49705411053155213</v>
      </c>
      <c r="O31" s="19">
        <f t="shared" si="22"/>
        <v>-0.49953938108420981</v>
      </c>
      <c r="P31" s="19">
        <f t="shared" si="22"/>
        <v>-0.50203707798963082</v>
      </c>
      <c r="Q31" s="19">
        <f t="shared" si="22"/>
        <v>-0.50454726337957889</v>
      </c>
    </row>
    <row r="32" spans="2:17" x14ac:dyDescent="0.25">
      <c r="B32" s="56" t="s">
        <v>136</v>
      </c>
      <c r="C32" s="51">
        <v>0</v>
      </c>
      <c r="D32" s="51">
        <v>0</v>
      </c>
      <c r="E32" s="51">
        <v>-0.09</v>
      </c>
      <c r="F32" s="51">
        <v>0</v>
      </c>
      <c r="G32" s="51">
        <v>0</v>
      </c>
      <c r="H32" s="19">
        <f t="shared" ref="H32:Q32" si="23">G32*(1+0.5%)</f>
        <v>0</v>
      </c>
      <c r="I32" s="19">
        <f t="shared" si="23"/>
        <v>0</v>
      </c>
      <c r="J32" s="19">
        <f t="shared" si="23"/>
        <v>0</v>
      </c>
      <c r="K32" s="19">
        <f t="shared" si="23"/>
        <v>0</v>
      </c>
      <c r="L32" s="19">
        <f t="shared" si="23"/>
        <v>0</v>
      </c>
      <c r="M32" s="19">
        <f t="shared" si="23"/>
        <v>0</v>
      </c>
      <c r="N32" s="19">
        <f t="shared" si="23"/>
        <v>0</v>
      </c>
      <c r="O32" s="19">
        <f t="shared" si="23"/>
        <v>0</v>
      </c>
      <c r="P32" s="19">
        <f t="shared" si="23"/>
        <v>0</v>
      </c>
      <c r="Q32" s="19">
        <f t="shared" si="23"/>
        <v>0</v>
      </c>
    </row>
    <row r="33" spans="2:17" ht="15.75" thickBot="1" x14ac:dyDescent="0.3">
      <c r="B33" s="55" t="s">
        <v>122</v>
      </c>
      <c r="C33" s="53">
        <f>C27-SUM(C28:C32)</f>
        <v>1451.16</v>
      </c>
      <c r="D33" s="53">
        <f>D27-SUM(D28:D32)</f>
        <v>1539.13</v>
      </c>
      <c r="E33" s="53">
        <f>E27-SUM(E28:E32)</f>
        <v>1493.45</v>
      </c>
      <c r="F33" s="53">
        <f>F27-SUM(F28:F32)</f>
        <v>1473.3800000000003</v>
      </c>
      <c r="G33" s="53">
        <f>G27-SUM(G28:G32)</f>
        <v>1462.0500000000004</v>
      </c>
      <c r="H33" s="54">
        <f t="shared" ref="H33:Q33" si="24">H27-SUM(H28:H32)</f>
        <v>1450.6633500000003</v>
      </c>
      <c r="I33" s="54">
        <f t="shared" si="24"/>
        <v>1439.2197667500002</v>
      </c>
      <c r="J33" s="54">
        <f t="shared" si="24"/>
        <v>1427.7189655837501</v>
      </c>
      <c r="K33" s="54">
        <f t="shared" si="24"/>
        <v>1416.1606604116691</v>
      </c>
      <c r="L33" s="54">
        <f t="shared" si="24"/>
        <v>1404.5445637137273</v>
      </c>
      <c r="M33" s="54">
        <f t="shared" si="24"/>
        <v>1392.8703865322959</v>
      </c>
      <c r="N33" s="54">
        <f t="shared" si="24"/>
        <v>1381.1378384649572</v>
      </c>
      <c r="O33" s="54">
        <f t="shared" si="24"/>
        <v>1369.3466276572819</v>
      </c>
      <c r="P33" s="54">
        <f t="shared" si="24"/>
        <v>1357.4964607955681</v>
      </c>
      <c r="Q33" s="54">
        <f t="shared" si="24"/>
        <v>1345.5870430995458</v>
      </c>
    </row>
    <row r="34" spans="2:17" ht="15.75" thickTop="1" x14ac:dyDescent="0.25">
      <c r="B34" s="56"/>
      <c r="C34" s="51"/>
      <c r="D34" s="163"/>
      <c r="E34" s="163"/>
      <c r="F34" s="163"/>
      <c r="G34" s="163"/>
      <c r="H34" s="190"/>
      <c r="I34" s="190"/>
      <c r="J34" s="190"/>
      <c r="K34" s="190"/>
      <c r="L34" s="190"/>
      <c r="M34" s="190"/>
      <c r="N34" s="190"/>
      <c r="O34" s="190"/>
      <c r="P34" s="190"/>
      <c r="Q34" s="190"/>
    </row>
    <row r="35" spans="2:17" x14ac:dyDescent="0.25">
      <c r="B35" s="55" t="s">
        <v>123</v>
      </c>
      <c r="C35" s="51"/>
      <c r="D35" s="51"/>
      <c r="E35" s="51"/>
      <c r="F35" s="51"/>
      <c r="G35" s="51"/>
      <c r="H35" s="19"/>
      <c r="I35" s="19"/>
      <c r="J35" s="19"/>
      <c r="K35" s="19"/>
      <c r="L35" s="19"/>
      <c r="M35" s="19"/>
      <c r="N35" s="19"/>
      <c r="O35" s="19"/>
      <c r="P35" s="19"/>
      <c r="Q35" s="19"/>
    </row>
    <row r="36" spans="2:17" x14ac:dyDescent="0.25">
      <c r="B36" s="55" t="s">
        <v>113</v>
      </c>
      <c r="C36" s="50">
        <v>4032.61</v>
      </c>
      <c r="D36" s="50">
        <v>4796.4799999999996</v>
      </c>
      <c r="E36" s="50">
        <v>5470.3</v>
      </c>
      <c r="F36" s="50">
        <v>5717.8</v>
      </c>
      <c r="G36" s="50">
        <v>6016.17</v>
      </c>
      <c r="H36" s="33">
        <f>G42</f>
        <v>6155.3300000000008</v>
      </c>
      <c r="I36" s="33">
        <f t="shared" ref="I36:J36" si="25">H42</f>
        <v>6295.1858000000011</v>
      </c>
      <c r="J36" s="33">
        <f t="shared" si="25"/>
        <v>6435.7408790000009</v>
      </c>
      <c r="K36" s="33">
        <f>J42</f>
        <v>6576.9987333950012</v>
      </c>
      <c r="L36" s="33">
        <f t="shared" ref="L36:Q36" si="26">K42</f>
        <v>6718.9628770619756</v>
      </c>
      <c r="M36" s="33">
        <f t="shared" si="26"/>
        <v>6861.6368414472854</v>
      </c>
      <c r="N36" s="33">
        <f t="shared" si="26"/>
        <v>7005.0241756545211</v>
      </c>
      <c r="O36" s="33">
        <f t="shared" si="26"/>
        <v>7149.1284465327935</v>
      </c>
      <c r="P36" s="33">
        <f t="shared" si="26"/>
        <v>7293.9532387654572</v>
      </c>
      <c r="Q36" s="33">
        <f t="shared" si="26"/>
        <v>7439.5021549592839</v>
      </c>
    </row>
    <row r="37" spans="2:17" x14ac:dyDescent="0.25">
      <c r="B37" s="56" t="s">
        <v>114</v>
      </c>
      <c r="C37" s="51">
        <v>616.04</v>
      </c>
      <c r="D37" s="51">
        <v>647.6</v>
      </c>
      <c r="E37" s="51">
        <v>302.33</v>
      </c>
      <c r="F37" s="51">
        <v>293.94</v>
      </c>
      <c r="G37" s="51">
        <v>169.35</v>
      </c>
      <c r="H37" s="19">
        <f>G37*(1+0.5%)</f>
        <v>170.19674999999998</v>
      </c>
      <c r="I37" s="19">
        <f t="shared" ref="I37:Q37" si="27">H37*(1+0.5%)</f>
        <v>171.04773374999996</v>
      </c>
      <c r="J37" s="19">
        <f t="shared" si="27"/>
        <v>171.90297241874995</v>
      </c>
      <c r="K37" s="19">
        <f t="shared" si="27"/>
        <v>172.76248728084369</v>
      </c>
      <c r="L37" s="19">
        <f t="shared" si="27"/>
        <v>173.62629971724789</v>
      </c>
      <c r="M37" s="19">
        <f t="shared" si="27"/>
        <v>174.49443121583411</v>
      </c>
      <c r="N37" s="19">
        <f t="shared" si="27"/>
        <v>175.36690337191325</v>
      </c>
      <c r="O37" s="19">
        <f t="shared" si="27"/>
        <v>176.24373788877281</v>
      </c>
      <c r="P37" s="19">
        <f t="shared" si="27"/>
        <v>177.12495657821665</v>
      </c>
      <c r="Q37" s="19">
        <f t="shared" si="27"/>
        <v>178.01058136110771</v>
      </c>
    </row>
    <row r="38" spans="2:17" x14ac:dyDescent="0.25">
      <c r="B38" s="56" t="s">
        <v>135</v>
      </c>
      <c r="C38" s="51">
        <v>0</v>
      </c>
      <c r="D38" s="51">
        <v>0.54</v>
      </c>
      <c r="E38" s="51">
        <v>0</v>
      </c>
      <c r="F38" s="51">
        <v>17.29</v>
      </c>
      <c r="G38" s="51">
        <v>0</v>
      </c>
      <c r="H38" s="19">
        <f t="shared" ref="H38:Q38" si="28">G38*(1+0.5%)</f>
        <v>0</v>
      </c>
      <c r="I38" s="19">
        <f t="shared" si="28"/>
        <v>0</v>
      </c>
      <c r="J38" s="19">
        <f t="shared" si="28"/>
        <v>0</v>
      </c>
      <c r="K38" s="19">
        <f t="shared" si="28"/>
        <v>0</v>
      </c>
      <c r="L38" s="19">
        <f t="shared" si="28"/>
        <v>0</v>
      </c>
      <c r="M38" s="19">
        <f t="shared" si="28"/>
        <v>0</v>
      </c>
      <c r="N38" s="19">
        <f t="shared" si="28"/>
        <v>0</v>
      </c>
      <c r="O38" s="19">
        <f t="shared" si="28"/>
        <v>0</v>
      </c>
      <c r="P38" s="19">
        <f t="shared" si="28"/>
        <v>0</v>
      </c>
      <c r="Q38" s="19">
        <f t="shared" si="28"/>
        <v>0</v>
      </c>
    </row>
    <row r="39" spans="2:17" x14ac:dyDescent="0.25">
      <c r="B39" s="56" t="s">
        <v>115</v>
      </c>
      <c r="C39" s="51">
        <v>-4.4000000000000004</v>
      </c>
      <c r="D39" s="51">
        <v>45.28</v>
      </c>
      <c r="E39" s="51">
        <v>0.13</v>
      </c>
      <c r="F39" s="51">
        <v>7.03</v>
      </c>
      <c r="G39" s="51">
        <v>19.21</v>
      </c>
      <c r="H39" s="19">
        <f t="shared" ref="H39:Q39" si="29">G39*(1+0.5%)</f>
        <v>19.306049999999999</v>
      </c>
      <c r="I39" s="19">
        <f t="shared" si="29"/>
        <v>19.402580249999996</v>
      </c>
      <c r="J39" s="19">
        <f t="shared" si="29"/>
        <v>19.499593151249993</v>
      </c>
      <c r="K39" s="19">
        <f t="shared" si="29"/>
        <v>19.59709111700624</v>
      </c>
      <c r="L39" s="19">
        <f t="shared" si="29"/>
        <v>19.695076572591269</v>
      </c>
      <c r="M39" s="19">
        <f t="shared" si="29"/>
        <v>19.793551955454223</v>
      </c>
      <c r="N39" s="19">
        <f t="shared" si="29"/>
        <v>19.892519715231494</v>
      </c>
      <c r="O39" s="19">
        <f t="shared" si="29"/>
        <v>19.99198231380765</v>
      </c>
      <c r="P39" s="19">
        <f t="shared" si="29"/>
        <v>20.091942225376688</v>
      </c>
      <c r="Q39" s="19">
        <f t="shared" si="29"/>
        <v>20.192401936503568</v>
      </c>
    </row>
    <row r="40" spans="2:17" x14ac:dyDescent="0.25">
      <c r="B40" s="56" t="s">
        <v>136</v>
      </c>
      <c r="C40" s="51">
        <v>0</v>
      </c>
      <c r="D40" s="51">
        <v>0</v>
      </c>
      <c r="E40" s="51">
        <v>-0.41</v>
      </c>
      <c r="F40" s="51">
        <v>0</v>
      </c>
      <c r="G40" s="51">
        <v>0</v>
      </c>
      <c r="H40" s="19">
        <f t="shared" ref="H40:Q40" si="30">G40*(1+0.5%)</f>
        <v>0</v>
      </c>
      <c r="I40" s="19">
        <f t="shared" si="30"/>
        <v>0</v>
      </c>
      <c r="J40" s="19">
        <f t="shared" si="30"/>
        <v>0</v>
      </c>
      <c r="K40" s="19">
        <f t="shared" si="30"/>
        <v>0</v>
      </c>
      <c r="L40" s="19">
        <f t="shared" si="30"/>
        <v>0</v>
      </c>
      <c r="M40" s="19">
        <f t="shared" si="30"/>
        <v>0</v>
      </c>
      <c r="N40" s="19">
        <f t="shared" si="30"/>
        <v>0</v>
      </c>
      <c r="O40" s="19">
        <f t="shared" si="30"/>
        <v>0</v>
      </c>
      <c r="P40" s="19">
        <f t="shared" si="30"/>
        <v>0</v>
      </c>
      <c r="Q40" s="19">
        <f t="shared" si="30"/>
        <v>0</v>
      </c>
    </row>
    <row r="41" spans="2:17" x14ac:dyDescent="0.25">
      <c r="B41" s="56" t="s">
        <v>117</v>
      </c>
      <c r="C41" s="51">
        <v>152.22999999999999</v>
      </c>
      <c r="D41" s="51">
        <v>-19.600000000000001</v>
      </c>
      <c r="E41" s="51">
        <v>-54.55</v>
      </c>
      <c r="F41" s="51">
        <v>-19.89</v>
      </c>
      <c r="G41" s="51">
        <v>-49.4</v>
      </c>
      <c r="H41" s="19">
        <f t="shared" ref="H41:Q41" si="31">G41*(1+0.5%)</f>
        <v>-49.646999999999991</v>
      </c>
      <c r="I41" s="19">
        <f t="shared" si="31"/>
        <v>-49.895234999999985</v>
      </c>
      <c r="J41" s="19">
        <f t="shared" si="31"/>
        <v>-50.144711174999983</v>
      </c>
      <c r="K41" s="19">
        <f t="shared" si="31"/>
        <v>-50.395434730874975</v>
      </c>
      <c r="L41" s="19">
        <f t="shared" si="31"/>
        <v>-50.647411904529342</v>
      </c>
      <c r="M41" s="19">
        <f t="shared" si="31"/>
        <v>-50.900648964051982</v>
      </c>
      <c r="N41" s="19">
        <f t="shared" si="31"/>
        <v>-51.155152208872238</v>
      </c>
      <c r="O41" s="19">
        <f t="shared" si="31"/>
        <v>-51.410927969916592</v>
      </c>
      <c r="P41" s="19">
        <f t="shared" si="31"/>
        <v>-51.66798260976617</v>
      </c>
      <c r="Q41" s="19">
        <f t="shared" si="31"/>
        <v>-51.926322522814999</v>
      </c>
    </row>
    <row r="42" spans="2:17" x14ac:dyDescent="0.25">
      <c r="B42" s="55" t="s">
        <v>118</v>
      </c>
      <c r="C42" s="50">
        <f t="shared" ref="C42:H42" si="32">SUM(C36:C41)</f>
        <v>4796.4799999999996</v>
      </c>
      <c r="D42" s="50">
        <f t="shared" si="32"/>
        <v>5470.2999999999993</v>
      </c>
      <c r="E42" s="50">
        <f t="shared" si="32"/>
        <v>5717.8</v>
      </c>
      <c r="F42" s="50">
        <f t="shared" si="32"/>
        <v>6016.1699999999992</v>
      </c>
      <c r="G42" s="50">
        <f t="shared" si="32"/>
        <v>6155.3300000000008</v>
      </c>
      <c r="H42" s="33">
        <f t="shared" si="32"/>
        <v>6295.1858000000011</v>
      </c>
      <c r="I42" s="33">
        <f t="shared" ref="I42" si="33">SUM(I36:I41)</f>
        <v>6435.7408790000009</v>
      </c>
      <c r="J42" s="33">
        <f t="shared" ref="J42" si="34">SUM(J36:J41)</f>
        <v>6576.9987333950012</v>
      </c>
      <c r="K42" s="33">
        <f t="shared" ref="K42" si="35">SUM(K36:K41)</f>
        <v>6718.9628770619756</v>
      </c>
      <c r="L42" s="33">
        <f t="shared" ref="L42" si="36">SUM(L36:L41)</f>
        <v>6861.6368414472854</v>
      </c>
      <c r="M42" s="33">
        <f t="shared" ref="M42" si="37">SUM(M36:M41)</f>
        <v>7005.0241756545211</v>
      </c>
      <c r="N42" s="33">
        <f t="shared" ref="N42" si="38">SUM(N36:N41)</f>
        <v>7149.1284465327935</v>
      </c>
      <c r="O42" s="33">
        <f t="shared" ref="O42" si="39">SUM(O36:O41)</f>
        <v>7293.9532387654572</v>
      </c>
      <c r="P42" s="33">
        <f t="shared" ref="P42" si="40">SUM(P36:P41)</f>
        <v>7439.5021549592839</v>
      </c>
      <c r="Q42" s="33">
        <f t="shared" ref="Q42" si="41">SUM(Q36:Q41)</f>
        <v>7585.7788157340801</v>
      </c>
    </row>
    <row r="43" spans="2:17" x14ac:dyDescent="0.25">
      <c r="B43" s="56" t="s">
        <v>120</v>
      </c>
      <c r="C43" s="51">
        <v>1401.76</v>
      </c>
      <c r="D43" s="51">
        <v>1966.93</v>
      </c>
      <c r="E43" s="51">
        <v>2439.9499999999998</v>
      </c>
      <c r="F43" s="51">
        <v>2854.52</v>
      </c>
      <c r="G43" s="51">
        <v>3306.93</v>
      </c>
      <c r="H43" s="19">
        <f>SUM(G43:G47)</f>
        <v>3729.94</v>
      </c>
      <c r="I43" s="19">
        <f t="shared" ref="I43:Q43" si="42">SUM(H43:H47)</f>
        <v>4155.0650500000002</v>
      </c>
      <c r="J43" s="19">
        <f t="shared" si="42"/>
        <v>4582.3157252499996</v>
      </c>
      <c r="K43" s="19">
        <f t="shared" si="42"/>
        <v>5011.7026538762493</v>
      </c>
      <c r="L43" s="19">
        <f t="shared" si="42"/>
        <v>5443.2365171456313</v>
      </c>
      <c r="M43" s="19">
        <f t="shared" si="42"/>
        <v>5876.9280497313594</v>
      </c>
      <c r="N43" s="19">
        <f t="shared" si="42"/>
        <v>6312.7880399800151</v>
      </c>
      <c r="O43" s="19">
        <f t="shared" si="42"/>
        <v>6750.8273301799154</v>
      </c>
      <c r="P43" s="19">
        <f t="shared" si="42"/>
        <v>7191.0568168308155</v>
      </c>
      <c r="Q43" s="19">
        <f t="shared" si="42"/>
        <v>7633.4874509149686</v>
      </c>
    </row>
    <row r="44" spans="2:17" x14ac:dyDescent="0.25">
      <c r="B44" s="56" t="s">
        <v>121</v>
      </c>
      <c r="C44" s="51">
        <v>408.26</v>
      </c>
      <c r="D44" s="51">
        <v>439.55</v>
      </c>
      <c r="E44" s="51">
        <v>467.93</v>
      </c>
      <c r="F44" s="51">
        <v>464.6</v>
      </c>
      <c r="G44" s="51">
        <v>451.07</v>
      </c>
      <c r="H44" s="19">
        <f t="shared" ref="H44:Q44" si="43">G44*(1+0.5%)</f>
        <v>453.32534999999996</v>
      </c>
      <c r="I44" s="19">
        <f t="shared" si="43"/>
        <v>455.5919767499999</v>
      </c>
      <c r="J44" s="19">
        <f t="shared" si="43"/>
        <v>457.86993663374983</v>
      </c>
      <c r="K44" s="19">
        <f t="shared" si="43"/>
        <v>460.15928631691855</v>
      </c>
      <c r="L44" s="19">
        <f t="shared" si="43"/>
        <v>462.46008274850311</v>
      </c>
      <c r="M44" s="19">
        <f t="shared" si="43"/>
        <v>464.7723831622456</v>
      </c>
      <c r="N44" s="19">
        <f t="shared" si="43"/>
        <v>467.09624507805677</v>
      </c>
      <c r="O44" s="19">
        <f t="shared" si="43"/>
        <v>469.43172630344702</v>
      </c>
      <c r="P44" s="19">
        <f t="shared" si="43"/>
        <v>471.7788849349642</v>
      </c>
      <c r="Q44" s="19">
        <f t="shared" si="43"/>
        <v>474.13777935963896</v>
      </c>
    </row>
    <row r="45" spans="2:17" x14ac:dyDescent="0.25">
      <c r="B45" s="56" t="s">
        <v>115</v>
      </c>
      <c r="C45" s="51">
        <v>-7.6</v>
      </c>
      <c r="D45" s="51">
        <v>50.85</v>
      </c>
      <c r="E45" s="51">
        <v>0.41</v>
      </c>
      <c r="F45" s="51">
        <v>5.08</v>
      </c>
      <c r="G45" s="51">
        <v>16.52</v>
      </c>
      <c r="H45" s="19">
        <f t="shared" ref="H45:Q45" si="44">G45*(1+0.5%)</f>
        <v>16.602599999999999</v>
      </c>
      <c r="I45" s="19">
        <f t="shared" si="44"/>
        <v>16.685612999999996</v>
      </c>
      <c r="J45" s="19">
        <f t="shared" si="44"/>
        <v>16.769041064999996</v>
      </c>
      <c r="K45" s="19">
        <f t="shared" si="44"/>
        <v>16.852886270324994</v>
      </c>
      <c r="L45" s="19">
        <f t="shared" si="44"/>
        <v>16.937150701676618</v>
      </c>
      <c r="M45" s="19">
        <f t="shared" si="44"/>
        <v>17.021836455184999</v>
      </c>
      <c r="N45" s="19">
        <f t="shared" si="44"/>
        <v>17.106945637460921</v>
      </c>
      <c r="O45" s="19">
        <f t="shared" si="44"/>
        <v>17.192480365648223</v>
      </c>
      <c r="P45" s="19">
        <f t="shared" si="44"/>
        <v>17.278442767476463</v>
      </c>
      <c r="Q45" s="19">
        <f t="shared" si="44"/>
        <v>17.364834981313845</v>
      </c>
    </row>
    <row r="46" spans="2:17" x14ac:dyDescent="0.25">
      <c r="B46" s="56" t="s">
        <v>117</v>
      </c>
      <c r="C46" s="51">
        <v>164.51</v>
      </c>
      <c r="D46" s="51">
        <v>-17.38</v>
      </c>
      <c r="E46" s="51">
        <v>-53.74</v>
      </c>
      <c r="F46" s="51">
        <v>-17.27</v>
      </c>
      <c r="G46" s="51">
        <v>-44.58</v>
      </c>
      <c r="H46" s="19">
        <f t="shared" ref="H46:Q46" si="45">G46*(1+0.5%)</f>
        <v>-44.802899999999994</v>
      </c>
      <c r="I46" s="19">
        <f t="shared" si="45"/>
        <v>-45.02691449999999</v>
      </c>
      <c r="J46" s="19">
        <f t="shared" si="45"/>
        <v>-45.252049072499986</v>
      </c>
      <c r="K46" s="19">
        <f t="shared" si="45"/>
        <v>-45.478309317862482</v>
      </c>
      <c r="L46" s="19">
        <f t="shared" si="45"/>
        <v>-45.705700864451792</v>
      </c>
      <c r="M46" s="19">
        <f t="shared" si="45"/>
        <v>-45.934229368774048</v>
      </c>
      <c r="N46" s="19">
        <f t="shared" si="45"/>
        <v>-46.163900515617911</v>
      </c>
      <c r="O46" s="19">
        <f t="shared" si="45"/>
        <v>-46.394720018195997</v>
      </c>
      <c r="P46" s="19">
        <f t="shared" si="45"/>
        <v>-46.626693618286971</v>
      </c>
      <c r="Q46" s="19">
        <f t="shared" si="45"/>
        <v>-46.859827086378402</v>
      </c>
    </row>
    <row r="47" spans="2:17" x14ac:dyDescent="0.25">
      <c r="B47" s="56" t="s">
        <v>136</v>
      </c>
      <c r="C47" s="51">
        <v>0</v>
      </c>
      <c r="D47" s="51">
        <v>0</v>
      </c>
      <c r="E47" s="51">
        <v>-0.03</v>
      </c>
      <c r="F47" s="51">
        <v>0</v>
      </c>
      <c r="G47" s="51">
        <v>0</v>
      </c>
      <c r="H47" s="19">
        <f t="shared" ref="H47:Q47" si="46">G47*(1+0.5%)</f>
        <v>0</v>
      </c>
      <c r="I47" s="19">
        <f t="shared" si="46"/>
        <v>0</v>
      </c>
      <c r="J47" s="19">
        <f t="shared" si="46"/>
        <v>0</v>
      </c>
      <c r="K47" s="19">
        <f t="shared" si="46"/>
        <v>0</v>
      </c>
      <c r="L47" s="19">
        <f t="shared" si="46"/>
        <v>0</v>
      </c>
      <c r="M47" s="19">
        <f t="shared" si="46"/>
        <v>0</v>
      </c>
      <c r="N47" s="19">
        <f t="shared" si="46"/>
        <v>0</v>
      </c>
      <c r="O47" s="19">
        <f t="shared" si="46"/>
        <v>0</v>
      </c>
      <c r="P47" s="19">
        <f t="shared" si="46"/>
        <v>0</v>
      </c>
      <c r="Q47" s="19">
        <f t="shared" si="46"/>
        <v>0</v>
      </c>
    </row>
    <row r="48" spans="2:17" ht="15.75" thickBot="1" x14ac:dyDescent="0.3">
      <c r="B48" s="55" t="s">
        <v>122</v>
      </c>
      <c r="C48" s="53">
        <f>C42-SUM(C43:C47)</f>
        <v>2829.5499999999993</v>
      </c>
      <c r="D48" s="53">
        <f>D42-SUM(D43:D47)</f>
        <v>3030.3499999999995</v>
      </c>
      <c r="E48" s="53">
        <f>E42-SUM(E43:E47)</f>
        <v>2863.2800000000007</v>
      </c>
      <c r="F48" s="53">
        <f>F42-SUM(F43:F47)</f>
        <v>2709.2399999999993</v>
      </c>
      <c r="G48" s="53">
        <f>G42-SUM(G43:G47)</f>
        <v>2425.3900000000008</v>
      </c>
      <c r="H48" s="54">
        <f t="shared" ref="H48" si="47">H42-SUM(H43:H47)</f>
        <v>2140.120750000001</v>
      </c>
      <c r="I48" s="54">
        <f t="shared" ref="I48" si="48">I42-SUM(I43:I47)</f>
        <v>1853.4251537500013</v>
      </c>
      <c r="J48" s="54">
        <f t="shared" ref="J48" si="49">J42-SUM(J43:J47)</f>
        <v>1565.2960795187519</v>
      </c>
      <c r="K48" s="54">
        <f t="shared" ref="K48" si="50">K42-SUM(K43:K47)</f>
        <v>1275.7263599163443</v>
      </c>
      <c r="L48" s="54">
        <f t="shared" ref="L48" si="51">L42-SUM(L43:L47)</f>
        <v>984.70879171592605</v>
      </c>
      <c r="M48" s="54">
        <f t="shared" ref="M48" si="52">M42-SUM(M43:M47)</f>
        <v>692.23613567450593</v>
      </c>
      <c r="N48" s="54">
        <f t="shared" ref="N48" si="53">N42-SUM(N43:N47)</f>
        <v>398.30111635287813</v>
      </c>
      <c r="O48" s="54">
        <f t="shared" ref="O48" si="54">O42-SUM(O43:O47)</f>
        <v>102.89642193464169</v>
      </c>
      <c r="P48" s="54">
        <f t="shared" ref="P48" si="55">P42-SUM(P43:P47)</f>
        <v>-193.98529595568471</v>
      </c>
      <c r="Q48" s="54">
        <f t="shared" ref="Q48" si="56">Q42-SUM(Q43:Q47)</f>
        <v>-492.35142243546306</v>
      </c>
    </row>
    <row r="49" spans="2:17" ht="15.75" thickTop="1" x14ac:dyDescent="0.25">
      <c r="B49" s="56"/>
      <c r="C49" s="51"/>
      <c r="D49" s="163"/>
      <c r="E49" s="163"/>
      <c r="F49" s="163"/>
      <c r="G49" s="163"/>
      <c r="H49" s="190"/>
      <c r="I49" s="190"/>
      <c r="J49" s="190"/>
      <c r="K49" s="190"/>
      <c r="L49" s="190"/>
      <c r="M49" s="190"/>
      <c r="N49" s="190"/>
      <c r="O49" s="190"/>
      <c r="P49" s="190"/>
      <c r="Q49" s="190"/>
    </row>
    <row r="50" spans="2:17" x14ac:dyDescent="0.25">
      <c r="B50" s="55" t="s">
        <v>124</v>
      </c>
      <c r="C50" s="51"/>
      <c r="D50" s="51"/>
      <c r="E50" s="51"/>
      <c r="F50" s="51"/>
      <c r="G50" s="51"/>
      <c r="H50" s="19"/>
      <c r="I50" s="19"/>
      <c r="J50" s="19"/>
      <c r="K50" s="19"/>
      <c r="L50" s="19"/>
      <c r="M50" s="19"/>
      <c r="N50" s="19"/>
      <c r="O50" s="19"/>
      <c r="P50" s="19"/>
      <c r="Q50" s="19"/>
    </row>
    <row r="51" spans="2:17" x14ac:dyDescent="0.25">
      <c r="B51" s="55" t="s">
        <v>113</v>
      </c>
      <c r="C51" s="50">
        <v>97.65</v>
      </c>
      <c r="D51" s="50">
        <v>101.75</v>
      </c>
      <c r="E51" s="50">
        <v>119.77</v>
      </c>
      <c r="F51" s="50">
        <v>117.25</v>
      </c>
      <c r="G51" s="50">
        <v>130.16</v>
      </c>
      <c r="H51" s="33">
        <f>G57</f>
        <v>147.45000000000002</v>
      </c>
      <c r="I51" s="33">
        <f t="shared" ref="I51:J51" si="57">H57</f>
        <v>164.82644999999999</v>
      </c>
      <c r="J51" s="33">
        <f t="shared" si="57"/>
        <v>182.28978225</v>
      </c>
      <c r="K51" s="33">
        <f>J57</f>
        <v>199.84043116125</v>
      </c>
      <c r="L51" s="33">
        <f t="shared" ref="L51:Q51" si="58">K57</f>
        <v>217.47883331705626</v>
      </c>
      <c r="M51" s="33">
        <f t="shared" si="58"/>
        <v>235.20542748364153</v>
      </c>
      <c r="N51" s="33">
        <f t="shared" si="58"/>
        <v>253.02065462105972</v>
      </c>
      <c r="O51" s="33">
        <f t="shared" si="58"/>
        <v>270.92495789416495</v>
      </c>
      <c r="P51" s="33">
        <f t="shared" si="58"/>
        <v>288.91878268363581</v>
      </c>
      <c r="Q51" s="33">
        <f t="shared" si="58"/>
        <v>307.00257659705403</v>
      </c>
    </row>
    <row r="52" spans="2:17" x14ac:dyDescent="0.25">
      <c r="B52" s="56" t="s">
        <v>114</v>
      </c>
      <c r="C52" s="51">
        <v>3.83</v>
      </c>
      <c r="D52" s="51">
        <v>2.86</v>
      </c>
      <c r="E52" s="51">
        <v>2.5099999999999998</v>
      </c>
      <c r="F52" s="51">
        <v>6.11</v>
      </c>
      <c r="G52" s="51">
        <v>12.08</v>
      </c>
      <c r="H52" s="19">
        <f t="shared" ref="H52:Q52" si="59">G52*(1+0.5%)</f>
        <v>12.1404</v>
      </c>
      <c r="I52" s="19">
        <f t="shared" si="59"/>
        <v>12.201101999999999</v>
      </c>
      <c r="J52" s="19">
        <f t="shared" si="59"/>
        <v>12.262107509999998</v>
      </c>
      <c r="K52" s="19">
        <f t="shared" si="59"/>
        <v>12.323418047549996</v>
      </c>
      <c r="L52" s="19">
        <f t="shared" si="59"/>
        <v>12.385035137787744</v>
      </c>
      <c r="M52" s="19">
        <f t="shared" si="59"/>
        <v>12.446960313476682</v>
      </c>
      <c r="N52" s="19">
        <f t="shared" si="59"/>
        <v>12.509195115044063</v>
      </c>
      <c r="O52" s="19">
        <f t="shared" si="59"/>
        <v>12.571741090619282</v>
      </c>
      <c r="P52" s="19">
        <f t="shared" si="59"/>
        <v>12.634599796072377</v>
      </c>
      <c r="Q52" s="19">
        <f t="shared" si="59"/>
        <v>12.697772795052739</v>
      </c>
    </row>
    <row r="53" spans="2:17" x14ac:dyDescent="0.25">
      <c r="B53" s="56" t="s">
        <v>135</v>
      </c>
      <c r="C53" s="51">
        <v>0</v>
      </c>
      <c r="D53" s="51">
        <v>0.99</v>
      </c>
      <c r="E53" s="51">
        <v>0</v>
      </c>
      <c r="F53" s="51">
        <v>7.36</v>
      </c>
      <c r="G53" s="51">
        <v>0</v>
      </c>
      <c r="H53" s="19">
        <f t="shared" ref="H53:Q53" si="60">G53*(1+0.5%)</f>
        <v>0</v>
      </c>
      <c r="I53" s="19">
        <f t="shared" si="60"/>
        <v>0</v>
      </c>
      <c r="J53" s="19">
        <f t="shared" si="60"/>
        <v>0</v>
      </c>
      <c r="K53" s="19">
        <f t="shared" si="60"/>
        <v>0</v>
      </c>
      <c r="L53" s="19">
        <f t="shared" si="60"/>
        <v>0</v>
      </c>
      <c r="M53" s="19">
        <f t="shared" si="60"/>
        <v>0</v>
      </c>
      <c r="N53" s="19">
        <f t="shared" si="60"/>
        <v>0</v>
      </c>
      <c r="O53" s="19">
        <f t="shared" si="60"/>
        <v>0</v>
      </c>
      <c r="P53" s="19">
        <f t="shared" si="60"/>
        <v>0</v>
      </c>
      <c r="Q53" s="19">
        <f t="shared" si="60"/>
        <v>0</v>
      </c>
    </row>
    <row r="54" spans="2:17" x14ac:dyDescent="0.25">
      <c r="B54" s="56" t="s">
        <v>115</v>
      </c>
      <c r="C54" s="51">
        <v>0.88</v>
      </c>
      <c r="D54" s="51">
        <v>15.03</v>
      </c>
      <c r="E54" s="51">
        <v>-0.9</v>
      </c>
      <c r="F54" s="51">
        <v>1.35</v>
      </c>
      <c r="G54" s="51">
        <v>6.15</v>
      </c>
      <c r="H54" s="19">
        <f t="shared" ref="H54:Q54" si="61">G54*(1+0.5%)</f>
        <v>6.1807499999999997</v>
      </c>
      <c r="I54" s="19">
        <f t="shared" si="61"/>
        <v>6.2116537499999991</v>
      </c>
      <c r="J54" s="19">
        <f t="shared" si="61"/>
        <v>6.242712018749998</v>
      </c>
      <c r="K54" s="19">
        <f t="shared" si="61"/>
        <v>6.2739255788437474</v>
      </c>
      <c r="L54" s="19">
        <f t="shared" si="61"/>
        <v>6.3052952067379655</v>
      </c>
      <c r="M54" s="19">
        <f t="shared" si="61"/>
        <v>6.3368216827716548</v>
      </c>
      <c r="N54" s="19">
        <f t="shared" si="61"/>
        <v>6.3685057911855125</v>
      </c>
      <c r="O54" s="19">
        <f t="shared" si="61"/>
        <v>6.4003483201414397</v>
      </c>
      <c r="P54" s="19">
        <f t="shared" si="61"/>
        <v>6.4323500617421461</v>
      </c>
      <c r="Q54" s="19">
        <f t="shared" si="61"/>
        <v>6.4645118120508558</v>
      </c>
    </row>
    <row r="55" spans="2:17" x14ac:dyDescent="0.25">
      <c r="B55" s="56" t="s">
        <v>136</v>
      </c>
      <c r="C55" s="51">
        <v>0</v>
      </c>
      <c r="D55" s="51">
        <v>0</v>
      </c>
      <c r="E55" s="51">
        <v>-0.12</v>
      </c>
      <c r="F55" s="51">
        <v>0</v>
      </c>
      <c r="G55" s="51">
        <v>0</v>
      </c>
      <c r="H55" s="19">
        <f t="shared" ref="H55:Q55" si="62">G55*(1+0.5%)</f>
        <v>0</v>
      </c>
      <c r="I55" s="19">
        <f t="shared" si="62"/>
        <v>0</v>
      </c>
      <c r="J55" s="19">
        <f t="shared" si="62"/>
        <v>0</v>
      </c>
      <c r="K55" s="19">
        <f t="shared" si="62"/>
        <v>0</v>
      </c>
      <c r="L55" s="19">
        <f t="shared" si="62"/>
        <v>0</v>
      </c>
      <c r="M55" s="19">
        <f t="shared" si="62"/>
        <v>0</v>
      </c>
      <c r="N55" s="19">
        <f t="shared" si="62"/>
        <v>0</v>
      </c>
      <c r="O55" s="19">
        <f t="shared" si="62"/>
        <v>0</v>
      </c>
      <c r="P55" s="19">
        <f t="shared" si="62"/>
        <v>0</v>
      </c>
      <c r="Q55" s="19">
        <f t="shared" si="62"/>
        <v>0</v>
      </c>
    </row>
    <row r="56" spans="2:17" x14ac:dyDescent="0.25">
      <c r="B56" s="56" t="s">
        <v>117</v>
      </c>
      <c r="C56" s="51">
        <v>-0.61</v>
      </c>
      <c r="D56" s="51">
        <v>-0.86</v>
      </c>
      <c r="E56" s="51">
        <v>-4.01</v>
      </c>
      <c r="F56" s="51">
        <v>-1.91</v>
      </c>
      <c r="G56" s="51">
        <v>-0.94</v>
      </c>
      <c r="H56" s="19">
        <f t="shared" ref="H56:Q56" si="63">G56*(1+0.5%)</f>
        <v>-0.94469999999999987</v>
      </c>
      <c r="I56" s="19">
        <f t="shared" si="63"/>
        <v>-0.94942349999999975</v>
      </c>
      <c r="J56" s="19">
        <f t="shared" si="63"/>
        <v>-0.95417061749999965</v>
      </c>
      <c r="K56" s="19">
        <f t="shared" si="63"/>
        <v>-0.95894147058749957</v>
      </c>
      <c r="L56" s="19">
        <f t="shared" si="63"/>
        <v>-0.96373617794043698</v>
      </c>
      <c r="M56" s="19">
        <f t="shared" si="63"/>
        <v>-0.96855485883013903</v>
      </c>
      <c r="N56" s="19">
        <f t="shared" si="63"/>
        <v>-0.97339763312428962</v>
      </c>
      <c r="O56" s="19">
        <f t="shared" si="63"/>
        <v>-0.97826462128991098</v>
      </c>
      <c r="P56" s="19">
        <f t="shared" si="63"/>
        <v>-0.98315594439636045</v>
      </c>
      <c r="Q56" s="19">
        <f t="shared" si="63"/>
        <v>-0.9880717241183421</v>
      </c>
    </row>
    <row r="57" spans="2:17" x14ac:dyDescent="0.25">
      <c r="B57" s="55" t="s">
        <v>118</v>
      </c>
      <c r="C57" s="50">
        <f t="shared" ref="C57:H57" si="64">SUM(C51:C56)</f>
        <v>101.75</v>
      </c>
      <c r="D57" s="50">
        <f t="shared" si="64"/>
        <v>119.77</v>
      </c>
      <c r="E57" s="50">
        <f t="shared" si="64"/>
        <v>117.24999999999999</v>
      </c>
      <c r="F57" s="50">
        <f t="shared" si="64"/>
        <v>130.16</v>
      </c>
      <c r="G57" s="50">
        <f t="shared" si="64"/>
        <v>147.45000000000002</v>
      </c>
      <c r="H57" s="33">
        <f t="shared" si="64"/>
        <v>164.82644999999999</v>
      </c>
      <c r="I57" s="33">
        <f t="shared" ref="I57" si="65">SUM(I51:I56)</f>
        <v>182.28978225</v>
      </c>
      <c r="J57" s="33">
        <f t="shared" ref="J57" si="66">SUM(J51:J56)</f>
        <v>199.84043116125</v>
      </c>
      <c r="K57" s="33">
        <f t="shared" ref="K57" si="67">SUM(K51:K56)</f>
        <v>217.47883331705626</v>
      </c>
      <c r="L57" s="33">
        <f t="shared" ref="L57" si="68">SUM(L51:L56)</f>
        <v>235.20542748364153</v>
      </c>
      <c r="M57" s="33">
        <f t="shared" ref="M57" si="69">SUM(M51:M56)</f>
        <v>253.02065462105972</v>
      </c>
      <c r="N57" s="33">
        <f t="shared" ref="N57" si="70">SUM(N51:N56)</f>
        <v>270.92495789416495</v>
      </c>
      <c r="O57" s="33">
        <f t="shared" ref="O57" si="71">SUM(O51:O56)</f>
        <v>288.91878268363581</v>
      </c>
      <c r="P57" s="33">
        <f t="shared" ref="P57" si="72">SUM(P51:P56)</f>
        <v>307.00257659705403</v>
      </c>
      <c r="Q57" s="33">
        <f t="shared" ref="Q57" si="73">SUM(Q51:Q56)</f>
        <v>325.17678948003925</v>
      </c>
    </row>
    <row r="58" spans="2:17" x14ac:dyDescent="0.25">
      <c r="B58" s="56" t="s">
        <v>120</v>
      </c>
      <c r="C58" s="51">
        <v>45.5</v>
      </c>
      <c r="D58" s="51">
        <v>59.81</v>
      </c>
      <c r="E58" s="51">
        <v>80.88</v>
      </c>
      <c r="F58" s="51">
        <v>86.45</v>
      </c>
      <c r="G58" s="51">
        <v>94.19</v>
      </c>
      <c r="H58" s="19">
        <f t="shared" ref="H58:Q58" si="74">G58*(1+0.5%)</f>
        <v>94.660949999999985</v>
      </c>
      <c r="I58" s="19">
        <f t="shared" si="74"/>
        <v>95.134254749999968</v>
      </c>
      <c r="J58" s="19">
        <f t="shared" si="74"/>
        <v>95.609926023749964</v>
      </c>
      <c r="K58" s="19">
        <f t="shared" si="74"/>
        <v>96.087975653868696</v>
      </c>
      <c r="L58" s="19">
        <f t="shared" si="74"/>
        <v>96.568415532138033</v>
      </c>
      <c r="M58" s="19">
        <f t="shared" si="74"/>
        <v>97.051257609798711</v>
      </c>
      <c r="N58" s="19">
        <f t="shared" si="74"/>
        <v>97.536513897847698</v>
      </c>
      <c r="O58" s="19">
        <f t="shared" si="74"/>
        <v>98.024196467336921</v>
      </c>
      <c r="P58" s="19">
        <f t="shared" si="74"/>
        <v>98.514317449673598</v>
      </c>
      <c r="Q58" s="19">
        <f t="shared" si="74"/>
        <v>99.006889036921962</v>
      </c>
    </row>
    <row r="59" spans="2:17" x14ac:dyDescent="0.25">
      <c r="B59" s="56" t="s">
        <v>121</v>
      </c>
      <c r="C59" s="51">
        <v>14.24</v>
      </c>
      <c r="D59" s="51">
        <v>11</v>
      </c>
      <c r="E59" s="51">
        <v>9.6199999999999992</v>
      </c>
      <c r="F59" s="51">
        <v>8.31</v>
      </c>
      <c r="G59" s="51">
        <v>9.0500000000000007</v>
      </c>
      <c r="H59" s="19">
        <f t="shared" ref="H59:Q59" si="75">G59*(1+0.5%)</f>
        <v>9.0952500000000001</v>
      </c>
      <c r="I59" s="19">
        <f t="shared" si="75"/>
        <v>9.1407262499999984</v>
      </c>
      <c r="J59" s="19">
        <f t="shared" si="75"/>
        <v>9.1864298812499978</v>
      </c>
      <c r="K59" s="19">
        <f t="shared" si="75"/>
        <v>9.2323620306562475</v>
      </c>
      <c r="L59" s="19">
        <f t="shared" si="75"/>
        <v>9.2785238408095285</v>
      </c>
      <c r="M59" s="19">
        <f t="shared" si="75"/>
        <v>9.3249164600135757</v>
      </c>
      <c r="N59" s="19">
        <f t="shared" si="75"/>
        <v>9.3715410423136429</v>
      </c>
      <c r="O59" s="19">
        <f t="shared" si="75"/>
        <v>9.4183987475252096</v>
      </c>
      <c r="P59" s="19">
        <f t="shared" si="75"/>
        <v>9.4654907412628351</v>
      </c>
      <c r="Q59" s="19">
        <f t="shared" si="75"/>
        <v>9.5128181949691477</v>
      </c>
    </row>
    <row r="60" spans="2:17" x14ac:dyDescent="0.25">
      <c r="B60" s="56" t="s">
        <v>115</v>
      </c>
      <c r="C60" s="51">
        <v>0.59</v>
      </c>
      <c r="D60" s="51">
        <v>10.63</v>
      </c>
      <c r="E60" s="51">
        <v>-0.13</v>
      </c>
      <c r="F60" s="51">
        <v>1.23</v>
      </c>
      <c r="G60" s="51">
        <v>6.41</v>
      </c>
      <c r="H60" s="19">
        <f t="shared" ref="H60:Q60" si="76">G60*(1+0.5%)</f>
        <v>6.4420499999999992</v>
      </c>
      <c r="I60" s="19">
        <f t="shared" si="76"/>
        <v>6.4742602499999986</v>
      </c>
      <c r="J60" s="19">
        <f t="shared" si="76"/>
        <v>6.5066315512499981</v>
      </c>
      <c r="K60" s="19">
        <f t="shared" si="76"/>
        <v>6.539164709006247</v>
      </c>
      <c r="L60" s="19">
        <f t="shared" si="76"/>
        <v>6.5718605325512778</v>
      </c>
      <c r="M60" s="19">
        <f t="shared" si="76"/>
        <v>6.6047198352140333</v>
      </c>
      <c r="N60" s="19">
        <f t="shared" si="76"/>
        <v>6.6377434343901029</v>
      </c>
      <c r="O60" s="19">
        <f t="shared" si="76"/>
        <v>6.6709321515620523</v>
      </c>
      <c r="P60" s="19">
        <f t="shared" si="76"/>
        <v>6.7042868123198618</v>
      </c>
      <c r="Q60" s="19">
        <f t="shared" si="76"/>
        <v>6.7378082463814604</v>
      </c>
    </row>
    <row r="61" spans="2:17" x14ac:dyDescent="0.25">
      <c r="B61" s="56" t="s">
        <v>117</v>
      </c>
      <c r="C61" s="51">
        <v>-0.52</v>
      </c>
      <c r="D61" s="51">
        <v>-0.56000000000000005</v>
      </c>
      <c r="E61" s="51">
        <v>-3.89</v>
      </c>
      <c r="F61" s="51">
        <v>-1.8</v>
      </c>
      <c r="G61" s="51">
        <v>-0.91</v>
      </c>
      <c r="H61" s="19">
        <f t="shared" ref="H61:Q61" si="77">G61*(1+0.5%)</f>
        <v>-0.91454999999999997</v>
      </c>
      <c r="I61" s="19">
        <f t="shared" si="77"/>
        <v>-0.91912274999999988</v>
      </c>
      <c r="J61" s="19">
        <f t="shared" si="77"/>
        <v>-0.92371836374999983</v>
      </c>
      <c r="K61" s="19">
        <f t="shared" si="77"/>
        <v>-0.92833695556874973</v>
      </c>
      <c r="L61" s="19">
        <f t="shared" si="77"/>
        <v>-0.93297864034659339</v>
      </c>
      <c r="M61" s="19">
        <f t="shared" si="77"/>
        <v>-0.9376435335483263</v>
      </c>
      <c r="N61" s="19">
        <f t="shared" si="77"/>
        <v>-0.94233175121606783</v>
      </c>
      <c r="O61" s="19">
        <f t="shared" si="77"/>
        <v>-0.94704340997214809</v>
      </c>
      <c r="P61" s="19">
        <f t="shared" si="77"/>
        <v>-0.95177862702200877</v>
      </c>
      <c r="Q61" s="19">
        <f t="shared" si="77"/>
        <v>-0.95653752015711868</v>
      </c>
    </row>
    <row r="62" spans="2:17" x14ac:dyDescent="0.25">
      <c r="B62" s="56" t="s">
        <v>136</v>
      </c>
      <c r="C62" s="51">
        <v>0</v>
      </c>
      <c r="D62" s="51">
        <v>0</v>
      </c>
      <c r="E62" s="51">
        <v>-0.03</v>
      </c>
      <c r="F62" s="51">
        <v>0</v>
      </c>
      <c r="G62" s="51">
        <v>0</v>
      </c>
      <c r="H62" s="19">
        <f t="shared" ref="H62:Q62" si="78">G62*(1+0.5%)</f>
        <v>0</v>
      </c>
      <c r="I62" s="19">
        <f t="shared" si="78"/>
        <v>0</v>
      </c>
      <c r="J62" s="19">
        <f t="shared" si="78"/>
        <v>0</v>
      </c>
      <c r="K62" s="19">
        <f t="shared" si="78"/>
        <v>0</v>
      </c>
      <c r="L62" s="19">
        <f t="shared" si="78"/>
        <v>0</v>
      </c>
      <c r="M62" s="19">
        <f t="shared" si="78"/>
        <v>0</v>
      </c>
      <c r="N62" s="19">
        <f t="shared" si="78"/>
        <v>0</v>
      </c>
      <c r="O62" s="19">
        <f t="shared" si="78"/>
        <v>0</v>
      </c>
      <c r="P62" s="19">
        <f t="shared" si="78"/>
        <v>0</v>
      </c>
      <c r="Q62" s="19">
        <f t="shared" si="78"/>
        <v>0</v>
      </c>
    </row>
    <row r="63" spans="2:17" ht="15.75" thickBot="1" x14ac:dyDescent="0.3">
      <c r="B63" s="55" t="s">
        <v>122</v>
      </c>
      <c r="C63" s="53">
        <f>C57-SUM(C58:C62)</f>
        <v>41.94</v>
      </c>
      <c r="D63" s="53">
        <f>D57-SUM(D58:D62)</f>
        <v>38.89</v>
      </c>
      <c r="E63" s="53">
        <f>E57-SUM(E58:E62)</f>
        <v>30.799999999999983</v>
      </c>
      <c r="F63" s="53">
        <f>F57-SUM(F58:F62)</f>
        <v>35.969999999999985</v>
      </c>
      <c r="G63" s="53">
        <f>G57-SUM(G58:G62)</f>
        <v>38.710000000000022</v>
      </c>
      <c r="H63" s="54">
        <f t="shared" ref="H63" si="79">H57-SUM(H58:H62)</f>
        <v>55.542750000000026</v>
      </c>
      <c r="I63" s="54">
        <f t="shared" ref="I63" si="80">I57-SUM(I58:I62)</f>
        <v>72.459663750000033</v>
      </c>
      <c r="J63" s="54">
        <f t="shared" ref="J63" si="81">J57-SUM(J58:J62)</f>
        <v>89.461162068750042</v>
      </c>
      <c r="K63" s="54">
        <f t="shared" ref="K63" si="82">K57-SUM(K58:K62)</f>
        <v>106.54766787909382</v>
      </c>
      <c r="L63" s="54">
        <f t="shared" ref="L63" si="83">L57-SUM(L58:L62)</f>
        <v>123.71960621848928</v>
      </c>
      <c r="M63" s="54">
        <f t="shared" ref="M63" si="84">M57-SUM(M58:M62)</f>
        <v>140.97740424958172</v>
      </c>
      <c r="N63" s="54">
        <f t="shared" ref="N63" si="85">N57-SUM(N58:N62)</f>
        <v>158.3214912708296</v>
      </c>
      <c r="O63" s="54">
        <f t="shared" ref="O63" si="86">O57-SUM(O58:O62)</f>
        <v>175.75229872718376</v>
      </c>
      <c r="P63" s="54">
        <f t="shared" ref="P63" si="87">P57-SUM(P58:P62)</f>
        <v>193.27026022081975</v>
      </c>
      <c r="Q63" s="54">
        <f t="shared" ref="Q63" si="88">Q57-SUM(Q58:Q62)</f>
        <v>210.87581152192379</v>
      </c>
    </row>
    <row r="64" spans="2:17" ht="15.75" thickTop="1" x14ac:dyDescent="0.25">
      <c r="B64" s="56"/>
      <c r="C64" s="51"/>
      <c r="D64" s="163"/>
      <c r="E64" s="163"/>
      <c r="F64" s="163"/>
      <c r="G64" s="163"/>
      <c r="H64" s="190"/>
      <c r="I64" s="190"/>
      <c r="J64" s="190"/>
      <c r="K64" s="192"/>
      <c r="L64" s="190"/>
      <c r="M64" s="190"/>
      <c r="N64" s="190"/>
      <c r="O64" s="190"/>
      <c r="P64" s="190"/>
      <c r="Q64" s="190"/>
    </row>
    <row r="65" spans="2:17" x14ac:dyDescent="0.25">
      <c r="B65" s="55" t="s">
        <v>125</v>
      </c>
      <c r="C65" s="51"/>
      <c r="D65" s="51"/>
      <c r="E65" s="51"/>
      <c r="F65" s="51"/>
      <c r="G65" s="51"/>
      <c r="H65" s="19"/>
      <c r="I65" s="19"/>
      <c r="J65" s="19"/>
      <c r="K65" s="19"/>
      <c r="L65" s="19"/>
      <c r="M65" s="19"/>
      <c r="N65" s="19"/>
      <c r="O65" s="19"/>
      <c r="P65" s="19"/>
      <c r="Q65" s="19"/>
    </row>
    <row r="66" spans="2:17" x14ac:dyDescent="0.25">
      <c r="B66" s="55" t="s">
        <v>113</v>
      </c>
      <c r="C66" s="50">
        <v>127.1</v>
      </c>
      <c r="D66" s="50">
        <v>175.75</v>
      </c>
      <c r="E66" s="50">
        <v>197.9</v>
      </c>
      <c r="F66" s="50">
        <v>139.58000000000001</v>
      </c>
      <c r="G66" s="50">
        <v>297.11</v>
      </c>
      <c r="H66" s="33">
        <f>G72</f>
        <v>503.74</v>
      </c>
      <c r="I66" s="33">
        <f t="shared" ref="I66:J66" si="89">H72</f>
        <v>711.4031500000001</v>
      </c>
      <c r="J66" s="33">
        <f t="shared" si="89"/>
        <v>920.10461574999999</v>
      </c>
      <c r="K66" s="33">
        <f>J72</f>
        <v>1129.8495888287498</v>
      </c>
      <c r="L66" s="33">
        <f t="shared" ref="L66:Q66" si="90">K72</f>
        <v>1340.6432867728934</v>
      </c>
      <c r="M66" s="33">
        <f t="shared" si="90"/>
        <v>1552.4909532067579</v>
      </c>
      <c r="N66" s="33">
        <f t="shared" si="90"/>
        <v>1765.3978579727916</v>
      </c>
      <c r="O66" s="33">
        <f t="shared" si="90"/>
        <v>1979.3692972626559</v>
      </c>
      <c r="P66" s="33">
        <f t="shared" si="90"/>
        <v>2194.4105937489694</v>
      </c>
      <c r="Q66" s="33">
        <f t="shared" si="90"/>
        <v>2410.5270967177139</v>
      </c>
    </row>
    <row r="67" spans="2:17" x14ac:dyDescent="0.25">
      <c r="B67" s="56" t="s">
        <v>114</v>
      </c>
      <c r="C67" s="51">
        <v>61.8</v>
      </c>
      <c r="D67" s="51">
        <v>37.94</v>
      </c>
      <c r="E67" s="51">
        <v>38.659999999999997</v>
      </c>
      <c r="F67" s="51">
        <v>164.33</v>
      </c>
      <c r="G67" s="51">
        <v>332.29</v>
      </c>
      <c r="H67" s="19">
        <f t="shared" ref="H67:Q67" si="91">G67*(1+0.5%)</f>
        <v>333.95144999999997</v>
      </c>
      <c r="I67" s="19">
        <f t="shared" si="91"/>
        <v>335.62120724999994</v>
      </c>
      <c r="J67" s="19">
        <f t="shared" si="91"/>
        <v>337.29931328624991</v>
      </c>
      <c r="K67" s="19">
        <f t="shared" si="91"/>
        <v>338.98580985268114</v>
      </c>
      <c r="L67" s="19">
        <f t="shared" si="91"/>
        <v>340.68073890194449</v>
      </c>
      <c r="M67" s="19">
        <f t="shared" si="91"/>
        <v>342.38414259645418</v>
      </c>
      <c r="N67" s="19">
        <f t="shared" si="91"/>
        <v>344.09606330943643</v>
      </c>
      <c r="O67" s="19">
        <f t="shared" si="91"/>
        <v>345.81654362598357</v>
      </c>
      <c r="P67" s="19">
        <f t="shared" si="91"/>
        <v>347.54562634411343</v>
      </c>
      <c r="Q67" s="19">
        <f t="shared" si="91"/>
        <v>349.28335447583396</v>
      </c>
    </row>
    <row r="68" spans="2:17" x14ac:dyDescent="0.25">
      <c r="B68" s="56" t="s">
        <v>135</v>
      </c>
      <c r="C68" s="51">
        <v>0</v>
      </c>
      <c r="D68" s="51">
        <v>0</v>
      </c>
      <c r="E68" s="51">
        <v>0</v>
      </c>
      <c r="F68" s="51">
        <v>0.05</v>
      </c>
      <c r="G68" s="51"/>
      <c r="H68" s="19">
        <f t="shared" ref="H68:Q68" si="92">G68*(1+0.5%)</f>
        <v>0</v>
      </c>
      <c r="I68" s="19">
        <f t="shared" si="92"/>
        <v>0</v>
      </c>
      <c r="J68" s="19">
        <f t="shared" si="92"/>
        <v>0</v>
      </c>
      <c r="K68" s="19">
        <f t="shared" si="92"/>
        <v>0</v>
      </c>
      <c r="L68" s="19">
        <f t="shared" si="92"/>
        <v>0</v>
      </c>
      <c r="M68" s="19">
        <f t="shared" si="92"/>
        <v>0</v>
      </c>
      <c r="N68" s="19">
        <f t="shared" si="92"/>
        <v>0</v>
      </c>
      <c r="O68" s="19">
        <f t="shared" si="92"/>
        <v>0</v>
      </c>
      <c r="P68" s="19">
        <f t="shared" si="92"/>
        <v>0</v>
      </c>
      <c r="Q68" s="19">
        <f t="shared" si="92"/>
        <v>0</v>
      </c>
    </row>
    <row r="69" spans="2:17" x14ac:dyDescent="0.25">
      <c r="B69" s="56" t="s">
        <v>115</v>
      </c>
      <c r="C69" s="51">
        <v>-3.12</v>
      </c>
      <c r="D69" s="51">
        <v>-0.1</v>
      </c>
      <c r="E69" s="51">
        <v>-2.5099999999999998</v>
      </c>
      <c r="F69" s="51">
        <v>1.2</v>
      </c>
      <c r="G69" s="51">
        <v>-5.34</v>
      </c>
      <c r="H69" s="19">
        <f t="shared" ref="H69:Q69" si="93">G69*(1+0.5%)</f>
        <v>-5.3666999999999989</v>
      </c>
      <c r="I69" s="19">
        <f t="shared" si="93"/>
        <v>-5.3935334999999984</v>
      </c>
      <c r="J69" s="19">
        <f t="shared" si="93"/>
        <v>-5.4205011674999977</v>
      </c>
      <c r="K69" s="19">
        <f t="shared" si="93"/>
        <v>-5.4476036733374968</v>
      </c>
      <c r="L69" s="19">
        <f t="shared" si="93"/>
        <v>-5.4748416917041833</v>
      </c>
      <c r="M69" s="19">
        <f t="shared" si="93"/>
        <v>-5.502215900162704</v>
      </c>
      <c r="N69" s="19">
        <f t="shared" si="93"/>
        <v>-5.5297269796635167</v>
      </c>
      <c r="O69" s="19">
        <f t="shared" si="93"/>
        <v>-5.5573756145618338</v>
      </c>
      <c r="P69" s="19">
        <f t="shared" si="93"/>
        <v>-5.5851624926346428</v>
      </c>
      <c r="Q69" s="19">
        <f t="shared" si="93"/>
        <v>-5.6130883050978158</v>
      </c>
    </row>
    <row r="70" spans="2:17" x14ac:dyDescent="0.25">
      <c r="B70" s="56" t="s">
        <v>136</v>
      </c>
      <c r="C70" s="51"/>
      <c r="D70" s="51"/>
      <c r="E70" s="51">
        <v>-84.93</v>
      </c>
      <c r="F70" s="51">
        <v>0</v>
      </c>
      <c r="G70" s="51">
        <v>-81.06</v>
      </c>
      <c r="H70" s="19">
        <f t="shared" ref="H70:Q70" si="94">G70*(1+0.5%)</f>
        <v>-81.465299999999999</v>
      </c>
      <c r="I70" s="19">
        <f t="shared" si="94"/>
        <v>-81.872626499999996</v>
      </c>
      <c r="J70" s="19">
        <f t="shared" si="94"/>
        <v>-82.281989632499986</v>
      </c>
      <c r="K70" s="19">
        <f t="shared" si="94"/>
        <v>-82.693399580662472</v>
      </c>
      <c r="L70" s="19">
        <f t="shared" si="94"/>
        <v>-83.106866578565771</v>
      </c>
      <c r="M70" s="19">
        <f t="shared" si="94"/>
        <v>-83.52240091145859</v>
      </c>
      <c r="N70" s="19">
        <f t="shared" si="94"/>
        <v>-83.940012916015874</v>
      </c>
      <c r="O70" s="19">
        <f t="shared" si="94"/>
        <v>-84.359712980595944</v>
      </c>
      <c r="P70" s="19">
        <f t="shared" si="94"/>
        <v>-84.781511545498915</v>
      </c>
      <c r="Q70" s="19">
        <f t="shared" si="94"/>
        <v>-85.205419103226404</v>
      </c>
    </row>
    <row r="71" spans="2:17" x14ac:dyDescent="0.25">
      <c r="B71" s="56" t="s">
        <v>117</v>
      </c>
      <c r="C71" s="51">
        <v>-10.029999999999999</v>
      </c>
      <c r="D71" s="51">
        <v>-15.69</v>
      </c>
      <c r="E71" s="51">
        <v>-9.5399999999999991</v>
      </c>
      <c r="F71" s="51">
        <v>-8.0500000000000007</v>
      </c>
      <c r="G71" s="51">
        <v>-39.26</v>
      </c>
      <c r="H71" s="19">
        <f t="shared" ref="H71:Q71" si="95">G71*(1+0.5%)</f>
        <v>-39.456299999999992</v>
      </c>
      <c r="I71" s="19">
        <f t="shared" si="95"/>
        <v>-39.653581499999987</v>
      </c>
      <c r="J71" s="19">
        <f t="shared" si="95"/>
        <v>-39.851849407499984</v>
      </c>
      <c r="K71" s="19">
        <f t="shared" si="95"/>
        <v>-40.051108654537479</v>
      </c>
      <c r="L71" s="19">
        <f t="shared" si="95"/>
        <v>-40.251364197810162</v>
      </c>
      <c r="M71" s="19">
        <f t="shared" si="95"/>
        <v>-40.452621018799206</v>
      </c>
      <c r="N71" s="19">
        <f t="shared" si="95"/>
        <v>-40.654884123893197</v>
      </c>
      <c r="O71" s="19">
        <f t="shared" si="95"/>
        <v>-40.858158544512662</v>
      </c>
      <c r="P71" s="19">
        <f t="shared" si="95"/>
        <v>-41.062449337235222</v>
      </c>
      <c r="Q71" s="19">
        <f t="shared" si="95"/>
        <v>-41.267761583921391</v>
      </c>
    </row>
    <row r="72" spans="2:17" x14ac:dyDescent="0.25">
      <c r="B72" s="55" t="s">
        <v>118</v>
      </c>
      <c r="C72" s="50">
        <f t="shared" ref="C72:H72" si="96">SUM(C66:C71)</f>
        <v>175.74999999999997</v>
      </c>
      <c r="D72" s="50">
        <f t="shared" si="96"/>
        <v>197.9</v>
      </c>
      <c r="E72" s="50">
        <f t="shared" si="96"/>
        <v>139.58000000000001</v>
      </c>
      <c r="F72" s="50">
        <f t="shared" si="96"/>
        <v>297.11</v>
      </c>
      <c r="G72" s="50">
        <f t="shared" si="96"/>
        <v>503.74</v>
      </c>
      <c r="H72" s="33">
        <f t="shared" si="96"/>
        <v>711.4031500000001</v>
      </c>
      <c r="I72" s="33">
        <f t="shared" ref="I72" si="97">SUM(I66:I71)</f>
        <v>920.10461574999999</v>
      </c>
      <c r="J72" s="33">
        <f t="shared" ref="J72" si="98">SUM(J66:J71)</f>
        <v>1129.8495888287498</v>
      </c>
      <c r="K72" s="33">
        <f t="shared" ref="K72" si="99">SUM(K66:K71)</f>
        <v>1340.6432867728934</v>
      </c>
      <c r="L72" s="33">
        <f t="shared" ref="L72" si="100">SUM(L66:L71)</f>
        <v>1552.4909532067579</v>
      </c>
      <c r="M72" s="33">
        <f t="shared" ref="M72" si="101">SUM(M66:M71)</f>
        <v>1765.3978579727916</v>
      </c>
      <c r="N72" s="33">
        <f t="shared" ref="N72" si="102">SUM(N66:N71)</f>
        <v>1979.3692972626559</v>
      </c>
      <c r="O72" s="33">
        <f t="shared" ref="O72" si="103">SUM(O66:O71)</f>
        <v>2194.4105937489694</v>
      </c>
      <c r="P72" s="33">
        <f t="shared" ref="P72" si="104">SUM(P66:P71)</f>
        <v>2410.5270967177139</v>
      </c>
      <c r="Q72" s="33">
        <f t="shared" ref="Q72" si="105">SUM(Q66:Q71)</f>
        <v>2627.7241822013025</v>
      </c>
    </row>
    <row r="73" spans="2:17" x14ac:dyDescent="0.25">
      <c r="B73" s="56" t="s">
        <v>120</v>
      </c>
      <c r="C73" s="51">
        <v>63.14</v>
      </c>
      <c r="D73" s="51">
        <v>78.56</v>
      </c>
      <c r="E73" s="51">
        <v>88.3</v>
      </c>
      <c r="F73" s="51">
        <v>87.31</v>
      </c>
      <c r="G73" s="51">
        <v>96.55</v>
      </c>
      <c r="H73" s="19">
        <f>SUM(G73:G77)</f>
        <v>117.88</v>
      </c>
      <c r="I73" s="19">
        <f t="shared" ref="I73:Q73" si="106">SUM(H73:H77)</f>
        <v>139.31664999999998</v>
      </c>
      <c r="J73" s="19">
        <f t="shared" si="106"/>
        <v>160.86048324999999</v>
      </c>
      <c r="K73" s="19">
        <f t="shared" si="106"/>
        <v>182.51203566625</v>
      </c>
      <c r="L73" s="19">
        <f t="shared" si="106"/>
        <v>204.27184584458124</v>
      </c>
      <c r="M73" s="19">
        <f t="shared" si="106"/>
        <v>226.14045507380411</v>
      </c>
      <c r="N73" s="19">
        <f t="shared" si="106"/>
        <v>248.11840734917308</v>
      </c>
      <c r="O73" s="19">
        <f t="shared" si="106"/>
        <v>270.20624938591891</v>
      </c>
      <c r="P73" s="19">
        <f t="shared" si="106"/>
        <v>292.40453063284855</v>
      </c>
      <c r="Q73" s="19">
        <f t="shared" si="106"/>
        <v>314.71380328601276</v>
      </c>
    </row>
    <row r="74" spans="2:17" x14ac:dyDescent="0.25">
      <c r="B74" s="56" t="s">
        <v>121</v>
      </c>
      <c r="C74" s="51">
        <v>20</v>
      </c>
      <c r="D74" s="51">
        <v>22.54</v>
      </c>
      <c r="E74" s="51">
        <v>23.26</v>
      </c>
      <c r="F74" s="51">
        <v>15.76</v>
      </c>
      <c r="G74" s="51">
        <v>44.82</v>
      </c>
      <c r="H74" s="19">
        <f t="shared" ref="H74:Q74" si="107">G74*(1+0.5%)</f>
        <v>45.044099999999993</v>
      </c>
      <c r="I74" s="19">
        <f t="shared" si="107"/>
        <v>45.269320499999985</v>
      </c>
      <c r="J74" s="19">
        <f t="shared" si="107"/>
        <v>45.495667102499979</v>
      </c>
      <c r="K74" s="19">
        <f t="shared" si="107"/>
        <v>45.723145438012473</v>
      </c>
      <c r="L74" s="19">
        <f t="shared" si="107"/>
        <v>45.951761165202534</v>
      </c>
      <c r="M74" s="19">
        <f t="shared" si="107"/>
        <v>46.181519971028543</v>
      </c>
      <c r="N74" s="19">
        <f t="shared" si="107"/>
        <v>46.412427570883679</v>
      </c>
      <c r="O74" s="19">
        <f t="shared" si="107"/>
        <v>46.644489708738092</v>
      </c>
      <c r="P74" s="19">
        <f t="shared" si="107"/>
        <v>46.877712157281778</v>
      </c>
      <c r="Q74" s="19">
        <f t="shared" si="107"/>
        <v>47.112100718068184</v>
      </c>
    </row>
    <row r="75" spans="2:17" x14ac:dyDescent="0.25">
      <c r="B75" s="56" t="s">
        <v>115</v>
      </c>
      <c r="C75" s="51">
        <v>-3.24</v>
      </c>
      <c r="D75" s="51">
        <v>-1.43</v>
      </c>
      <c r="E75" s="51">
        <v>-0.26</v>
      </c>
      <c r="F75" s="51">
        <v>0.93</v>
      </c>
      <c r="G75" s="51">
        <v>-2.12</v>
      </c>
      <c r="H75" s="19">
        <f t="shared" ref="H75:Q75" si="108">G75*(1+0.5%)</f>
        <v>-2.1305999999999998</v>
      </c>
      <c r="I75" s="19">
        <f t="shared" si="108"/>
        <v>-2.1412529999999994</v>
      </c>
      <c r="J75" s="19">
        <f t="shared" si="108"/>
        <v>-2.151959264999999</v>
      </c>
      <c r="K75" s="19">
        <f t="shared" si="108"/>
        <v>-2.1627190613249989</v>
      </c>
      <c r="L75" s="19">
        <f t="shared" si="108"/>
        <v>-2.1735326566316235</v>
      </c>
      <c r="M75" s="19">
        <f t="shared" si="108"/>
        <v>-2.1844003199147815</v>
      </c>
      <c r="N75" s="19">
        <f t="shared" si="108"/>
        <v>-2.1953223215143551</v>
      </c>
      <c r="O75" s="19">
        <f t="shared" si="108"/>
        <v>-2.2062989331219267</v>
      </c>
      <c r="P75" s="19">
        <f t="shared" si="108"/>
        <v>-2.2173304277875361</v>
      </c>
      <c r="Q75" s="19">
        <f t="shared" si="108"/>
        <v>-2.2284170799264733</v>
      </c>
    </row>
    <row r="76" spans="2:17" x14ac:dyDescent="0.25">
      <c r="B76" s="56" t="s">
        <v>117</v>
      </c>
      <c r="C76" s="51">
        <v>-1.34</v>
      </c>
      <c r="D76" s="51">
        <v>-11.37</v>
      </c>
      <c r="E76" s="51">
        <v>-6.21</v>
      </c>
      <c r="F76" s="51">
        <v>-7.45</v>
      </c>
      <c r="G76" s="51">
        <v>-7.65</v>
      </c>
      <c r="H76" s="19">
        <f t="shared" ref="H76:Q76" si="109">G76*(1+0.5%)</f>
        <v>-7.6882499999999991</v>
      </c>
      <c r="I76" s="19">
        <f t="shared" si="109"/>
        <v>-7.7266912499999982</v>
      </c>
      <c r="J76" s="19">
        <f t="shared" si="109"/>
        <v>-7.7653247062499977</v>
      </c>
      <c r="K76" s="19">
        <f t="shared" si="109"/>
        <v>-7.8041513297812468</v>
      </c>
      <c r="L76" s="19">
        <f t="shared" si="109"/>
        <v>-7.843172086430152</v>
      </c>
      <c r="M76" s="19">
        <f t="shared" si="109"/>
        <v>-7.8823879468623019</v>
      </c>
      <c r="N76" s="19">
        <f t="shared" si="109"/>
        <v>-7.9217998865966122</v>
      </c>
      <c r="O76" s="19">
        <f t="shared" si="109"/>
        <v>-7.9614088860295942</v>
      </c>
      <c r="P76" s="19">
        <f t="shared" si="109"/>
        <v>-8.0012159304597414</v>
      </c>
      <c r="Q76" s="19">
        <f t="shared" si="109"/>
        <v>-8.0412220101120386</v>
      </c>
    </row>
    <row r="77" spans="2:17" x14ac:dyDescent="0.25">
      <c r="B77" s="56" t="s">
        <v>136</v>
      </c>
      <c r="C77" s="51">
        <v>0</v>
      </c>
      <c r="D77" s="51">
        <v>0</v>
      </c>
      <c r="E77" s="51">
        <v>-17.78</v>
      </c>
      <c r="F77" s="51">
        <v>0</v>
      </c>
      <c r="G77" s="51">
        <v>-13.72</v>
      </c>
      <c r="H77" s="19">
        <f t="shared" ref="H77:Q77" si="110">G77*(1+0.5%)</f>
        <v>-13.788599999999999</v>
      </c>
      <c r="I77" s="19">
        <f t="shared" si="110"/>
        <v>-13.857542999999998</v>
      </c>
      <c r="J77" s="19">
        <f t="shared" si="110"/>
        <v>-13.926830714999996</v>
      </c>
      <c r="K77" s="19">
        <f t="shared" si="110"/>
        <v>-13.996464868574995</v>
      </c>
      <c r="L77" s="19">
        <f t="shared" si="110"/>
        <v>-14.066447192917868</v>
      </c>
      <c r="M77" s="19">
        <f t="shared" si="110"/>
        <v>-14.136779428882456</v>
      </c>
      <c r="N77" s="19">
        <f t="shared" si="110"/>
        <v>-14.207463326026867</v>
      </c>
      <c r="O77" s="19">
        <f t="shared" si="110"/>
        <v>-14.278500642656999</v>
      </c>
      <c r="P77" s="19">
        <f t="shared" si="110"/>
        <v>-14.349893145870283</v>
      </c>
      <c r="Q77" s="19">
        <f t="shared" si="110"/>
        <v>-14.421642611599633</v>
      </c>
    </row>
    <row r="78" spans="2:17" ht="15.75" thickBot="1" x14ac:dyDescent="0.3">
      <c r="B78" s="55" t="s">
        <v>122</v>
      </c>
      <c r="C78" s="53">
        <f>C72-SUM(C73:C77)</f>
        <v>97.189999999999969</v>
      </c>
      <c r="D78" s="53">
        <f>D72-SUM(D73:D77)</f>
        <v>109.60000000000002</v>
      </c>
      <c r="E78" s="53">
        <f>E72-SUM(E73:E77)</f>
        <v>52.27000000000001</v>
      </c>
      <c r="F78" s="53">
        <f>F72-SUM(F73:F77)</f>
        <v>200.56</v>
      </c>
      <c r="G78" s="53">
        <f>G72-SUM(G73:G77)</f>
        <v>385.86</v>
      </c>
      <c r="H78" s="54">
        <f t="shared" ref="H78" si="111">H72-SUM(H73:H77)</f>
        <v>572.08650000000011</v>
      </c>
      <c r="I78" s="54">
        <f t="shared" ref="I78" si="112">I72-SUM(I73:I77)</f>
        <v>759.24413249999998</v>
      </c>
      <c r="J78" s="54">
        <f t="shared" ref="J78" si="113">J72-SUM(J73:J77)</f>
        <v>947.33755316249983</v>
      </c>
      <c r="K78" s="54">
        <f t="shared" ref="K78" si="114">K72-SUM(K73:K77)</f>
        <v>1136.371440928312</v>
      </c>
      <c r="L78" s="54">
        <f t="shared" ref="L78" si="115">L72-SUM(L73:L77)</f>
        <v>1326.3504981329538</v>
      </c>
      <c r="M78" s="54">
        <f t="shared" ref="M78" si="116">M72-SUM(M73:M77)</f>
        <v>1517.2794506236185</v>
      </c>
      <c r="N78" s="54">
        <f t="shared" ref="N78" si="117">N72-SUM(N73:N77)</f>
        <v>1709.163047876737</v>
      </c>
      <c r="O78" s="54">
        <f t="shared" ref="O78" si="118">O72-SUM(O73:O77)</f>
        <v>1902.0060631161209</v>
      </c>
      <c r="P78" s="54">
        <f t="shared" ref="P78" si="119">P72-SUM(P73:P77)</f>
        <v>2095.8132934317009</v>
      </c>
      <c r="Q78" s="54">
        <f t="shared" ref="Q78" si="120">Q72-SUM(Q73:Q77)</f>
        <v>2290.5895598988595</v>
      </c>
    </row>
    <row r="79" spans="2:17" ht="15.75" thickTop="1" x14ac:dyDescent="0.25">
      <c r="B79" s="56"/>
      <c r="C79" s="163"/>
      <c r="D79" s="163"/>
      <c r="E79" s="163"/>
      <c r="F79" s="163"/>
      <c r="G79" s="163"/>
      <c r="H79" s="190"/>
      <c r="I79" s="190"/>
      <c r="J79" s="190"/>
      <c r="K79" s="190"/>
      <c r="L79" s="190"/>
      <c r="M79" s="190"/>
      <c r="N79" s="190"/>
      <c r="O79" s="190"/>
      <c r="P79" s="190"/>
      <c r="Q79" s="190"/>
    </row>
    <row r="80" spans="2:17" x14ac:dyDescent="0.25">
      <c r="B80" s="55" t="s">
        <v>126</v>
      </c>
      <c r="C80" s="51"/>
      <c r="D80" s="51"/>
      <c r="E80" s="51"/>
      <c r="F80" s="51"/>
      <c r="G80" s="51"/>
      <c r="H80" s="19"/>
      <c r="I80" s="19"/>
      <c r="J80" s="19"/>
      <c r="K80" s="19"/>
      <c r="L80" s="19"/>
      <c r="M80" s="19"/>
      <c r="N80" s="19"/>
      <c r="O80" s="19"/>
      <c r="P80" s="19"/>
      <c r="Q80" s="19"/>
    </row>
    <row r="81" spans="2:17" x14ac:dyDescent="0.25">
      <c r="B81" s="55" t="s">
        <v>113</v>
      </c>
      <c r="C81" s="50">
        <v>145.55000000000001</v>
      </c>
      <c r="D81" s="50">
        <v>200.88</v>
      </c>
      <c r="E81" s="50">
        <v>227.43</v>
      </c>
      <c r="F81" s="50">
        <v>240.97</v>
      </c>
      <c r="G81" s="50">
        <v>272.3</v>
      </c>
      <c r="H81" s="33">
        <f>G87</f>
        <v>336.06</v>
      </c>
      <c r="I81" s="33">
        <f t="shared" ref="I81:J81" si="121">H87</f>
        <v>400.1388</v>
      </c>
      <c r="J81" s="33">
        <f t="shared" si="121"/>
        <v>464.53799399999997</v>
      </c>
      <c r="K81" s="33">
        <f>J87</f>
        <v>529.25918396999987</v>
      </c>
      <c r="L81" s="33">
        <f t="shared" ref="L81:Q81" si="122">K87</f>
        <v>594.30397988984987</v>
      </c>
      <c r="M81" s="33">
        <f t="shared" si="122"/>
        <v>659.67399978929916</v>
      </c>
      <c r="N81" s="33">
        <f t="shared" si="122"/>
        <v>725.37086978824561</v>
      </c>
      <c r="O81" s="33">
        <f t="shared" si="122"/>
        <v>791.39622413718678</v>
      </c>
      <c r="P81" s="33">
        <f t="shared" si="122"/>
        <v>857.75170525787269</v>
      </c>
      <c r="Q81" s="33">
        <f t="shared" si="122"/>
        <v>924.43896378416207</v>
      </c>
    </row>
    <row r="82" spans="2:17" x14ac:dyDescent="0.25">
      <c r="B82" s="56" t="s">
        <v>114</v>
      </c>
      <c r="C82" s="51">
        <v>29.77</v>
      </c>
      <c r="D82" s="51">
        <v>16.989999999999998</v>
      </c>
      <c r="E82" s="51">
        <v>17.68</v>
      </c>
      <c r="F82" s="51">
        <v>41.44</v>
      </c>
      <c r="G82" s="51">
        <v>65.55</v>
      </c>
      <c r="H82" s="19">
        <f t="shared" ref="H82:Q82" si="123">G82*(1+0.5%)</f>
        <v>65.877749999999992</v>
      </c>
      <c r="I82" s="19">
        <f t="shared" si="123"/>
        <v>66.207138749999984</v>
      </c>
      <c r="J82" s="19">
        <f t="shared" si="123"/>
        <v>66.53817444374998</v>
      </c>
      <c r="K82" s="19">
        <f t="shared" si="123"/>
        <v>66.870865315968729</v>
      </c>
      <c r="L82" s="19">
        <f t="shared" si="123"/>
        <v>67.20521964254857</v>
      </c>
      <c r="M82" s="19">
        <f t="shared" si="123"/>
        <v>67.541245740761312</v>
      </c>
      <c r="N82" s="19">
        <f t="shared" si="123"/>
        <v>67.878951969465106</v>
      </c>
      <c r="O82" s="19">
        <f t="shared" si="123"/>
        <v>68.218346729312429</v>
      </c>
      <c r="P82" s="19">
        <f t="shared" si="123"/>
        <v>68.55943846295898</v>
      </c>
      <c r="Q82" s="19">
        <f t="shared" si="123"/>
        <v>68.90223565527377</v>
      </c>
    </row>
    <row r="83" spans="2:17" x14ac:dyDescent="0.25">
      <c r="B83" s="56" t="s">
        <v>135</v>
      </c>
      <c r="C83" s="51">
        <v>0</v>
      </c>
      <c r="D83" s="51">
        <v>0.65</v>
      </c>
      <c r="E83" s="51">
        <v>0</v>
      </c>
      <c r="F83" s="51">
        <v>1.93</v>
      </c>
      <c r="G83" s="51">
        <v>0</v>
      </c>
      <c r="H83" s="19">
        <f t="shared" ref="H83:Q83" si="124">G83*(1+0.5%)</f>
        <v>0</v>
      </c>
      <c r="I83" s="19">
        <f t="shared" si="124"/>
        <v>0</v>
      </c>
      <c r="J83" s="19">
        <f t="shared" si="124"/>
        <v>0</v>
      </c>
      <c r="K83" s="19">
        <f t="shared" si="124"/>
        <v>0</v>
      </c>
      <c r="L83" s="19">
        <f t="shared" si="124"/>
        <v>0</v>
      </c>
      <c r="M83" s="19">
        <f t="shared" si="124"/>
        <v>0</v>
      </c>
      <c r="N83" s="19">
        <f t="shared" si="124"/>
        <v>0</v>
      </c>
      <c r="O83" s="19">
        <f t="shared" si="124"/>
        <v>0</v>
      </c>
      <c r="P83" s="19">
        <f t="shared" si="124"/>
        <v>0</v>
      </c>
      <c r="Q83" s="19">
        <f t="shared" si="124"/>
        <v>0</v>
      </c>
    </row>
    <row r="84" spans="2:17" x14ac:dyDescent="0.25">
      <c r="B84" s="56" t="s">
        <v>115</v>
      </c>
      <c r="C84" s="51">
        <v>5.21</v>
      </c>
      <c r="D84" s="51">
        <v>9.5299999999999994</v>
      </c>
      <c r="E84" s="51">
        <v>0.64</v>
      </c>
      <c r="F84" s="51">
        <v>-7.36</v>
      </c>
      <c r="G84" s="51">
        <v>1.94</v>
      </c>
      <c r="H84" s="19">
        <f t="shared" ref="H84:Q84" si="125">G84*(1+0.5%)</f>
        <v>1.9496999999999998</v>
      </c>
      <c r="I84" s="19">
        <f t="shared" si="125"/>
        <v>1.9594484999999995</v>
      </c>
      <c r="J84" s="19">
        <f t="shared" si="125"/>
        <v>1.9692457424999992</v>
      </c>
      <c r="K84" s="19">
        <f t="shared" si="125"/>
        <v>1.979091971212499</v>
      </c>
      <c r="L84" s="19">
        <f t="shared" si="125"/>
        <v>1.9889874310685614</v>
      </c>
      <c r="M84" s="19">
        <f t="shared" si="125"/>
        <v>1.998932368223904</v>
      </c>
      <c r="N84" s="19">
        <f t="shared" si="125"/>
        <v>2.0089270300650233</v>
      </c>
      <c r="O84" s="19">
        <f t="shared" si="125"/>
        <v>2.0189716652153482</v>
      </c>
      <c r="P84" s="19">
        <f t="shared" si="125"/>
        <v>2.0290665235414247</v>
      </c>
      <c r="Q84" s="19">
        <f t="shared" si="125"/>
        <v>2.0392118561591315</v>
      </c>
    </row>
    <row r="85" spans="2:17" x14ac:dyDescent="0.25">
      <c r="B85" s="56" t="s">
        <v>136</v>
      </c>
      <c r="C85" s="51">
        <v>0</v>
      </c>
      <c r="D85" s="51">
        <v>0</v>
      </c>
      <c r="E85" s="51">
        <v>-0.06</v>
      </c>
      <c r="F85" s="51">
        <v>0</v>
      </c>
      <c r="G85" s="51">
        <v>0</v>
      </c>
      <c r="H85" s="19">
        <f t="shared" ref="H85:Q85" si="126">G85*(1+0.5%)</f>
        <v>0</v>
      </c>
      <c r="I85" s="19">
        <f t="shared" si="126"/>
        <v>0</v>
      </c>
      <c r="J85" s="19">
        <f t="shared" si="126"/>
        <v>0</v>
      </c>
      <c r="K85" s="19">
        <f t="shared" si="126"/>
        <v>0</v>
      </c>
      <c r="L85" s="19">
        <f t="shared" si="126"/>
        <v>0</v>
      </c>
      <c r="M85" s="19">
        <f t="shared" si="126"/>
        <v>0</v>
      </c>
      <c r="N85" s="19">
        <f t="shared" si="126"/>
        <v>0</v>
      </c>
      <c r="O85" s="19">
        <f t="shared" si="126"/>
        <v>0</v>
      </c>
      <c r="P85" s="19">
        <f t="shared" si="126"/>
        <v>0</v>
      </c>
      <c r="Q85" s="19">
        <f t="shared" si="126"/>
        <v>0</v>
      </c>
    </row>
    <row r="86" spans="2:17" x14ac:dyDescent="0.25">
      <c r="B86" s="56" t="s">
        <v>117</v>
      </c>
      <c r="C86" s="51">
        <v>20.350000000000001</v>
      </c>
      <c r="D86" s="51">
        <v>-0.62</v>
      </c>
      <c r="E86" s="51">
        <v>-4.72</v>
      </c>
      <c r="F86" s="51">
        <v>-4.68</v>
      </c>
      <c r="G86" s="51">
        <v>-3.73</v>
      </c>
      <c r="H86" s="19">
        <f t="shared" ref="H86:Q86" si="127">G86*(1+0.5%)</f>
        <v>-3.7486499999999996</v>
      </c>
      <c r="I86" s="19">
        <f t="shared" si="127"/>
        <v>-3.7673932499999991</v>
      </c>
      <c r="J86" s="19">
        <f t="shared" si="127"/>
        <v>-3.7862302162499986</v>
      </c>
      <c r="K86" s="19">
        <f t="shared" si="127"/>
        <v>-3.8051613673312481</v>
      </c>
      <c r="L86" s="19">
        <f t="shared" si="127"/>
        <v>-3.8241871741679039</v>
      </c>
      <c r="M86" s="19">
        <f t="shared" si="127"/>
        <v>-3.843308110038743</v>
      </c>
      <c r="N86" s="19">
        <f t="shared" si="127"/>
        <v>-3.8625246505889361</v>
      </c>
      <c r="O86" s="19">
        <f t="shared" si="127"/>
        <v>-3.8818372738418803</v>
      </c>
      <c r="P86" s="19">
        <f t="shared" si="127"/>
        <v>-3.9012464602110892</v>
      </c>
      <c r="Q86" s="19">
        <f t="shared" si="127"/>
        <v>-3.9207526925121443</v>
      </c>
    </row>
    <row r="87" spans="2:17" x14ac:dyDescent="0.25">
      <c r="B87" s="55" t="s">
        <v>118</v>
      </c>
      <c r="C87" s="50">
        <f t="shared" ref="C87:H87" si="128">SUM(C81:C86)</f>
        <v>200.88000000000002</v>
      </c>
      <c r="D87" s="50">
        <f t="shared" si="128"/>
        <v>227.43</v>
      </c>
      <c r="E87" s="50">
        <f t="shared" si="128"/>
        <v>240.97</v>
      </c>
      <c r="F87" s="50">
        <f t="shared" si="128"/>
        <v>272.29999999999995</v>
      </c>
      <c r="G87" s="50">
        <f t="shared" si="128"/>
        <v>336.06</v>
      </c>
      <c r="H87" s="33">
        <f t="shared" si="128"/>
        <v>400.1388</v>
      </c>
      <c r="I87" s="33">
        <f t="shared" ref="I87" si="129">SUM(I81:I86)</f>
        <v>464.53799399999997</v>
      </c>
      <c r="J87" s="33">
        <f t="shared" ref="J87" si="130">SUM(J81:J86)</f>
        <v>529.25918396999987</v>
      </c>
      <c r="K87" s="33">
        <f t="shared" ref="K87" si="131">SUM(K81:K86)</f>
        <v>594.30397988984987</v>
      </c>
      <c r="L87" s="33">
        <f t="shared" ref="L87" si="132">SUM(L81:L86)</f>
        <v>659.67399978929916</v>
      </c>
      <c r="M87" s="33">
        <f t="shared" ref="M87" si="133">SUM(M81:M86)</f>
        <v>725.37086978824561</v>
      </c>
      <c r="N87" s="33">
        <f t="shared" ref="N87" si="134">SUM(N81:N86)</f>
        <v>791.39622413718678</v>
      </c>
      <c r="O87" s="33">
        <f t="shared" ref="O87" si="135">SUM(O81:O86)</f>
        <v>857.75170525787269</v>
      </c>
      <c r="P87" s="33">
        <f t="shared" ref="P87" si="136">SUM(P81:P86)</f>
        <v>924.43896378416207</v>
      </c>
      <c r="Q87" s="33">
        <f t="shared" ref="Q87" si="137">SUM(Q81:Q86)</f>
        <v>991.45965860308286</v>
      </c>
    </row>
    <row r="88" spans="2:17" x14ac:dyDescent="0.25">
      <c r="B88" s="56" t="s">
        <v>120</v>
      </c>
      <c r="C88" s="51">
        <v>57.86</v>
      </c>
      <c r="D88" s="51">
        <v>116.48</v>
      </c>
      <c r="E88" s="51">
        <v>154.38</v>
      </c>
      <c r="F88" s="51">
        <v>178.28</v>
      </c>
      <c r="G88" s="51">
        <v>199.06</v>
      </c>
      <c r="H88" s="19">
        <f>SUM(G88:G92)</f>
        <v>232.05</v>
      </c>
      <c r="I88" s="19">
        <f t="shared" ref="I88:Q88" si="138">SUM(H88:H92)</f>
        <v>265.20495</v>
      </c>
      <c r="J88" s="19">
        <f t="shared" si="138"/>
        <v>298.52567474999995</v>
      </c>
      <c r="K88" s="19">
        <f t="shared" si="138"/>
        <v>332.01300312374997</v>
      </c>
      <c r="L88" s="19">
        <f t="shared" si="138"/>
        <v>365.66776813936872</v>
      </c>
      <c r="M88" s="19">
        <f t="shared" si="138"/>
        <v>399.49080698006554</v>
      </c>
      <c r="N88" s="19">
        <f t="shared" si="138"/>
        <v>433.48296101496584</v>
      </c>
      <c r="O88" s="19">
        <f t="shared" si="138"/>
        <v>467.64507582004069</v>
      </c>
      <c r="P88" s="19">
        <f t="shared" si="138"/>
        <v>501.97800119914086</v>
      </c>
      <c r="Q88" s="19">
        <f t="shared" si="138"/>
        <v>536.4825912051366</v>
      </c>
    </row>
    <row r="89" spans="2:17" x14ac:dyDescent="0.25">
      <c r="B89" s="56" t="s">
        <v>121</v>
      </c>
      <c r="C89" s="51">
        <v>33.64</v>
      </c>
      <c r="D89" s="51">
        <v>31.15</v>
      </c>
      <c r="E89" s="51">
        <v>28.57</v>
      </c>
      <c r="F89" s="51">
        <v>29.15</v>
      </c>
      <c r="G89" s="51">
        <v>35.54</v>
      </c>
      <c r="H89" s="19">
        <f t="shared" ref="H89:Q89" si="139">G89*(1+0.5%)</f>
        <v>35.717699999999994</v>
      </c>
      <c r="I89" s="19">
        <f t="shared" si="139"/>
        <v>35.89628849999999</v>
      </c>
      <c r="J89" s="19">
        <f t="shared" si="139"/>
        <v>36.075769942499988</v>
      </c>
      <c r="K89" s="19">
        <f t="shared" si="139"/>
        <v>36.256148792212485</v>
      </c>
      <c r="L89" s="19">
        <f t="shared" si="139"/>
        <v>36.437429536173546</v>
      </c>
      <c r="M89" s="19">
        <f t="shared" si="139"/>
        <v>36.61961668385441</v>
      </c>
      <c r="N89" s="19">
        <f t="shared" si="139"/>
        <v>36.802714767273677</v>
      </c>
      <c r="O89" s="19">
        <f t="shared" si="139"/>
        <v>36.986728341110044</v>
      </c>
      <c r="P89" s="19">
        <f t="shared" si="139"/>
        <v>37.171661982815593</v>
      </c>
      <c r="Q89" s="19">
        <f t="shared" si="139"/>
        <v>37.357520292729667</v>
      </c>
    </row>
    <row r="90" spans="2:17" x14ac:dyDescent="0.25">
      <c r="B90" s="56" t="s">
        <v>115</v>
      </c>
      <c r="C90" s="51">
        <v>4.45</v>
      </c>
      <c r="D90" s="51">
        <v>7.26</v>
      </c>
      <c r="E90" s="51">
        <v>-0.12</v>
      </c>
      <c r="F90" s="51">
        <v>-4.29</v>
      </c>
      <c r="G90" s="51">
        <v>0.36</v>
      </c>
      <c r="H90" s="19">
        <f t="shared" ref="H90:Q90" si="140">G90*(1+0.5%)</f>
        <v>0.36179999999999995</v>
      </c>
      <c r="I90" s="19">
        <f t="shared" si="140"/>
        <v>0.3636089999999999</v>
      </c>
      <c r="J90" s="19">
        <f t="shared" si="140"/>
        <v>0.36542704499999984</v>
      </c>
      <c r="K90" s="19">
        <f t="shared" si="140"/>
        <v>0.36725418022499978</v>
      </c>
      <c r="L90" s="19">
        <f t="shared" si="140"/>
        <v>0.36909045112612476</v>
      </c>
      <c r="M90" s="19">
        <f t="shared" si="140"/>
        <v>0.37093590338175536</v>
      </c>
      <c r="N90" s="19">
        <f t="shared" si="140"/>
        <v>0.37279058289866412</v>
      </c>
      <c r="O90" s="19">
        <f t="shared" si="140"/>
        <v>0.37465453581315739</v>
      </c>
      <c r="P90" s="19">
        <f t="shared" si="140"/>
        <v>0.37652780849222311</v>
      </c>
      <c r="Q90" s="19">
        <f t="shared" si="140"/>
        <v>0.37841044753468417</v>
      </c>
    </row>
    <row r="91" spans="2:17" x14ac:dyDescent="0.25">
      <c r="B91" s="56" t="s">
        <v>117</v>
      </c>
      <c r="C91" s="51">
        <v>20.53</v>
      </c>
      <c r="D91" s="51">
        <v>-0.51</v>
      </c>
      <c r="E91" s="51">
        <v>-4.54</v>
      </c>
      <c r="F91" s="51">
        <v>-4.08</v>
      </c>
      <c r="G91" s="51">
        <v>0</v>
      </c>
      <c r="H91" s="19">
        <f t="shared" ref="H91:Q91" si="141">G91*(1+0.5%)</f>
        <v>0</v>
      </c>
      <c r="I91" s="19">
        <f t="shared" si="141"/>
        <v>0</v>
      </c>
      <c r="J91" s="19">
        <f t="shared" si="141"/>
        <v>0</v>
      </c>
      <c r="K91" s="19">
        <f t="shared" si="141"/>
        <v>0</v>
      </c>
      <c r="L91" s="19">
        <f t="shared" si="141"/>
        <v>0</v>
      </c>
      <c r="M91" s="19">
        <f t="shared" si="141"/>
        <v>0</v>
      </c>
      <c r="N91" s="19">
        <f t="shared" si="141"/>
        <v>0</v>
      </c>
      <c r="O91" s="19">
        <f t="shared" si="141"/>
        <v>0</v>
      </c>
      <c r="P91" s="19">
        <f t="shared" si="141"/>
        <v>0</v>
      </c>
      <c r="Q91" s="19">
        <f t="shared" si="141"/>
        <v>0</v>
      </c>
    </row>
    <row r="92" spans="2:17" x14ac:dyDescent="0.25">
      <c r="B92" s="56" t="s">
        <v>136</v>
      </c>
      <c r="C92" s="51">
        <v>0</v>
      </c>
      <c r="D92" s="51">
        <v>0</v>
      </c>
      <c r="E92" s="51">
        <v>-0.01</v>
      </c>
      <c r="F92" s="51">
        <v>0</v>
      </c>
      <c r="G92" s="51">
        <v>-2.91</v>
      </c>
      <c r="H92" s="19">
        <f t="shared" ref="H92:Q92" si="142">G92*(1+0.5%)</f>
        <v>-2.92455</v>
      </c>
      <c r="I92" s="19">
        <f t="shared" si="142"/>
        <v>-2.9391727499999996</v>
      </c>
      <c r="J92" s="19">
        <f t="shared" si="142"/>
        <v>-2.9538686137499992</v>
      </c>
      <c r="K92" s="19">
        <f t="shared" si="142"/>
        <v>-2.9686379568187489</v>
      </c>
      <c r="L92" s="19">
        <f t="shared" si="142"/>
        <v>-2.9834811466028421</v>
      </c>
      <c r="M92" s="19">
        <f t="shared" si="142"/>
        <v>-2.9983985523358561</v>
      </c>
      <c r="N92" s="19">
        <f t="shared" si="142"/>
        <v>-3.0133905450975349</v>
      </c>
      <c r="O92" s="19">
        <f t="shared" si="142"/>
        <v>-3.0284574978230223</v>
      </c>
      <c r="P92" s="19">
        <f t="shared" si="142"/>
        <v>-3.043599785312137</v>
      </c>
      <c r="Q92" s="19">
        <f t="shared" si="142"/>
        <v>-3.0588177842386974</v>
      </c>
    </row>
    <row r="93" spans="2:17" ht="15.75" thickBot="1" x14ac:dyDescent="0.3">
      <c r="B93" s="55" t="s">
        <v>122</v>
      </c>
      <c r="C93" s="53">
        <f>C87-SUM(C88:C92)</f>
        <v>84.40000000000002</v>
      </c>
      <c r="D93" s="53">
        <f>D87-SUM(D88:D92)</f>
        <v>73.050000000000011</v>
      </c>
      <c r="E93" s="53">
        <f>E87-SUM(E88:E92)</f>
        <v>62.69</v>
      </c>
      <c r="F93" s="53">
        <f>F87-SUM(F88:F92)</f>
        <v>73.239999999999952</v>
      </c>
      <c r="G93" s="53">
        <f>G87-SUM(G88:G92)</f>
        <v>104.00999999999999</v>
      </c>
      <c r="H93" s="54">
        <f t="shared" ref="H93" si="143">H87-SUM(H88:H92)</f>
        <v>134.93385000000001</v>
      </c>
      <c r="I93" s="54">
        <f t="shared" ref="I93" si="144">I87-SUM(I88:I92)</f>
        <v>166.01231925000002</v>
      </c>
      <c r="J93" s="54">
        <f t="shared" ref="J93" si="145">J87-SUM(J88:J92)</f>
        <v>197.2461808462499</v>
      </c>
      <c r="K93" s="54">
        <f t="shared" ref="K93" si="146">K87-SUM(K88:K92)</f>
        <v>228.63621175048115</v>
      </c>
      <c r="L93" s="54">
        <f t="shared" ref="L93" si="147">L87-SUM(L88:L92)</f>
        <v>260.18319280923362</v>
      </c>
      <c r="M93" s="54">
        <f t="shared" ref="M93" si="148">M87-SUM(M88:M92)</f>
        <v>291.88790877327978</v>
      </c>
      <c r="N93" s="54">
        <f t="shared" ref="N93" si="149">N87-SUM(N88:N92)</f>
        <v>323.75114831714609</v>
      </c>
      <c r="O93" s="54">
        <f t="shared" ref="O93" si="150">O87-SUM(O88:O92)</f>
        <v>355.77370405873182</v>
      </c>
      <c r="P93" s="54">
        <f t="shared" ref="P93" si="151">P87-SUM(P88:P92)</f>
        <v>387.95637257902547</v>
      </c>
      <c r="Q93" s="54">
        <f t="shared" ref="Q93" si="152">Q87-SUM(Q88:Q92)</f>
        <v>420.2999544419207</v>
      </c>
    </row>
    <row r="94" spans="2:17" ht="15.75" thickTop="1" x14ac:dyDescent="0.25">
      <c r="B94" s="56"/>
      <c r="C94" s="51"/>
      <c r="D94" s="51"/>
      <c r="E94" s="51"/>
      <c r="F94" s="51"/>
      <c r="G94" s="51"/>
      <c r="H94" s="19"/>
      <c r="I94" s="19"/>
      <c r="J94" s="19"/>
      <c r="K94" s="19"/>
      <c r="L94" s="19"/>
      <c r="M94" s="19"/>
      <c r="N94" s="19"/>
      <c r="O94" s="19"/>
      <c r="P94" s="19"/>
      <c r="Q94" s="19"/>
    </row>
    <row r="95" spans="2:17" ht="15.75" x14ac:dyDescent="0.25">
      <c r="B95" s="246" t="s">
        <v>127</v>
      </c>
      <c r="C95" s="246"/>
      <c r="D95" s="246"/>
      <c r="E95" s="246"/>
      <c r="F95" s="246"/>
      <c r="G95" s="246"/>
      <c r="H95" s="246"/>
      <c r="I95" s="246"/>
      <c r="J95" s="246"/>
      <c r="K95" s="246"/>
      <c r="L95" s="246"/>
      <c r="M95" s="246"/>
      <c r="N95" s="246"/>
      <c r="O95" s="246"/>
      <c r="P95" s="246"/>
      <c r="Q95" s="246"/>
    </row>
    <row r="96" spans="2:17" x14ac:dyDescent="0.25">
      <c r="B96" s="55" t="s">
        <v>119</v>
      </c>
      <c r="C96" s="51"/>
      <c r="D96" s="51"/>
      <c r="E96" s="51"/>
      <c r="F96" s="51"/>
      <c r="G96" s="51"/>
      <c r="H96" s="19"/>
      <c r="I96" s="19"/>
      <c r="J96" s="19"/>
      <c r="K96" s="19"/>
      <c r="L96" s="19"/>
      <c r="M96" s="19"/>
      <c r="N96" s="19"/>
      <c r="O96" s="19"/>
      <c r="P96" s="19"/>
      <c r="Q96" s="19"/>
    </row>
    <row r="97" spans="2:17" x14ac:dyDescent="0.25">
      <c r="B97" s="55" t="s">
        <v>113</v>
      </c>
      <c r="C97" s="50">
        <v>11.64</v>
      </c>
      <c r="D97" s="50">
        <v>13.23</v>
      </c>
      <c r="E97" s="50">
        <v>13.24</v>
      </c>
      <c r="F97" s="50">
        <v>13.24</v>
      </c>
      <c r="G97" s="50">
        <v>13.24</v>
      </c>
      <c r="H97" s="33">
        <f>G103</f>
        <v>13.24</v>
      </c>
      <c r="I97" s="33">
        <f t="shared" ref="I97:J97" si="153">H103</f>
        <v>13.24</v>
      </c>
      <c r="J97" s="33">
        <f t="shared" si="153"/>
        <v>13.24</v>
      </c>
      <c r="K97" s="33">
        <f>J103</f>
        <v>13.24</v>
      </c>
      <c r="L97" s="33">
        <f t="shared" ref="L97:Q97" si="154">K103</f>
        <v>13.24</v>
      </c>
      <c r="M97" s="33">
        <f t="shared" si="154"/>
        <v>13.24</v>
      </c>
      <c r="N97" s="33">
        <f t="shared" si="154"/>
        <v>13.24</v>
      </c>
      <c r="O97" s="33">
        <f t="shared" si="154"/>
        <v>13.24</v>
      </c>
      <c r="P97" s="33">
        <f t="shared" si="154"/>
        <v>13.24</v>
      </c>
      <c r="Q97" s="33">
        <f t="shared" si="154"/>
        <v>13.24</v>
      </c>
    </row>
    <row r="98" spans="2:17" x14ac:dyDescent="0.25">
      <c r="B98" s="56" t="s">
        <v>114</v>
      </c>
      <c r="C98" s="51">
        <v>1.59</v>
      </c>
      <c r="D98" s="51">
        <v>0.01</v>
      </c>
      <c r="E98" s="51">
        <v>0</v>
      </c>
      <c r="F98" s="51">
        <v>0</v>
      </c>
      <c r="G98" s="51">
        <v>0</v>
      </c>
      <c r="H98" s="19">
        <f t="shared" ref="H98:Q98" si="155">G98*(1+0.5%)</f>
        <v>0</v>
      </c>
      <c r="I98" s="19">
        <f t="shared" si="155"/>
        <v>0</v>
      </c>
      <c r="J98" s="19">
        <f t="shared" si="155"/>
        <v>0</v>
      </c>
      <c r="K98" s="19">
        <f t="shared" si="155"/>
        <v>0</v>
      </c>
      <c r="L98" s="19">
        <f t="shared" si="155"/>
        <v>0</v>
      </c>
      <c r="M98" s="19">
        <f t="shared" si="155"/>
        <v>0</v>
      </c>
      <c r="N98" s="19">
        <f t="shared" si="155"/>
        <v>0</v>
      </c>
      <c r="O98" s="19">
        <f t="shared" si="155"/>
        <v>0</v>
      </c>
      <c r="P98" s="19">
        <f t="shared" si="155"/>
        <v>0</v>
      </c>
      <c r="Q98" s="19">
        <f t="shared" si="155"/>
        <v>0</v>
      </c>
    </row>
    <row r="99" spans="2:17" x14ac:dyDescent="0.25">
      <c r="B99" s="56" t="s">
        <v>135</v>
      </c>
      <c r="C99" s="51">
        <v>0</v>
      </c>
      <c r="D99" s="51">
        <v>0</v>
      </c>
      <c r="E99" s="51">
        <v>0</v>
      </c>
      <c r="F99" s="51">
        <v>0</v>
      </c>
      <c r="G99" s="51">
        <v>0</v>
      </c>
      <c r="H99" s="19">
        <f t="shared" ref="H99:Q99" si="156">G99*(1+0.5%)</f>
        <v>0</v>
      </c>
      <c r="I99" s="19">
        <f t="shared" si="156"/>
        <v>0</v>
      </c>
      <c r="J99" s="19">
        <f t="shared" si="156"/>
        <v>0</v>
      </c>
      <c r="K99" s="19">
        <f t="shared" si="156"/>
        <v>0</v>
      </c>
      <c r="L99" s="19">
        <f t="shared" si="156"/>
        <v>0</v>
      </c>
      <c r="M99" s="19">
        <f t="shared" si="156"/>
        <v>0</v>
      </c>
      <c r="N99" s="19">
        <f t="shared" si="156"/>
        <v>0</v>
      </c>
      <c r="O99" s="19">
        <f t="shared" si="156"/>
        <v>0</v>
      </c>
      <c r="P99" s="19">
        <f t="shared" si="156"/>
        <v>0</v>
      </c>
      <c r="Q99" s="19">
        <f t="shared" si="156"/>
        <v>0</v>
      </c>
    </row>
    <row r="100" spans="2:17" x14ac:dyDescent="0.25">
      <c r="B100" s="56" t="s">
        <v>115</v>
      </c>
      <c r="C100" s="51">
        <v>0</v>
      </c>
      <c r="D100" s="51">
        <v>0</v>
      </c>
      <c r="E100" s="51">
        <v>0</v>
      </c>
      <c r="F100" s="51">
        <v>0</v>
      </c>
      <c r="G100" s="51">
        <v>0</v>
      </c>
      <c r="H100" s="19">
        <f t="shared" ref="H100:Q100" si="157">G100*(1+0.5%)</f>
        <v>0</v>
      </c>
      <c r="I100" s="19">
        <f t="shared" si="157"/>
        <v>0</v>
      </c>
      <c r="J100" s="19">
        <f t="shared" si="157"/>
        <v>0</v>
      </c>
      <c r="K100" s="19">
        <f t="shared" si="157"/>
        <v>0</v>
      </c>
      <c r="L100" s="19">
        <f t="shared" si="157"/>
        <v>0</v>
      </c>
      <c r="M100" s="19">
        <f t="shared" si="157"/>
        <v>0</v>
      </c>
      <c r="N100" s="19">
        <f t="shared" si="157"/>
        <v>0</v>
      </c>
      <c r="O100" s="19">
        <f t="shared" si="157"/>
        <v>0</v>
      </c>
      <c r="P100" s="19">
        <f t="shared" si="157"/>
        <v>0</v>
      </c>
      <c r="Q100" s="19">
        <f t="shared" si="157"/>
        <v>0</v>
      </c>
    </row>
    <row r="101" spans="2:17" x14ac:dyDescent="0.25">
      <c r="B101" s="56" t="s">
        <v>136</v>
      </c>
      <c r="C101" s="51"/>
      <c r="D101" s="51"/>
      <c r="E101" s="51">
        <v>0</v>
      </c>
      <c r="F101" s="51">
        <v>0</v>
      </c>
      <c r="G101" s="51">
        <v>0</v>
      </c>
      <c r="H101" s="19">
        <f t="shared" ref="H101:Q101" si="158">G101*(1+0.5%)</f>
        <v>0</v>
      </c>
      <c r="I101" s="19">
        <f t="shared" si="158"/>
        <v>0</v>
      </c>
      <c r="J101" s="19">
        <f t="shared" si="158"/>
        <v>0</v>
      </c>
      <c r="K101" s="19">
        <f t="shared" si="158"/>
        <v>0</v>
      </c>
      <c r="L101" s="19">
        <f t="shared" si="158"/>
        <v>0</v>
      </c>
      <c r="M101" s="19">
        <f t="shared" si="158"/>
        <v>0</v>
      </c>
      <c r="N101" s="19">
        <f t="shared" si="158"/>
        <v>0</v>
      </c>
      <c r="O101" s="19">
        <f t="shared" si="158"/>
        <v>0</v>
      </c>
      <c r="P101" s="19">
        <f t="shared" si="158"/>
        <v>0</v>
      </c>
      <c r="Q101" s="19">
        <f t="shared" si="158"/>
        <v>0</v>
      </c>
    </row>
    <row r="102" spans="2:17" x14ac:dyDescent="0.25">
      <c r="B102" s="56" t="s">
        <v>117</v>
      </c>
      <c r="C102" s="51">
        <v>0</v>
      </c>
      <c r="D102" s="51">
        <v>0</v>
      </c>
      <c r="E102" s="51">
        <v>0</v>
      </c>
      <c r="F102" s="51">
        <v>0</v>
      </c>
      <c r="G102" s="51">
        <v>0</v>
      </c>
      <c r="H102" s="19">
        <f t="shared" ref="H102:Q102" si="159">G102*(1+0.5%)</f>
        <v>0</v>
      </c>
      <c r="I102" s="19">
        <f t="shared" si="159"/>
        <v>0</v>
      </c>
      <c r="J102" s="19">
        <f t="shared" si="159"/>
        <v>0</v>
      </c>
      <c r="K102" s="19">
        <f t="shared" si="159"/>
        <v>0</v>
      </c>
      <c r="L102" s="19">
        <f t="shared" si="159"/>
        <v>0</v>
      </c>
      <c r="M102" s="19">
        <f t="shared" si="159"/>
        <v>0</v>
      </c>
      <c r="N102" s="19">
        <f t="shared" si="159"/>
        <v>0</v>
      </c>
      <c r="O102" s="19">
        <f t="shared" si="159"/>
        <v>0</v>
      </c>
      <c r="P102" s="19">
        <f t="shared" si="159"/>
        <v>0</v>
      </c>
      <c r="Q102" s="19">
        <f t="shared" si="159"/>
        <v>0</v>
      </c>
    </row>
    <row r="103" spans="2:17" x14ac:dyDescent="0.25">
      <c r="B103" s="55" t="s">
        <v>118</v>
      </c>
      <c r="C103" s="50">
        <f t="shared" ref="C103:H103" si="160">SUM(C97:C102)</f>
        <v>13.23</v>
      </c>
      <c r="D103" s="50">
        <f t="shared" si="160"/>
        <v>13.24</v>
      </c>
      <c r="E103" s="50">
        <f t="shared" si="160"/>
        <v>13.24</v>
      </c>
      <c r="F103" s="50">
        <f t="shared" si="160"/>
        <v>13.24</v>
      </c>
      <c r="G103" s="50">
        <f t="shared" si="160"/>
        <v>13.24</v>
      </c>
      <c r="H103" s="33">
        <f t="shared" si="160"/>
        <v>13.24</v>
      </c>
      <c r="I103" s="33">
        <f t="shared" ref="I103" si="161">SUM(I97:I102)</f>
        <v>13.24</v>
      </c>
      <c r="J103" s="33">
        <f t="shared" ref="J103" si="162">SUM(J97:J102)</f>
        <v>13.24</v>
      </c>
      <c r="K103" s="33">
        <f t="shared" ref="K103" si="163">SUM(K97:K102)</f>
        <v>13.24</v>
      </c>
      <c r="L103" s="33">
        <f t="shared" ref="L103" si="164">SUM(L97:L102)</f>
        <v>13.24</v>
      </c>
      <c r="M103" s="33">
        <f t="shared" ref="M103" si="165">SUM(M97:M102)</f>
        <v>13.24</v>
      </c>
      <c r="N103" s="33">
        <f t="shared" ref="N103" si="166">SUM(N97:N102)</f>
        <v>13.24</v>
      </c>
      <c r="O103" s="33">
        <f t="shared" ref="O103" si="167">SUM(O97:O102)</f>
        <v>13.24</v>
      </c>
      <c r="P103" s="33">
        <f t="shared" ref="P103" si="168">SUM(P97:P102)</f>
        <v>13.24</v>
      </c>
      <c r="Q103" s="33">
        <f t="shared" ref="Q103" si="169">SUM(Q97:Q102)</f>
        <v>13.24</v>
      </c>
    </row>
    <row r="104" spans="2:17" x14ac:dyDescent="0.25">
      <c r="B104" s="56" t="s">
        <v>120</v>
      </c>
      <c r="C104" s="51">
        <v>0.93</v>
      </c>
      <c r="D104" s="51">
        <v>1.21</v>
      </c>
      <c r="E104" s="51">
        <v>1.5</v>
      </c>
      <c r="F104" s="51">
        <v>1.79</v>
      </c>
      <c r="G104" s="51">
        <v>2.08</v>
      </c>
      <c r="H104" s="19">
        <f>SUM(G104:G108)</f>
        <v>2.37</v>
      </c>
      <c r="I104" s="19">
        <f t="shared" ref="I104:Q104" si="170">SUM(H104:H108)</f>
        <v>2.6614499999999999</v>
      </c>
      <c r="J104" s="19">
        <f t="shared" si="170"/>
        <v>2.9543572499999997</v>
      </c>
      <c r="K104" s="19">
        <f t="shared" si="170"/>
        <v>3.2487290362499994</v>
      </c>
      <c r="L104" s="19">
        <f t="shared" si="170"/>
        <v>3.5445726814312493</v>
      </c>
      <c r="M104" s="19">
        <f t="shared" si="170"/>
        <v>3.8418955448384056</v>
      </c>
      <c r="N104" s="19">
        <f t="shared" si="170"/>
        <v>4.1407050225625976</v>
      </c>
      <c r="O104" s="19">
        <f t="shared" si="170"/>
        <v>4.44100854767541</v>
      </c>
      <c r="P104" s="19">
        <f t="shared" si="170"/>
        <v>4.7428135904137871</v>
      </c>
      <c r="Q104" s="19">
        <f t="shared" si="170"/>
        <v>5.0461276583658554</v>
      </c>
    </row>
    <row r="105" spans="2:17" x14ac:dyDescent="0.25">
      <c r="B105" s="56" t="s">
        <v>121</v>
      </c>
      <c r="C105" s="51">
        <v>0.28000000000000003</v>
      </c>
      <c r="D105" s="51">
        <v>0.28999999999999998</v>
      </c>
      <c r="E105" s="51">
        <v>0.28999999999999998</v>
      </c>
      <c r="F105" s="51">
        <v>0.28999999999999998</v>
      </c>
      <c r="G105" s="51">
        <v>0.28999999999999998</v>
      </c>
      <c r="H105" s="19">
        <f t="shared" ref="H105:Q105" si="171">G105*(1+0.5%)</f>
        <v>0.29144999999999993</v>
      </c>
      <c r="I105" s="19">
        <f t="shared" si="171"/>
        <v>0.2929072499999999</v>
      </c>
      <c r="J105" s="19">
        <f t="shared" si="171"/>
        <v>0.29437178624999988</v>
      </c>
      <c r="K105" s="19">
        <f t="shared" si="171"/>
        <v>0.29584364518124984</v>
      </c>
      <c r="L105" s="19">
        <f t="shared" si="171"/>
        <v>0.29732286340715608</v>
      </c>
      <c r="M105" s="19">
        <f t="shared" si="171"/>
        <v>0.29880947772419181</v>
      </c>
      <c r="N105" s="19">
        <f t="shared" si="171"/>
        <v>0.30030352511281272</v>
      </c>
      <c r="O105" s="19">
        <f t="shared" si="171"/>
        <v>0.30180504273837677</v>
      </c>
      <c r="P105" s="19">
        <f t="shared" si="171"/>
        <v>0.30331406795206861</v>
      </c>
      <c r="Q105" s="19">
        <f t="shared" si="171"/>
        <v>0.30483063829182894</v>
      </c>
    </row>
    <row r="106" spans="2:17" x14ac:dyDescent="0.25">
      <c r="B106" s="56" t="s">
        <v>115</v>
      </c>
      <c r="C106" s="51">
        <v>0</v>
      </c>
      <c r="D106" s="51">
        <v>0</v>
      </c>
      <c r="E106" s="51">
        <v>0</v>
      </c>
      <c r="F106" s="51">
        <v>0</v>
      </c>
      <c r="G106" s="51">
        <v>0</v>
      </c>
      <c r="H106" s="19">
        <f t="shared" ref="H106:Q106" si="172">G106*(1+0.5%)</f>
        <v>0</v>
      </c>
      <c r="I106" s="19">
        <f t="shared" si="172"/>
        <v>0</v>
      </c>
      <c r="J106" s="19">
        <f t="shared" si="172"/>
        <v>0</v>
      </c>
      <c r="K106" s="19">
        <f t="shared" si="172"/>
        <v>0</v>
      </c>
      <c r="L106" s="19">
        <f t="shared" si="172"/>
        <v>0</v>
      </c>
      <c r="M106" s="19">
        <f t="shared" si="172"/>
        <v>0</v>
      </c>
      <c r="N106" s="19">
        <f t="shared" si="172"/>
        <v>0</v>
      </c>
      <c r="O106" s="19">
        <f t="shared" si="172"/>
        <v>0</v>
      </c>
      <c r="P106" s="19">
        <f t="shared" si="172"/>
        <v>0</v>
      </c>
      <c r="Q106" s="19">
        <f t="shared" si="172"/>
        <v>0</v>
      </c>
    </row>
    <row r="107" spans="2:17" x14ac:dyDescent="0.25">
      <c r="B107" s="56" t="s">
        <v>117</v>
      </c>
      <c r="C107" s="51">
        <v>0</v>
      </c>
      <c r="D107" s="51">
        <v>0</v>
      </c>
      <c r="E107" s="51">
        <v>0</v>
      </c>
      <c r="F107" s="51">
        <v>0</v>
      </c>
      <c r="G107" s="51">
        <v>0</v>
      </c>
      <c r="H107" s="19">
        <f t="shared" ref="H107:Q107" si="173">G107*(1+0.5%)</f>
        <v>0</v>
      </c>
      <c r="I107" s="19">
        <f t="shared" si="173"/>
        <v>0</v>
      </c>
      <c r="J107" s="19">
        <f t="shared" si="173"/>
        <v>0</v>
      </c>
      <c r="K107" s="19">
        <f t="shared" si="173"/>
        <v>0</v>
      </c>
      <c r="L107" s="19">
        <f t="shared" si="173"/>
        <v>0</v>
      </c>
      <c r="M107" s="19">
        <f t="shared" si="173"/>
        <v>0</v>
      </c>
      <c r="N107" s="19">
        <f t="shared" si="173"/>
        <v>0</v>
      </c>
      <c r="O107" s="19">
        <f t="shared" si="173"/>
        <v>0</v>
      </c>
      <c r="P107" s="19">
        <f t="shared" si="173"/>
        <v>0</v>
      </c>
      <c r="Q107" s="19">
        <f t="shared" si="173"/>
        <v>0</v>
      </c>
    </row>
    <row r="108" spans="2:17" x14ac:dyDescent="0.25">
      <c r="B108" s="56" t="s">
        <v>136</v>
      </c>
      <c r="C108" s="51">
        <v>0</v>
      </c>
      <c r="D108" s="51">
        <v>0</v>
      </c>
      <c r="E108" s="51">
        <v>0</v>
      </c>
      <c r="F108" s="51">
        <v>0</v>
      </c>
      <c r="G108" s="51">
        <v>0</v>
      </c>
      <c r="H108" s="19">
        <f t="shared" ref="H108:Q108" si="174">G108*(1+0.5%)</f>
        <v>0</v>
      </c>
      <c r="I108" s="19">
        <f t="shared" si="174"/>
        <v>0</v>
      </c>
      <c r="J108" s="19">
        <f t="shared" si="174"/>
        <v>0</v>
      </c>
      <c r="K108" s="19">
        <f t="shared" si="174"/>
        <v>0</v>
      </c>
      <c r="L108" s="19">
        <f t="shared" si="174"/>
        <v>0</v>
      </c>
      <c r="M108" s="19">
        <f t="shared" si="174"/>
        <v>0</v>
      </c>
      <c r="N108" s="19">
        <f t="shared" si="174"/>
        <v>0</v>
      </c>
      <c r="O108" s="19">
        <f t="shared" si="174"/>
        <v>0</v>
      </c>
      <c r="P108" s="19">
        <f t="shared" si="174"/>
        <v>0</v>
      </c>
      <c r="Q108" s="19">
        <f t="shared" si="174"/>
        <v>0</v>
      </c>
    </row>
    <row r="109" spans="2:17" ht="15.75" thickBot="1" x14ac:dyDescent="0.3">
      <c r="B109" s="55" t="s">
        <v>122</v>
      </c>
      <c r="C109" s="53">
        <f>C103-SUM(C104:C108)</f>
        <v>12.02</v>
      </c>
      <c r="D109" s="53">
        <f>D103-SUM(D104:D108)</f>
        <v>11.74</v>
      </c>
      <c r="E109" s="53">
        <f>E103-SUM(E104:E108)</f>
        <v>11.45</v>
      </c>
      <c r="F109" s="53">
        <f>F103-SUM(F104:F108)</f>
        <v>11.16</v>
      </c>
      <c r="G109" s="53">
        <f>G103-SUM(G104:G108)</f>
        <v>10.870000000000001</v>
      </c>
      <c r="H109" s="54">
        <f t="shared" ref="H109" si="175">H103-SUM(H104:H108)</f>
        <v>10.57855</v>
      </c>
      <c r="I109" s="54">
        <f t="shared" ref="I109" si="176">I103-SUM(I104:I108)</f>
        <v>10.285642750000001</v>
      </c>
      <c r="J109" s="54">
        <f t="shared" ref="J109" si="177">J103-SUM(J104:J108)</f>
        <v>9.9912709637500008</v>
      </c>
      <c r="K109" s="54">
        <f t="shared" ref="K109" si="178">K103-SUM(K104:K108)</f>
        <v>9.6954273185687505</v>
      </c>
      <c r="L109" s="54">
        <f t="shared" ref="L109" si="179">L103-SUM(L104:L108)</f>
        <v>9.3981044551615938</v>
      </c>
      <c r="M109" s="54">
        <f t="shared" ref="M109" si="180">M103-SUM(M104:M108)</f>
        <v>9.0992949774374026</v>
      </c>
      <c r="N109" s="54">
        <f t="shared" ref="N109" si="181">N103-SUM(N104:N108)</f>
        <v>8.7989914523245893</v>
      </c>
      <c r="O109" s="54">
        <f t="shared" ref="O109" si="182">O103-SUM(O104:O108)</f>
        <v>8.4971864095862131</v>
      </c>
      <c r="P109" s="54">
        <f t="shared" ref="P109" si="183">P103-SUM(P104:P108)</f>
        <v>8.1938723416341439</v>
      </c>
      <c r="Q109" s="54">
        <f t="shared" ref="Q109" si="184">Q103-SUM(Q104:Q108)</f>
        <v>7.8890417033423157</v>
      </c>
    </row>
    <row r="110" spans="2:17" ht="15.75" thickTop="1" x14ac:dyDescent="0.25">
      <c r="B110" s="56"/>
      <c r="C110" s="51"/>
      <c r="D110" s="51"/>
      <c r="E110" s="51"/>
      <c r="F110" s="51"/>
      <c r="G110" s="51"/>
      <c r="H110" s="19"/>
      <c r="I110" s="19"/>
      <c r="J110" s="19"/>
      <c r="K110" s="19"/>
      <c r="L110" s="19"/>
      <c r="M110" s="19"/>
      <c r="N110" s="19"/>
      <c r="O110" s="19"/>
      <c r="P110" s="19"/>
      <c r="Q110" s="19"/>
    </row>
    <row r="111" spans="2:17" x14ac:dyDescent="0.25">
      <c r="B111" s="55" t="s">
        <v>123</v>
      </c>
      <c r="C111" s="51"/>
      <c r="D111" s="51"/>
      <c r="E111" s="51"/>
      <c r="F111" s="51"/>
      <c r="G111" s="51"/>
      <c r="H111" s="19"/>
      <c r="I111" s="19"/>
      <c r="J111" s="19"/>
      <c r="K111" s="19"/>
      <c r="L111" s="19"/>
      <c r="M111" s="19"/>
      <c r="N111" s="19"/>
      <c r="O111" s="19"/>
      <c r="P111" s="19"/>
      <c r="Q111" s="19"/>
    </row>
    <row r="112" spans="2:17" x14ac:dyDescent="0.25">
      <c r="B112" s="55" t="s">
        <v>113</v>
      </c>
      <c r="C112" s="50">
        <v>0.04</v>
      </c>
      <c r="D112" s="50">
        <v>0.04</v>
      </c>
      <c r="E112" s="50">
        <v>0.04</v>
      </c>
      <c r="F112" s="50">
        <v>0.04</v>
      </c>
      <c r="G112" s="50">
        <v>0.04</v>
      </c>
      <c r="H112" s="33">
        <f>G118</f>
        <v>0.04</v>
      </c>
      <c r="I112" s="33">
        <f t="shared" ref="I112:J112" si="185">H118</f>
        <v>0.04</v>
      </c>
      <c r="J112" s="33">
        <f t="shared" si="185"/>
        <v>0.04</v>
      </c>
      <c r="K112" s="33">
        <f>J118</f>
        <v>0.04</v>
      </c>
      <c r="L112" s="33">
        <f t="shared" ref="L112:Q112" si="186">K118</f>
        <v>0.04</v>
      </c>
      <c r="M112" s="33">
        <f t="shared" si="186"/>
        <v>0.04</v>
      </c>
      <c r="N112" s="33">
        <f t="shared" si="186"/>
        <v>0.04</v>
      </c>
      <c r="O112" s="33">
        <f t="shared" si="186"/>
        <v>0.04</v>
      </c>
      <c r="P112" s="33">
        <f t="shared" si="186"/>
        <v>0.04</v>
      </c>
      <c r="Q112" s="33">
        <f t="shared" si="186"/>
        <v>0.04</v>
      </c>
    </row>
    <row r="113" spans="2:17" x14ac:dyDescent="0.25">
      <c r="B113" s="56" t="s">
        <v>114</v>
      </c>
      <c r="C113" s="51">
        <v>0</v>
      </c>
      <c r="D113" s="51">
        <v>0</v>
      </c>
      <c r="E113" s="51">
        <v>0</v>
      </c>
      <c r="F113" s="51">
        <v>0</v>
      </c>
      <c r="G113" s="51">
        <v>0</v>
      </c>
      <c r="H113" s="19">
        <f t="shared" ref="H113:Q113" si="187">G113*(1+0.5%)</f>
        <v>0</v>
      </c>
      <c r="I113" s="19">
        <f t="shared" si="187"/>
        <v>0</v>
      </c>
      <c r="J113" s="19">
        <f t="shared" si="187"/>
        <v>0</v>
      </c>
      <c r="K113" s="19">
        <f t="shared" si="187"/>
        <v>0</v>
      </c>
      <c r="L113" s="19">
        <f t="shared" si="187"/>
        <v>0</v>
      </c>
      <c r="M113" s="19">
        <f t="shared" si="187"/>
        <v>0</v>
      </c>
      <c r="N113" s="19">
        <f t="shared" si="187"/>
        <v>0</v>
      </c>
      <c r="O113" s="19">
        <f t="shared" si="187"/>
        <v>0</v>
      </c>
      <c r="P113" s="19">
        <f t="shared" si="187"/>
        <v>0</v>
      </c>
      <c r="Q113" s="19">
        <f t="shared" si="187"/>
        <v>0</v>
      </c>
    </row>
    <row r="114" spans="2:17" x14ac:dyDescent="0.25">
      <c r="B114" s="56" t="s">
        <v>135</v>
      </c>
      <c r="C114" s="51">
        <v>0</v>
      </c>
      <c r="D114" s="51">
        <v>0</v>
      </c>
      <c r="E114" s="51">
        <v>0</v>
      </c>
      <c r="F114" s="51">
        <v>0</v>
      </c>
      <c r="G114" s="51">
        <v>0</v>
      </c>
      <c r="H114" s="19">
        <f t="shared" ref="H114:Q114" si="188">G114*(1+0.5%)</f>
        <v>0</v>
      </c>
      <c r="I114" s="19">
        <f t="shared" si="188"/>
        <v>0</v>
      </c>
      <c r="J114" s="19">
        <f t="shared" si="188"/>
        <v>0</v>
      </c>
      <c r="K114" s="19">
        <f t="shared" si="188"/>
        <v>0</v>
      </c>
      <c r="L114" s="19">
        <f t="shared" si="188"/>
        <v>0</v>
      </c>
      <c r="M114" s="19">
        <f t="shared" si="188"/>
        <v>0</v>
      </c>
      <c r="N114" s="19">
        <f t="shared" si="188"/>
        <v>0</v>
      </c>
      <c r="O114" s="19">
        <f t="shared" si="188"/>
        <v>0</v>
      </c>
      <c r="P114" s="19">
        <f t="shared" si="188"/>
        <v>0</v>
      </c>
      <c r="Q114" s="19">
        <f t="shared" si="188"/>
        <v>0</v>
      </c>
    </row>
    <row r="115" spans="2:17" x14ac:dyDescent="0.25">
      <c r="B115" s="56" t="s">
        <v>115</v>
      </c>
      <c r="C115" s="51">
        <v>0</v>
      </c>
      <c r="D115" s="51">
        <v>0</v>
      </c>
      <c r="E115" s="51">
        <v>0</v>
      </c>
      <c r="F115" s="51">
        <v>0</v>
      </c>
      <c r="G115" s="51">
        <v>0</v>
      </c>
      <c r="H115" s="19">
        <f t="shared" ref="H115:Q115" si="189">G115*(1+0.5%)</f>
        <v>0</v>
      </c>
      <c r="I115" s="19">
        <f t="shared" si="189"/>
        <v>0</v>
      </c>
      <c r="J115" s="19">
        <f t="shared" si="189"/>
        <v>0</v>
      </c>
      <c r="K115" s="19">
        <f t="shared" si="189"/>
        <v>0</v>
      </c>
      <c r="L115" s="19">
        <f t="shared" si="189"/>
        <v>0</v>
      </c>
      <c r="M115" s="19">
        <f t="shared" si="189"/>
        <v>0</v>
      </c>
      <c r="N115" s="19">
        <f t="shared" si="189"/>
        <v>0</v>
      </c>
      <c r="O115" s="19">
        <f t="shared" si="189"/>
        <v>0</v>
      </c>
      <c r="P115" s="19">
        <f t="shared" si="189"/>
        <v>0</v>
      </c>
      <c r="Q115" s="19">
        <f t="shared" si="189"/>
        <v>0</v>
      </c>
    </row>
    <row r="116" spans="2:17" x14ac:dyDescent="0.25">
      <c r="B116" s="56" t="s">
        <v>136</v>
      </c>
      <c r="C116" s="51">
        <v>0</v>
      </c>
      <c r="D116" s="51">
        <v>0</v>
      </c>
      <c r="E116" s="51">
        <v>0</v>
      </c>
      <c r="F116" s="51">
        <v>0</v>
      </c>
      <c r="G116" s="51">
        <v>0</v>
      </c>
      <c r="H116" s="19">
        <f t="shared" ref="H116:Q116" si="190">G116*(1+0.5%)</f>
        <v>0</v>
      </c>
      <c r="I116" s="19">
        <f t="shared" si="190"/>
        <v>0</v>
      </c>
      <c r="J116" s="19">
        <f t="shared" si="190"/>
        <v>0</v>
      </c>
      <c r="K116" s="19">
        <f t="shared" si="190"/>
        <v>0</v>
      </c>
      <c r="L116" s="19">
        <f t="shared" si="190"/>
        <v>0</v>
      </c>
      <c r="M116" s="19">
        <f t="shared" si="190"/>
        <v>0</v>
      </c>
      <c r="N116" s="19">
        <f t="shared" si="190"/>
        <v>0</v>
      </c>
      <c r="O116" s="19">
        <f t="shared" si="190"/>
        <v>0</v>
      </c>
      <c r="P116" s="19">
        <f t="shared" si="190"/>
        <v>0</v>
      </c>
      <c r="Q116" s="19">
        <f t="shared" si="190"/>
        <v>0</v>
      </c>
    </row>
    <row r="117" spans="2:17" x14ac:dyDescent="0.25">
      <c r="B117" s="56" t="s">
        <v>117</v>
      </c>
      <c r="C117" s="51">
        <v>0</v>
      </c>
      <c r="D117" s="51">
        <v>0</v>
      </c>
      <c r="E117" s="51">
        <v>0</v>
      </c>
      <c r="F117" s="51">
        <v>0</v>
      </c>
      <c r="G117" s="51">
        <v>0</v>
      </c>
      <c r="H117" s="19">
        <f t="shared" ref="H117:Q117" si="191">G117*(1+0.5%)</f>
        <v>0</v>
      </c>
      <c r="I117" s="19">
        <f t="shared" si="191"/>
        <v>0</v>
      </c>
      <c r="J117" s="19">
        <f t="shared" si="191"/>
        <v>0</v>
      </c>
      <c r="K117" s="19">
        <f t="shared" si="191"/>
        <v>0</v>
      </c>
      <c r="L117" s="19">
        <f t="shared" si="191"/>
        <v>0</v>
      </c>
      <c r="M117" s="19">
        <f t="shared" si="191"/>
        <v>0</v>
      </c>
      <c r="N117" s="19">
        <f t="shared" si="191"/>
        <v>0</v>
      </c>
      <c r="O117" s="19">
        <f t="shared" si="191"/>
        <v>0</v>
      </c>
      <c r="P117" s="19">
        <f t="shared" si="191"/>
        <v>0</v>
      </c>
      <c r="Q117" s="19">
        <f t="shared" si="191"/>
        <v>0</v>
      </c>
    </row>
    <row r="118" spans="2:17" x14ac:dyDescent="0.25">
      <c r="B118" s="55" t="s">
        <v>118</v>
      </c>
      <c r="C118" s="50">
        <f t="shared" ref="C118:H118" si="192">SUM(C112:C117)</f>
        <v>0.04</v>
      </c>
      <c r="D118" s="50">
        <f t="shared" si="192"/>
        <v>0.04</v>
      </c>
      <c r="E118" s="50">
        <f t="shared" si="192"/>
        <v>0.04</v>
      </c>
      <c r="F118" s="50">
        <f t="shared" si="192"/>
        <v>0.04</v>
      </c>
      <c r="G118" s="50">
        <f t="shared" si="192"/>
        <v>0.04</v>
      </c>
      <c r="H118" s="33">
        <f t="shared" si="192"/>
        <v>0.04</v>
      </c>
      <c r="I118" s="33">
        <f t="shared" ref="I118" si="193">SUM(I112:I117)</f>
        <v>0.04</v>
      </c>
      <c r="J118" s="33">
        <f t="shared" ref="J118" si="194">SUM(J112:J117)</f>
        <v>0.04</v>
      </c>
      <c r="K118" s="33">
        <f t="shared" ref="K118" si="195">SUM(K112:K117)</f>
        <v>0.04</v>
      </c>
      <c r="L118" s="33">
        <f t="shared" ref="L118" si="196">SUM(L112:L117)</f>
        <v>0.04</v>
      </c>
      <c r="M118" s="33">
        <f t="shared" ref="M118" si="197">SUM(M112:M117)</f>
        <v>0.04</v>
      </c>
      <c r="N118" s="33">
        <f t="shared" ref="N118" si="198">SUM(N112:N117)</f>
        <v>0.04</v>
      </c>
      <c r="O118" s="33">
        <f t="shared" ref="O118" si="199">SUM(O112:O117)</f>
        <v>0.04</v>
      </c>
      <c r="P118" s="33">
        <f t="shared" ref="P118" si="200">SUM(P112:P117)</f>
        <v>0.04</v>
      </c>
      <c r="Q118" s="33">
        <f t="shared" ref="Q118" si="201">SUM(Q112:Q117)</f>
        <v>0.04</v>
      </c>
    </row>
    <row r="119" spans="2:17" x14ac:dyDescent="0.25">
      <c r="B119" s="56" t="s">
        <v>120</v>
      </c>
      <c r="C119" s="51">
        <v>0.01</v>
      </c>
      <c r="D119" s="51">
        <v>0.02</v>
      </c>
      <c r="E119" s="51">
        <v>0.02</v>
      </c>
      <c r="F119" s="51">
        <v>0.02</v>
      </c>
      <c r="G119" s="51">
        <v>0.02</v>
      </c>
      <c r="H119" s="19">
        <f>SUM(G119:G123)</f>
        <v>0.02</v>
      </c>
      <c r="I119" s="19">
        <f t="shared" ref="I119:Q119" si="202">SUM(H119:H123)</f>
        <v>0.02</v>
      </c>
      <c r="J119" s="19">
        <f t="shared" si="202"/>
        <v>0.02</v>
      </c>
      <c r="K119" s="19">
        <f t="shared" si="202"/>
        <v>0.02</v>
      </c>
      <c r="L119" s="19">
        <f t="shared" si="202"/>
        <v>0.02</v>
      </c>
      <c r="M119" s="19">
        <f t="shared" si="202"/>
        <v>0.02</v>
      </c>
      <c r="N119" s="19">
        <f t="shared" si="202"/>
        <v>0.02</v>
      </c>
      <c r="O119" s="19">
        <f t="shared" si="202"/>
        <v>0.02</v>
      </c>
      <c r="P119" s="19">
        <f t="shared" si="202"/>
        <v>0.02</v>
      </c>
      <c r="Q119" s="19">
        <f t="shared" si="202"/>
        <v>0.02</v>
      </c>
    </row>
    <row r="120" spans="2:17" x14ac:dyDescent="0.25">
      <c r="B120" s="56" t="s">
        <v>121</v>
      </c>
      <c r="C120" s="51">
        <v>0.01</v>
      </c>
      <c r="D120" s="51">
        <v>0</v>
      </c>
      <c r="E120" s="51">
        <v>0</v>
      </c>
      <c r="F120" s="51">
        <v>0</v>
      </c>
      <c r="G120" s="51">
        <v>0</v>
      </c>
      <c r="H120" s="19">
        <f t="shared" ref="H120:Q120" si="203">G120*(1+0.5%)</f>
        <v>0</v>
      </c>
      <c r="I120" s="19">
        <f t="shared" si="203"/>
        <v>0</v>
      </c>
      <c r="J120" s="19">
        <f t="shared" si="203"/>
        <v>0</v>
      </c>
      <c r="K120" s="19">
        <f t="shared" si="203"/>
        <v>0</v>
      </c>
      <c r="L120" s="19">
        <f t="shared" si="203"/>
        <v>0</v>
      </c>
      <c r="M120" s="19">
        <f t="shared" si="203"/>
        <v>0</v>
      </c>
      <c r="N120" s="19">
        <f t="shared" si="203"/>
        <v>0</v>
      </c>
      <c r="O120" s="19">
        <f t="shared" si="203"/>
        <v>0</v>
      </c>
      <c r="P120" s="19">
        <f t="shared" si="203"/>
        <v>0</v>
      </c>
      <c r="Q120" s="19">
        <f t="shared" si="203"/>
        <v>0</v>
      </c>
    </row>
    <row r="121" spans="2:17" x14ac:dyDescent="0.25">
      <c r="B121" s="56" t="s">
        <v>115</v>
      </c>
      <c r="C121" s="51">
        <v>0</v>
      </c>
      <c r="D121" s="51">
        <v>0</v>
      </c>
      <c r="E121" s="51">
        <v>0</v>
      </c>
      <c r="F121" s="51">
        <v>0</v>
      </c>
      <c r="G121" s="51">
        <v>0</v>
      </c>
      <c r="H121" s="19">
        <f t="shared" ref="H121:Q121" si="204">G121*(1+0.5%)</f>
        <v>0</v>
      </c>
      <c r="I121" s="19">
        <f t="shared" si="204"/>
        <v>0</v>
      </c>
      <c r="J121" s="19">
        <f t="shared" si="204"/>
        <v>0</v>
      </c>
      <c r="K121" s="19">
        <f t="shared" si="204"/>
        <v>0</v>
      </c>
      <c r="L121" s="19">
        <f t="shared" si="204"/>
        <v>0</v>
      </c>
      <c r="M121" s="19">
        <f t="shared" si="204"/>
        <v>0</v>
      </c>
      <c r="N121" s="19">
        <f t="shared" si="204"/>
        <v>0</v>
      </c>
      <c r="O121" s="19">
        <f t="shared" si="204"/>
        <v>0</v>
      </c>
      <c r="P121" s="19">
        <f t="shared" si="204"/>
        <v>0</v>
      </c>
      <c r="Q121" s="19">
        <f t="shared" si="204"/>
        <v>0</v>
      </c>
    </row>
    <row r="122" spans="2:17" x14ac:dyDescent="0.25">
      <c r="B122" s="56" t="s">
        <v>117</v>
      </c>
      <c r="C122" s="51">
        <v>0</v>
      </c>
      <c r="D122" s="51">
        <v>0</v>
      </c>
      <c r="E122" s="51">
        <v>0</v>
      </c>
      <c r="F122" s="51">
        <v>0</v>
      </c>
      <c r="G122" s="51">
        <v>0</v>
      </c>
      <c r="H122" s="19">
        <f t="shared" ref="H122:Q122" si="205">G122*(1+0.5%)</f>
        <v>0</v>
      </c>
      <c r="I122" s="19">
        <f t="shared" si="205"/>
        <v>0</v>
      </c>
      <c r="J122" s="19">
        <f t="shared" si="205"/>
        <v>0</v>
      </c>
      <c r="K122" s="19">
        <f t="shared" si="205"/>
        <v>0</v>
      </c>
      <c r="L122" s="19">
        <f t="shared" si="205"/>
        <v>0</v>
      </c>
      <c r="M122" s="19">
        <f t="shared" si="205"/>
        <v>0</v>
      </c>
      <c r="N122" s="19">
        <f t="shared" si="205"/>
        <v>0</v>
      </c>
      <c r="O122" s="19">
        <f t="shared" si="205"/>
        <v>0</v>
      </c>
      <c r="P122" s="19">
        <f t="shared" si="205"/>
        <v>0</v>
      </c>
      <c r="Q122" s="19">
        <f t="shared" si="205"/>
        <v>0</v>
      </c>
    </row>
    <row r="123" spans="2:17" x14ac:dyDescent="0.25">
      <c r="B123" s="56" t="s">
        <v>136</v>
      </c>
      <c r="C123" s="51">
        <v>0</v>
      </c>
      <c r="D123" s="51">
        <v>0</v>
      </c>
      <c r="E123" s="51">
        <v>0</v>
      </c>
      <c r="F123" s="51">
        <v>0</v>
      </c>
      <c r="G123" s="51">
        <v>0</v>
      </c>
      <c r="H123" s="19">
        <f t="shared" ref="H123:Q123" si="206">G123*(1+0.5%)</f>
        <v>0</v>
      </c>
      <c r="I123" s="19">
        <f t="shared" si="206"/>
        <v>0</v>
      </c>
      <c r="J123" s="19">
        <f t="shared" si="206"/>
        <v>0</v>
      </c>
      <c r="K123" s="19">
        <f t="shared" si="206"/>
        <v>0</v>
      </c>
      <c r="L123" s="19">
        <f t="shared" si="206"/>
        <v>0</v>
      </c>
      <c r="M123" s="19">
        <f t="shared" si="206"/>
        <v>0</v>
      </c>
      <c r="N123" s="19">
        <f t="shared" si="206"/>
        <v>0</v>
      </c>
      <c r="O123" s="19">
        <f t="shared" si="206"/>
        <v>0</v>
      </c>
      <c r="P123" s="19">
        <f t="shared" si="206"/>
        <v>0</v>
      </c>
      <c r="Q123" s="19">
        <f t="shared" si="206"/>
        <v>0</v>
      </c>
    </row>
    <row r="124" spans="2:17" ht="15.75" thickBot="1" x14ac:dyDescent="0.3">
      <c r="B124" s="55" t="s">
        <v>122</v>
      </c>
      <c r="C124" s="53">
        <f>C118-SUM(C119:C123)</f>
        <v>0.02</v>
      </c>
      <c r="D124" s="53">
        <f>D118-SUM(D119:D123)</f>
        <v>0.02</v>
      </c>
      <c r="E124" s="53">
        <f>E118-SUM(E119:E123)</f>
        <v>0.02</v>
      </c>
      <c r="F124" s="53">
        <f>F118-SUM(F119:F123)</f>
        <v>0.02</v>
      </c>
      <c r="G124" s="53">
        <f>G118-SUM(G119:G123)</f>
        <v>0.02</v>
      </c>
      <c r="H124" s="54">
        <f t="shared" ref="H124" si="207">H118-SUM(H119:H123)</f>
        <v>0.02</v>
      </c>
      <c r="I124" s="54">
        <f t="shared" ref="I124" si="208">I118-SUM(I119:I123)</f>
        <v>0.02</v>
      </c>
      <c r="J124" s="54">
        <f t="shared" ref="J124" si="209">J118-SUM(J119:J123)</f>
        <v>0.02</v>
      </c>
      <c r="K124" s="54">
        <f t="shared" ref="K124" si="210">K118-SUM(K119:K123)</f>
        <v>0.02</v>
      </c>
      <c r="L124" s="54">
        <f t="shared" ref="L124" si="211">L118-SUM(L119:L123)</f>
        <v>0.02</v>
      </c>
      <c r="M124" s="54">
        <f t="shared" ref="M124" si="212">M118-SUM(M119:M123)</f>
        <v>0.02</v>
      </c>
      <c r="N124" s="54">
        <f t="shared" ref="N124" si="213">N118-SUM(N119:N123)</f>
        <v>0.02</v>
      </c>
      <c r="O124" s="54">
        <f t="shared" ref="O124" si="214">O118-SUM(O119:O123)</f>
        <v>0.02</v>
      </c>
      <c r="P124" s="54">
        <f t="shared" ref="P124" si="215">P118-SUM(P119:P123)</f>
        <v>0.02</v>
      </c>
      <c r="Q124" s="54">
        <f t="shared" ref="Q124" si="216">Q118-SUM(Q119:Q123)</f>
        <v>0.02</v>
      </c>
    </row>
    <row r="125" spans="2:17" ht="15.75" thickTop="1" x14ac:dyDescent="0.25">
      <c r="B125" s="56"/>
      <c r="C125" s="51"/>
      <c r="D125" s="51"/>
      <c r="E125" s="51"/>
      <c r="F125" s="51"/>
      <c r="G125" s="51"/>
      <c r="H125" s="19"/>
      <c r="I125" s="19"/>
      <c r="J125" s="19"/>
      <c r="K125" s="19"/>
      <c r="L125" s="19"/>
      <c r="M125" s="19"/>
      <c r="N125" s="19"/>
      <c r="O125" s="19"/>
      <c r="P125" s="19"/>
      <c r="Q125" s="19"/>
    </row>
    <row r="126" spans="2:17" x14ac:dyDescent="0.25">
      <c r="B126" s="55" t="s">
        <v>124</v>
      </c>
      <c r="C126" s="51"/>
      <c r="D126" s="51"/>
      <c r="E126" s="51"/>
      <c r="F126" s="51"/>
      <c r="G126" s="51"/>
      <c r="H126" s="19"/>
      <c r="I126" s="19"/>
      <c r="J126" s="19"/>
      <c r="K126" s="19"/>
      <c r="L126" s="19"/>
      <c r="M126" s="19"/>
      <c r="N126" s="19"/>
      <c r="O126" s="19"/>
      <c r="P126" s="19"/>
      <c r="Q126" s="19"/>
    </row>
    <row r="127" spans="2:17" x14ac:dyDescent="0.25">
      <c r="B127" s="55" t="s">
        <v>113</v>
      </c>
      <c r="C127" s="50">
        <v>0.22</v>
      </c>
      <c r="D127" s="50">
        <v>0.25</v>
      </c>
      <c r="E127" s="50">
        <v>0.25</v>
      </c>
      <c r="F127" s="50">
        <v>0.25</v>
      </c>
      <c r="G127" s="50">
        <v>0.25</v>
      </c>
      <c r="H127" s="33">
        <f>G133</f>
        <v>0.25</v>
      </c>
      <c r="I127" s="33">
        <f t="shared" ref="I127:J127" si="217">H133</f>
        <v>0.25</v>
      </c>
      <c r="J127" s="33">
        <f t="shared" si="217"/>
        <v>0.25</v>
      </c>
      <c r="K127" s="33">
        <f>J133</f>
        <v>0.25</v>
      </c>
      <c r="L127" s="33">
        <f t="shared" ref="L127:Q127" si="218">K133</f>
        <v>0.25</v>
      </c>
      <c r="M127" s="33">
        <f t="shared" si="218"/>
        <v>0.25</v>
      </c>
      <c r="N127" s="33">
        <f t="shared" si="218"/>
        <v>0.25</v>
      </c>
      <c r="O127" s="33">
        <f t="shared" si="218"/>
        <v>0.25</v>
      </c>
      <c r="P127" s="33">
        <f t="shared" si="218"/>
        <v>0.25</v>
      </c>
      <c r="Q127" s="33">
        <f t="shared" si="218"/>
        <v>0.25</v>
      </c>
    </row>
    <row r="128" spans="2:17" x14ac:dyDescent="0.25">
      <c r="B128" s="56" t="s">
        <v>114</v>
      </c>
      <c r="C128" s="51">
        <v>0.03</v>
      </c>
      <c r="D128" s="51">
        <v>0</v>
      </c>
      <c r="E128" s="51">
        <v>0</v>
      </c>
      <c r="F128" s="51">
        <v>0</v>
      </c>
      <c r="G128" s="51">
        <v>0</v>
      </c>
      <c r="H128" s="19">
        <f t="shared" ref="H128:Q128" si="219">G128*(1+0.5%)</f>
        <v>0</v>
      </c>
      <c r="I128" s="19">
        <f t="shared" si="219"/>
        <v>0</v>
      </c>
      <c r="J128" s="19">
        <f t="shared" si="219"/>
        <v>0</v>
      </c>
      <c r="K128" s="19">
        <f t="shared" si="219"/>
        <v>0</v>
      </c>
      <c r="L128" s="19">
        <f t="shared" si="219"/>
        <v>0</v>
      </c>
      <c r="M128" s="19">
        <f t="shared" si="219"/>
        <v>0</v>
      </c>
      <c r="N128" s="19">
        <f t="shared" si="219"/>
        <v>0</v>
      </c>
      <c r="O128" s="19">
        <f t="shared" si="219"/>
        <v>0</v>
      </c>
      <c r="P128" s="19">
        <f t="shared" si="219"/>
        <v>0</v>
      </c>
      <c r="Q128" s="19">
        <f t="shared" si="219"/>
        <v>0</v>
      </c>
    </row>
    <row r="129" spans="2:17" x14ac:dyDescent="0.25">
      <c r="B129" s="56" t="s">
        <v>135</v>
      </c>
      <c r="C129" s="51">
        <v>0</v>
      </c>
      <c r="D129" s="51">
        <v>0</v>
      </c>
      <c r="E129" s="51">
        <v>0</v>
      </c>
      <c r="F129" s="51">
        <v>0</v>
      </c>
      <c r="G129" s="51">
        <v>0</v>
      </c>
      <c r="H129" s="19">
        <f t="shared" ref="H129:Q129" si="220">G129*(1+0.5%)</f>
        <v>0</v>
      </c>
      <c r="I129" s="19">
        <f t="shared" si="220"/>
        <v>0</v>
      </c>
      <c r="J129" s="19">
        <f t="shared" si="220"/>
        <v>0</v>
      </c>
      <c r="K129" s="19">
        <f t="shared" si="220"/>
        <v>0</v>
      </c>
      <c r="L129" s="19">
        <f t="shared" si="220"/>
        <v>0</v>
      </c>
      <c r="M129" s="19">
        <f t="shared" si="220"/>
        <v>0</v>
      </c>
      <c r="N129" s="19">
        <f t="shared" si="220"/>
        <v>0</v>
      </c>
      <c r="O129" s="19">
        <f t="shared" si="220"/>
        <v>0</v>
      </c>
      <c r="P129" s="19">
        <f t="shared" si="220"/>
        <v>0</v>
      </c>
      <c r="Q129" s="19">
        <f t="shared" si="220"/>
        <v>0</v>
      </c>
    </row>
    <row r="130" spans="2:17" x14ac:dyDescent="0.25">
      <c r="B130" s="56" t="s">
        <v>115</v>
      </c>
      <c r="C130" s="51">
        <v>0</v>
      </c>
      <c r="D130" s="51">
        <v>0</v>
      </c>
      <c r="E130" s="51">
        <v>0</v>
      </c>
      <c r="F130" s="51">
        <v>0</v>
      </c>
      <c r="G130" s="51">
        <v>0</v>
      </c>
      <c r="H130" s="19">
        <f t="shared" ref="H130:Q130" si="221">G130*(1+0.5%)</f>
        <v>0</v>
      </c>
      <c r="I130" s="19">
        <f t="shared" si="221"/>
        <v>0</v>
      </c>
      <c r="J130" s="19">
        <f t="shared" si="221"/>
        <v>0</v>
      </c>
      <c r="K130" s="19">
        <f t="shared" si="221"/>
        <v>0</v>
      </c>
      <c r="L130" s="19">
        <f t="shared" si="221"/>
        <v>0</v>
      </c>
      <c r="M130" s="19">
        <f t="shared" si="221"/>
        <v>0</v>
      </c>
      <c r="N130" s="19">
        <f t="shared" si="221"/>
        <v>0</v>
      </c>
      <c r="O130" s="19">
        <f t="shared" si="221"/>
        <v>0</v>
      </c>
      <c r="P130" s="19">
        <f t="shared" si="221"/>
        <v>0</v>
      </c>
      <c r="Q130" s="19">
        <f t="shared" si="221"/>
        <v>0</v>
      </c>
    </row>
    <row r="131" spans="2:17" x14ac:dyDescent="0.25">
      <c r="B131" s="56" t="s">
        <v>136</v>
      </c>
      <c r="C131" s="51">
        <v>0</v>
      </c>
      <c r="D131" s="51">
        <v>0</v>
      </c>
      <c r="E131" s="51">
        <v>0</v>
      </c>
      <c r="F131" s="51">
        <v>0</v>
      </c>
      <c r="G131" s="51">
        <v>0</v>
      </c>
      <c r="H131" s="19">
        <f t="shared" ref="H131:Q131" si="222">G131*(1+0.5%)</f>
        <v>0</v>
      </c>
      <c r="I131" s="19">
        <f t="shared" si="222"/>
        <v>0</v>
      </c>
      <c r="J131" s="19">
        <f t="shared" si="222"/>
        <v>0</v>
      </c>
      <c r="K131" s="19">
        <f t="shared" si="222"/>
        <v>0</v>
      </c>
      <c r="L131" s="19">
        <f t="shared" si="222"/>
        <v>0</v>
      </c>
      <c r="M131" s="19">
        <f t="shared" si="222"/>
        <v>0</v>
      </c>
      <c r="N131" s="19">
        <f t="shared" si="222"/>
        <v>0</v>
      </c>
      <c r="O131" s="19">
        <f t="shared" si="222"/>
        <v>0</v>
      </c>
      <c r="P131" s="19">
        <f t="shared" si="222"/>
        <v>0</v>
      </c>
      <c r="Q131" s="19">
        <f t="shared" si="222"/>
        <v>0</v>
      </c>
    </row>
    <row r="132" spans="2:17" x14ac:dyDescent="0.25">
      <c r="B132" s="56" t="s">
        <v>117</v>
      </c>
      <c r="C132" s="51">
        <v>0</v>
      </c>
      <c r="D132" s="51">
        <v>0</v>
      </c>
      <c r="E132" s="51">
        <v>0</v>
      </c>
      <c r="F132" s="51">
        <v>0</v>
      </c>
      <c r="G132" s="51">
        <v>0</v>
      </c>
      <c r="H132" s="19">
        <f t="shared" ref="H132:Q132" si="223">G132*(1+0.5%)</f>
        <v>0</v>
      </c>
      <c r="I132" s="19">
        <f t="shared" si="223"/>
        <v>0</v>
      </c>
      <c r="J132" s="19">
        <f t="shared" si="223"/>
        <v>0</v>
      </c>
      <c r="K132" s="19">
        <f t="shared" si="223"/>
        <v>0</v>
      </c>
      <c r="L132" s="19">
        <f t="shared" si="223"/>
        <v>0</v>
      </c>
      <c r="M132" s="19">
        <f t="shared" si="223"/>
        <v>0</v>
      </c>
      <c r="N132" s="19">
        <f t="shared" si="223"/>
        <v>0</v>
      </c>
      <c r="O132" s="19">
        <f t="shared" si="223"/>
        <v>0</v>
      </c>
      <c r="P132" s="19">
        <f t="shared" si="223"/>
        <v>0</v>
      </c>
      <c r="Q132" s="19">
        <f t="shared" si="223"/>
        <v>0</v>
      </c>
    </row>
    <row r="133" spans="2:17" x14ac:dyDescent="0.25">
      <c r="B133" s="55" t="s">
        <v>118</v>
      </c>
      <c r="C133" s="50">
        <f t="shared" ref="C133:H133" si="224">SUM(C127:C132)</f>
        <v>0.25</v>
      </c>
      <c r="D133" s="50">
        <f t="shared" si="224"/>
        <v>0.25</v>
      </c>
      <c r="E133" s="50">
        <f t="shared" si="224"/>
        <v>0.25</v>
      </c>
      <c r="F133" s="50">
        <f t="shared" si="224"/>
        <v>0.25</v>
      </c>
      <c r="G133" s="50">
        <f t="shared" si="224"/>
        <v>0.25</v>
      </c>
      <c r="H133" s="33">
        <f t="shared" si="224"/>
        <v>0.25</v>
      </c>
      <c r="I133" s="33">
        <f t="shared" ref="I133" si="225">SUM(I127:I132)</f>
        <v>0.25</v>
      </c>
      <c r="J133" s="33">
        <f t="shared" ref="J133" si="226">SUM(J127:J132)</f>
        <v>0.25</v>
      </c>
      <c r="K133" s="33">
        <f t="shared" ref="K133" si="227">SUM(K127:K132)</f>
        <v>0.25</v>
      </c>
      <c r="L133" s="33">
        <f t="shared" ref="L133" si="228">SUM(L127:L132)</f>
        <v>0.25</v>
      </c>
      <c r="M133" s="33">
        <f t="shared" ref="M133" si="229">SUM(M127:M132)</f>
        <v>0.25</v>
      </c>
      <c r="N133" s="33">
        <f t="shared" ref="N133" si="230">SUM(N127:N132)</f>
        <v>0.25</v>
      </c>
      <c r="O133" s="33">
        <f t="shared" ref="O133" si="231">SUM(O127:O132)</f>
        <v>0.25</v>
      </c>
      <c r="P133" s="33">
        <f t="shared" ref="P133" si="232">SUM(P127:P132)</f>
        <v>0.25</v>
      </c>
      <c r="Q133" s="33">
        <f t="shared" ref="Q133" si="233">SUM(Q127:Q132)</f>
        <v>0.25</v>
      </c>
    </row>
    <row r="134" spans="2:17" x14ac:dyDescent="0.25">
      <c r="B134" s="56" t="s">
        <v>120</v>
      </c>
      <c r="C134" s="51">
        <v>0.2</v>
      </c>
      <c r="D134" s="51">
        <v>0.25</v>
      </c>
      <c r="E134" s="51">
        <v>0.25</v>
      </c>
      <c r="F134" s="51">
        <v>0.25</v>
      </c>
      <c r="G134" s="51">
        <v>0.25</v>
      </c>
      <c r="H134" s="19">
        <f>SUM(G134:G138)</f>
        <v>0.25</v>
      </c>
      <c r="I134" s="19">
        <f t="shared" ref="I134:Q134" si="234">SUM(H134:H138)</f>
        <v>0.25</v>
      </c>
      <c r="J134" s="19">
        <f t="shared" si="234"/>
        <v>0.25</v>
      </c>
      <c r="K134" s="19">
        <f t="shared" si="234"/>
        <v>0.25</v>
      </c>
      <c r="L134" s="19">
        <f t="shared" si="234"/>
        <v>0.25</v>
      </c>
      <c r="M134" s="19">
        <f t="shared" si="234"/>
        <v>0.25</v>
      </c>
      <c r="N134" s="19">
        <f t="shared" si="234"/>
        <v>0.25</v>
      </c>
      <c r="O134" s="19">
        <f t="shared" si="234"/>
        <v>0.25</v>
      </c>
      <c r="P134" s="19">
        <f t="shared" si="234"/>
        <v>0.25</v>
      </c>
      <c r="Q134" s="19">
        <f t="shared" si="234"/>
        <v>0.25</v>
      </c>
    </row>
    <row r="135" spans="2:17" x14ac:dyDescent="0.25">
      <c r="B135" s="56" t="s">
        <v>121</v>
      </c>
      <c r="C135" s="51">
        <v>0.05</v>
      </c>
      <c r="D135" s="51">
        <v>0</v>
      </c>
      <c r="E135" s="51">
        <v>0</v>
      </c>
      <c r="F135" s="51">
        <v>0</v>
      </c>
      <c r="G135" s="51">
        <v>0</v>
      </c>
      <c r="H135" s="19">
        <f t="shared" ref="H135:Q135" si="235">G135*(1+0.5%)</f>
        <v>0</v>
      </c>
      <c r="I135" s="19">
        <f t="shared" si="235"/>
        <v>0</v>
      </c>
      <c r="J135" s="19">
        <f t="shared" si="235"/>
        <v>0</v>
      </c>
      <c r="K135" s="19">
        <f t="shared" si="235"/>
        <v>0</v>
      </c>
      <c r="L135" s="19">
        <f t="shared" si="235"/>
        <v>0</v>
      </c>
      <c r="M135" s="19">
        <f t="shared" si="235"/>
        <v>0</v>
      </c>
      <c r="N135" s="19">
        <f t="shared" si="235"/>
        <v>0</v>
      </c>
      <c r="O135" s="19">
        <f t="shared" si="235"/>
        <v>0</v>
      </c>
      <c r="P135" s="19">
        <f t="shared" si="235"/>
        <v>0</v>
      </c>
      <c r="Q135" s="19">
        <f t="shared" si="235"/>
        <v>0</v>
      </c>
    </row>
    <row r="136" spans="2:17" x14ac:dyDescent="0.25">
      <c r="B136" s="56" t="s">
        <v>115</v>
      </c>
      <c r="C136" s="51">
        <v>0</v>
      </c>
      <c r="D136" s="51">
        <v>0</v>
      </c>
      <c r="E136" s="51">
        <v>0</v>
      </c>
      <c r="F136" s="51">
        <v>0</v>
      </c>
      <c r="G136" s="51">
        <v>0</v>
      </c>
      <c r="H136" s="19">
        <f t="shared" ref="H136:Q136" si="236">G136*(1+0.5%)</f>
        <v>0</v>
      </c>
      <c r="I136" s="19">
        <f t="shared" si="236"/>
        <v>0</v>
      </c>
      <c r="J136" s="19">
        <f t="shared" si="236"/>
        <v>0</v>
      </c>
      <c r="K136" s="19">
        <f t="shared" si="236"/>
        <v>0</v>
      </c>
      <c r="L136" s="19">
        <f t="shared" si="236"/>
        <v>0</v>
      </c>
      <c r="M136" s="19">
        <f t="shared" si="236"/>
        <v>0</v>
      </c>
      <c r="N136" s="19">
        <f t="shared" si="236"/>
        <v>0</v>
      </c>
      <c r="O136" s="19">
        <f t="shared" si="236"/>
        <v>0</v>
      </c>
      <c r="P136" s="19">
        <f t="shared" si="236"/>
        <v>0</v>
      </c>
      <c r="Q136" s="19">
        <f t="shared" si="236"/>
        <v>0</v>
      </c>
    </row>
    <row r="137" spans="2:17" x14ac:dyDescent="0.25">
      <c r="B137" s="56" t="s">
        <v>117</v>
      </c>
      <c r="C137" s="51">
        <v>0</v>
      </c>
      <c r="D137" s="51">
        <v>0</v>
      </c>
      <c r="E137" s="51">
        <v>0</v>
      </c>
      <c r="F137" s="51">
        <v>0</v>
      </c>
      <c r="G137" s="51">
        <v>0</v>
      </c>
      <c r="H137" s="19">
        <f t="shared" ref="H137:Q137" si="237">G137*(1+0.5%)</f>
        <v>0</v>
      </c>
      <c r="I137" s="19">
        <f t="shared" si="237"/>
        <v>0</v>
      </c>
      <c r="J137" s="19">
        <f t="shared" si="237"/>
        <v>0</v>
      </c>
      <c r="K137" s="19">
        <f t="shared" si="237"/>
        <v>0</v>
      </c>
      <c r="L137" s="19">
        <f t="shared" si="237"/>
        <v>0</v>
      </c>
      <c r="M137" s="19">
        <f t="shared" si="237"/>
        <v>0</v>
      </c>
      <c r="N137" s="19">
        <f t="shared" si="237"/>
        <v>0</v>
      </c>
      <c r="O137" s="19">
        <f t="shared" si="237"/>
        <v>0</v>
      </c>
      <c r="P137" s="19">
        <f t="shared" si="237"/>
        <v>0</v>
      </c>
      <c r="Q137" s="19">
        <f t="shared" si="237"/>
        <v>0</v>
      </c>
    </row>
    <row r="138" spans="2:17" x14ac:dyDescent="0.25">
      <c r="B138" s="56" t="s">
        <v>136</v>
      </c>
      <c r="C138" s="51">
        <v>0</v>
      </c>
      <c r="D138" s="51">
        <v>0</v>
      </c>
      <c r="E138" s="51">
        <v>0</v>
      </c>
      <c r="F138" s="51">
        <v>0</v>
      </c>
      <c r="G138" s="51">
        <v>0</v>
      </c>
      <c r="H138" s="19">
        <f t="shared" ref="H138:Q138" si="238">G138*(1+0.5%)</f>
        <v>0</v>
      </c>
      <c r="I138" s="19">
        <f t="shared" si="238"/>
        <v>0</v>
      </c>
      <c r="J138" s="19">
        <f t="shared" si="238"/>
        <v>0</v>
      </c>
      <c r="K138" s="19">
        <f t="shared" si="238"/>
        <v>0</v>
      </c>
      <c r="L138" s="19">
        <f t="shared" si="238"/>
        <v>0</v>
      </c>
      <c r="M138" s="19">
        <f t="shared" si="238"/>
        <v>0</v>
      </c>
      <c r="N138" s="19">
        <f t="shared" si="238"/>
        <v>0</v>
      </c>
      <c r="O138" s="19">
        <f t="shared" si="238"/>
        <v>0</v>
      </c>
      <c r="P138" s="19">
        <f t="shared" si="238"/>
        <v>0</v>
      </c>
      <c r="Q138" s="19">
        <f t="shared" si="238"/>
        <v>0</v>
      </c>
    </row>
    <row r="139" spans="2:17" ht="15.75" thickBot="1" x14ac:dyDescent="0.3">
      <c r="B139" s="55" t="s">
        <v>122</v>
      </c>
      <c r="C139" s="53">
        <f>C133-SUM(C134:C138)</f>
        <v>0</v>
      </c>
      <c r="D139" s="53">
        <f>D133-SUM(D134:D138)</f>
        <v>0</v>
      </c>
      <c r="E139" s="53">
        <f>E133-SUM(E134:E138)</f>
        <v>0</v>
      </c>
      <c r="F139" s="53">
        <f>F133-SUM(F134:F138)</f>
        <v>0</v>
      </c>
      <c r="G139" s="53">
        <f>G133-SUM(G134:G138)</f>
        <v>0</v>
      </c>
      <c r="H139" s="54">
        <f t="shared" ref="H139" si="239">H133-SUM(H134:H138)</f>
        <v>0</v>
      </c>
      <c r="I139" s="54">
        <f t="shared" ref="I139" si="240">I133-SUM(I134:I138)</f>
        <v>0</v>
      </c>
      <c r="J139" s="54">
        <f t="shared" ref="J139" si="241">J133-SUM(J134:J138)</f>
        <v>0</v>
      </c>
      <c r="K139" s="54">
        <f t="shared" ref="K139" si="242">K133-SUM(K134:K138)</f>
        <v>0</v>
      </c>
      <c r="L139" s="54">
        <f t="shared" ref="L139" si="243">L133-SUM(L134:L138)</f>
        <v>0</v>
      </c>
      <c r="M139" s="54">
        <f t="shared" ref="M139" si="244">M133-SUM(M134:M138)</f>
        <v>0</v>
      </c>
      <c r="N139" s="54">
        <f t="shared" ref="N139" si="245">N133-SUM(N134:N138)</f>
        <v>0</v>
      </c>
      <c r="O139" s="54">
        <f t="shared" ref="O139" si="246">O133-SUM(O134:O138)</f>
        <v>0</v>
      </c>
      <c r="P139" s="54">
        <f t="shared" ref="P139" si="247">P133-SUM(P134:P138)</f>
        <v>0</v>
      </c>
      <c r="Q139" s="54">
        <f t="shared" ref="Q139" si="248">Q133-SUM(Q134:Q138)</f>
        <v>0</v>
      </c>
    </row>
    <row r="140" spans="2:17" ht="15.75" thickTop="1" x14ac:dyDescent="0.25">
      <c r="B140" s="56"/>
      <c r="C140" s="51"/>
      <c r="D140" s="51"/>
      <c r="E140" s="51"/>
      <c r="F140" s="51"/>
      <c r="G140" s="51"/>
      <c r="H140" s="19"/>
      <c r="I140" s="19"/>
      <c r="J140" s="19"/>
      <c r="K140" s="19"/>
      <c r="L140" s="19"/>
      <c r="M140" s="19"/>
      <c r="N140" s="19"/>
      <c r="O140" s="19"/>
      <c r="P140" s="19"/>
      <c r="Q140" s="19"/>
    </row>
    <row r="141" spans="2:17" x14ac:dyDescent="0.25">
      <c r="B141" s="55" t="s">
        <v>128</v>
      </c>
      <c r="C141" s="51"/>
      <c r="D141" s="51"/>
      <c r="E141" s="51"/>
      <c r="F141" s="51"/>
      <c r="G141" s="51"/>
      <c r="H141" s="19"/>
      <c r="I141" s="19"/>
      <c r="J141" s="19"/>
      <c r="K141" s="19"/>
      <c r="L141" s="19"/>
      <c r="M141" s="19"/>
      <c r="N141" s="19"/>
      <c r="O141" s="19"/>
      <c r="P141" s="19"/>
      <c r="Q141" s="19"/>
    </row>
    <row r="142" spans="2:17" x14ac:dyDescent="0.25">
      <c r="B142" s="55" t="s">
        <v>113</v>
      </c>
      <c r="C142" s="50">
        <v>77.989999999999995</v>
      </c>
      <c r="D142" s="50">
        <v>77.989999999999995</v>
      </c>
      <c r="E142" s="50">
        <v>77.989999999999995</v>
      </c>
      <c r="F142" s="50">
        <v>77.989999999999995</v>
      </c>
      <c r="G142" s="50">
        <v>77.989999999999995</v>
      </c>
      <c r="H142" s="33">
        <f>G148</f>
        <v>77.989999999999995</v>
      </c>
      <c r="I142" s="33">
        <f t="shared" ref="I142:J142" si="249">H148</f>
        <v>77.989999999999995</v>
      </c>
      <c r="J142" s="33">
        <f t="shared" si="249"/>
        <v>77.989999999999995</v>
      </c>
      <c r="K142" s="33">
        <f>J148</f>
        <v>77.989999999999995</v>
      </c>
      <c r="L142" s="33">
        <f t="shared" ref="L142:Q142" si="250">K148</f>
        <v>77.989999999999995</v>
      </c>
      <c r="M142" s="33">
        <f t="shared" si="250"/>
        <v>77.989999999999995</v>
      </c>
      <c r="N142" s="33">
        <f t="shared" si="250"/>
        <v>77.989999999999995</v>
      </c>
      <c r="O142" s="33">
        <f t="shared" si="250"/>
        <v>77.989999999999995</v>
      </c>
      <c r="P142" s="33">
        <f t="shared" si="250"/>
        <v>77.989999999999995</v>
      </c>
      <c r="Q142" s="33">
        <f t="shared" si="250"/>
        <v>77.989999999999995</v>
      </c>
    </row>
    <row r="143" spans="2:17" x14ac:dyDescent="0.25">
      <c r="B143" s="56" t="s">
        <v>114</v>
      </c>
      <c r="C143" s="51">
        <v>0</v>
      </c>
      <c r="D143" s="51">
        <v>0</v>
      </c>
      <c r="E143" s="51">
        <v>0</v>
      </c>
      <c r="F143" s="51">
        <v>0</v>
      </c>
      <c r="G143" s="51">
        <v>0</v>
      </c>
      <c r="H143" s="19">
        <f t="shared" ref="H143:Q143" si="251">G143*(1+0.5%)</f>
        <v>0</v>
      </c>
      <c r="I143" s="19">
        <f t="shared" si="251"/>
        <v>0</v>
      </c>
      <c r="J143" s="19">
        <f t="shared" si="251"/>
        <v>0</v>
      </c>
      <c r="K143" s="19">
        <f t="shared" si="251"/>
        <v>0</v>
      </c>
      <c r="L143" s="19">
        <f t="shared" si="251"/>
        <v>0</v>
      </c>
      <c r="M143" s="19">
        <f t="shared" si="251"/>
        <v>0</v>
      </c>
      <c r="N143" s="19">
        <f t="shared" si="251"/>
        <v>0</v>
      </c>
      <c r="O143" s="19">
        <f t="shared" si="251"/>
        <v>0</v>
      </c>
      <c r="P143" s="19">
        <f t="shared" si="251"/>
        <v>0</v>
      </c>
      <c r="Q143" s="19">
        <f t="shared" si="251"/>
        <v>0</v>
      </c>
    </row>
    <row r="144" spans="2:17" x14ac:dyDescent="0.25">
      <c r="B144" s="56" t="s">
        <v>135</v>
      </c>
      <c r="C144" s="51">
        <v>0</v>
      </c>
      <c r="D144" s="51">
        <v>0</v>
      </c>
      <c r="E144" s="51">
        <v>0</v>
      </c>
      <c r="F144" s="51">
        <v>0</v>
      </c>
      <c r="G144" s="51">
        <v>0</v>
      </c>
      <c r="H144" s="19">
        <f t="shared" ref="H144:Q144" si="252">G144*(1+0.5%)</f>
        <v>0</v>
      </c>
      <c r="I144" s="19">
        <f t="shared" si="252"/>
        <v>0</v>
      </c>
      <c r="J144" s="19">
        <f t="shared" si="252"/>
        <v>0</v>
      </c>
      <c r="K144" s="19">
        <f t="shared" si="252"/>
        <v>0</v>
      </c>
      <c r="L144" s="19">
        <f t="shared" si="252"/>
        <v>0</v>
      </c>
      <c r="M144" s="19">
        <f t="shared" si="252"/>
        <v>0</v>
      </c>
      <c r="N144" s="19">
        <f t="shared" si="252"/>
        <v>0</v>
      </c>
      <c r="O144" s="19">
        <f t="shared" si="252"/>
        <v>0</v>
      </c>
      <c r="P144" s="19">
        <f t="shared" si="252"/>
        <v>0</v>
      </c>
      <c r="Q144" s="19">
        <f t="shared" si="252"/>
        <v>0</v>
      </c>
    </row>
    <row r="145" spans="2:17" x14ac:dyDescent="0.25">
      <c r="B145" s="56" t="s">
        <v>115</v>
      </c>
      <c r="C145" s="51">
        <v>0</v>
      </c>
      <c r="D145" s="51">
        <v>0</v>
      </c>
      <c r="E145" s="51">
        <v>0</v>
      </c>
      <c r="F145" s="51">
        <v>0</v>
      </c>
      <c r="G145" s="51">
        <v>0</v>
      </c>
      <c r="H145" s="19">
        <f t="shared" ref="H145:Q145" si="253">G145*(1+0.5%)</f>
        <v>0</v>
      </c>
      <c r="I145" s="19">
        <f t="shared" si="253"/>
        <v>0</v>
      </c>
      <c r="J145" s="19">
        <f t="shared" si="253"/>
        <v>0</v>
      </c>
      <c r="K145" s="19">
        <f t="shared" si="253"/>
        <v>0</v>
      </c>
      <c r="L145" s="19">
        <f t="shared" si="253"/>
        <v>0</v>
      </c>
      <c r="M145" s="19">
        <f t="shared" si="253"/>
        <v>0</v>
      </c>
      <c r="N145" s="19">
        <f t="shared" si="253"/>
        <v>0</v>
      </c>
      <c r="O145" s="19">
        <f t="shared" si="253"/>
        <v>0</v>
      </c>
      <c r="P145" s="19">
        <f t="shared" si="253"/>
        <v>0</v>
      </c>
      <c r="Q145" s="19">
        <f t="shared" si="253"/>
        <v>0</v>
      </c>
    </row>
    <row r="146" spans="2:17" x14ac:dyDescent="0.25">
      <c r="B146" s="56" t="s">
        <v>136</v>
      </c>
      <c r="C146" s="51">
        <v>0</v>
      </c>
      <c r="D146" s="51">
        <v>0</v>
      </c>
      <c r="E146" s="51">
        <v>0</v>
      </c>
      <c r="F146" s="51">
        <v>0</v>
      </c>
      <c r="G146" s="51">
        <v>0</v>
      </c>
      <c r="H146" s="19">
        <f t="shared" ref="H146:Q146" si="254">G146*(1+0.5%)</f>
        <v>0</v>
      </c>
      <c r="I146" s="19">
        <f t="shared" si="254"/>
        <v>0</v>
      </c>
      <c r="J146" s="19">
        <f t="shared" si="254"/>
        <v>0</v>
      </c>
      <c r="K146" s="19">
        <f t="shared" si="254"/>
        <v>0</v>
      </c>
      <c r="L146" s="19">
        <f t="shared" si="254"/>
        <v>0</v>
      </c>
      <c r="M146" s="19">
        <f t="shared" si="254"/>
        <v>0</v>
      </c>
      <c r="N146" s="19">
        <f t="shared" si="254"/>
        <v>0</v>
      </c>
      <c r="O146" s="19">
        <f t="shared" si="254"/>
        <v>0</v>
      </c>
      <c r="P146" s="19">
        <f t="shared" si="254"/>
        <v>0</v>
      </c>
      <c r="Q146" s="19">
        <f t="shared" si="254"/>
        <v>0</v>
      </c>
    </row>
    <row r="147" spans="2:17" x14ac:dyDescent="0.25">
      <c r="B147" s="56" t="s">
        <v>117</v>
      </c>
      <c r="C147" s="51">
        <v>0</v>
      </c>
      <c r="D147" s="51">
        <v>0</v>
      </c>
      <c r="E147" s="51">
        <v>0</v>
      </c>
      <c r="F147" s="51">
        <v>0</v>
      </c>
      <c r="G147" s="51">
        <v>0</v>
      </c>
      <c r="H147" s="19">
        <f t="shared" ref="H147:Q147" si="255">G147*(1+0.5%)</f>
        <v>0</v>
      </c>
      <c r="I147" s="19">
        <f t="shared" si="255"/>
        <v>0</v>
      </c>
      <c r="J147" s="19">
        <f t="shared" si="255"/>
        <v>0</v>
      </c>
      <c r="K147" s="19">
        <f t="shared" si="255"/>
        <v>0</v>
      </c>
      <c r="L147" s="19">
        <f t="shared" si="255"/>
        <v>0</v>
      </c>
      <c r="M147" s="19">
        <f t="shared" si="255"/>
        <v>0</v>
      </c>
      <c r="N147" s="19">
        <f t="shared" si="255"/>
        <v>0</v>
      </c>
      <c r="O147" s="19">
        <f t="shared" si="255"/>
        <v>0</v>
      </c>
      <c r="P147" s="19">
        <f t="shared" si="255"/>
        <v>0</v>
      </c>
      <c r="Q147" s="19">
        <f t="shared" si="255"/>
        <v>0</v>
      </c>
    </row>
    <row r="148" spans="2:17" x14ac:dyDescent="0.25">
      <c r="B148" s="55" t="s">
        <v>118</v>
      </c>
      <c r="C148" s="50">
        <f t="shared" ref="C148:H148" si="256">SUM(C142:C147)</f>
        <v>77.989999999999995</v>
      </c>
      <c r="D148" s="50">
        <f t="shared" si="256"/>
        <v>77.989999999999995</v>
      </c>
      <c r="E148" s="50">
        <f t="shared" si="256"/>
        <v>77.989999999999995</v>
      </c>
      <c r="F148" s="50">
        <f t="shared" si="256"/>
        <v>77.989999999999995</v>
      </c>
      <c r="G148" s="50">
        <f t="shared" si="256"/>
        <v>77.989999999999995</v>
      </c>
      <c r="H148" s="33">
        <f t="shared" si="256"/>
        <v>77.989999999999995</v>
      </c>
      <c r="I148" s="33">
        <f t="shared" ref="I148" si="257">SUM(I142:I147)</f>
        <v>77.989999999999995</v>
      </c>
      <c r="J148" s="33">
        <f t="shared" ref="J148" si="258">SUM(J142:J147)</f>
        <v>77.989999999999995</v>
      </c>
      <c r="K148" s="33">
        <f t="shared" ref="K148" si="259">SUM(K142:K147)</f>
        <v>77.989999999999995</v>
      </c>
      <c r="L148" s="33">
        <f t="shared" ref="L148" si="260">SUM(L142:L147)</f>
        <v>77.989999999999995</v>
      </c>
      <c r="M148" s="33">
        <f t="shared" ref="M148" si="261">SUM(M142:M147)</f>
        <v>77.989999999999995</v>
      </c>
      <c r="N148" s="33">
        <f t="shared" ref="N148" si="262">SUM(N142:N147)</f>
        <v>77.989999999999995</v>
      </c>
      <c r="O148" s="33">
        <f t="shared" ref="O148" si="263">SUM(O142:O147)</f>
        <v>77.989999999999995</v>
      </c>
      <c r="P148" s="33">
        <f t="shared" ref="P148" si="264">SUM(P142:P147)</f>
        <v>77.989999999999995</v>
      </c>
      <c r="Q148" s="33">
        <f t="shared" ref="Q148" si="265">SUM(Q142:Q147)</f>
        <v>77.989999999999995</v>
      </c>
    </row>
    <row r="149" spans="2:17" x14ac:dyDescent="0.25">
      <c r="B149" s="56" t="s">
        <v>120</v>
      </c>
      <c r="C149" s="51">
        <v>24.93</v>
      </c>
      <c r="D149" s="51">
        <v>34.68</v>
      </c>
      <c r="E149" s="51">
        <v>44.43</v>
      </c>
      <c r="F149" s="51">
        <v>54.17</v>
      </c>
      <c r="G149" s="51">
        <v>63.91</v>
      </c>
      <c r="H149" s="19">
        <f>SUM(G149:G153)</f>
        <v>70.56</v>
      </c>
      <c r="I149" s="19">
        <f t="shared" ref="I149:Q149" si="266">SUM(H149:H153)</f>
        <v>77.243250000000003</v>
      </c>
      <c r="J149" s="19">
        <f t="shared" si="266"/>
        <v>83.959916250000006</v>
      </c>
      <c r="K149" s="19">
        <f t="shared" si="266"/>
        <v>90.710165831250009</v>
      </c>
      <c r="L149" s="19">
        <f t="shared" si="266"/>
        <v>97.49416666040625</v>
      </c>
      <c r="M149" s="19">
        <f t="shared" si="266"/>
        <v>104.31208749370828</v>
      </c>
      <c r="N149" s="19">
        <f t="shared" si="266"/>
        <v>111.16409793117681</v>
      </c>
      <c r="O149" s="19">
        <f t="shared" si="266"/>
        <v>118.0503684208327</v>
      </c>
      <c r="P149" s="19">
        <f t="shared" si="266"/>
        <v>124.97107026293685</v>
      </c>
      <c r="Q149" s="19">
        <f t="shared" si="266"/>
        <v>131.92637561425153</v>
      </c>
    </row>
    <row r="150" spans="2:17" x14ac:dyDescent="0.25">
      <c r="B150" s="56" t="s">
        <v>121</v>
      </c>
      <c r="C150" s="51">
        <v>9.75</v>
      </c>
      <c r="D150" s="51">
        <v>9.75</v>
      </c>
      <c r="E150" s="51">
        <v>9.74</v>
      </c>
      <c r="F150" s="51">
        <v>9.74</v>
      </c>
      <c r="G150" s="51">
        <v>6.65</v>
      </c>
      <c r="H150" s="19">
        <f t="shared" ref="H150:Q150" si="267">G150*(1+0.5%)</f>
        <v>6.6832499999999992</v>
      </c>
      <c r="I150" s="19">
        <f t="shared" si="267"/>
        <v>6.7166662499999985</v>
      </c>
      <c r="J150" s="19">
        <f t="shared" si="267"/>
        <v>6.7502495812499976</v>
      </c>
      <c r="K150" s="19">
        <f t="shared" si="267"/>
        <v>6.7840008291562466</v>
      </c>
      <c r="L150" s="19">
        <f t="shared" si="267"/>
        <v>6.8179208333020274</v>
      </c>
      <c r="M150" s="19">
        <f t="shared" si="267"/>
        <v>6.8520104374685369</v>
      </c>
      <c r="N150" s="19">
        <f t="shared" si="267"/>
        <v>6.8862704896558791</v>
      </c>
      <c r="O150" s="19">
        <f t="shared" si="267"/>
        <v>6.9207018421041573</v>
      </c>
      <c r="P150" s="19">
        <f t="shared" si="267"/>
        <v>6.955305351314677</v>
      </c>
      <c r="Q150" s="19">
        <f t="shared" si="267"/>
        <v>6.9900818780712495</v>
      </c>
    </row>
    <row r="151" spans="2:17" x14ac:dyDescent="0.25">
      <c r="B151" s="56" t="s">
        <v>115</v>
      </c>
      <c r="C151" s="51">
        <v>0</v>
      </c>
      <c r="D151" s="51">
        <v>0</v>
      </c>
      <c r="E151" s="51">
        <v>0</v>
      </c>
      <c r="F151" s="51">
        <v>0</v>
      </c>
      <c r="G151" s="51">
        <v>0</v>
      </c>
      <c r="H151" s="19">
        <f t="shared" ref="H151:Q151" si="268">G151*(1+0.5%)</f>
        <v>0</v>
      </c>
      <c r="I151" s="19">
        <f t="shared" si="268"/>
        <v>0</v>
      </c>
      <c r="J151" s="19">
        <f t="shared" si="268"/>
        <v>0</v>
      </c>
      <c r="K151" s="19">
        <f t="shared" si="268"/>
        <v>0</v>
      </c>
      <c r="L151" s="19">
        <f t="shared" si="268"/>
        <v>0</v>
      </c>
      <c r="M151" s="19">
        <f t="shared" si="268"/>
        <v>0</v>
      </c>
      <c r="N151" s="19">
        <f t="shared" si="268"/>
        <v>0</v>
      </c>
      <c r="O151" s="19">
        <f t="shared" si="268"/>
        <v>0</v>
      </c>
      <c r="P151" s="19">
        <f t="shared" si="268"/>
        <v>0</v>
      </c>
      <c r="Q151" s="19">
        <f t="shared" si="268"/>
        <v>0</v>
      </c>
    </row>
    <row r="152" spans="2:17" x14ac:dyDescent="0.25">
      <c r="B152" s="56" t="s">
        <v>117</v>
      </c>
      <c r="C152" s="51">
        <v>0</v>
      </c>
      <c r="D152" s="51">
        <v>0</v>
      </c>
      <c r="E152" s="51">
        <v>0</v>
      </c>
      <c r="F152" s="51">
        <v>0</v>
      </c>
      <c r="G152" s="51">
        <v>0</v>
      </c>
      <c r="H152" s="19">
        <f t="shared" ref="H152:Q152" si="269">G152*(1+0.5%)</f>
        <v>0</v>
      </c>
      <c r="I152" s="19">
        <f t="shared" si="269"/>
        <v>0</v>
      </c>
      <c r="J152" s="19">
        <f t="shared" si="269"/>
        <v>0</v>
      </c>
      <c r="K152" s="19">
        <f t="shared" si="269"/>
        <v>0</v>
      </c>
      <c r="L152" s="19">
        <f t="shared" si="269"/>
        <v>0</v>
      </c>
      <c r="M152" s="19">
        <f t="shared" si="269"/>
        <v>0</v>
      </c>
      <c r="N152" s="19">
        <f t="shared" si="269"/>
        <v>0</v>
      </c>
      <c r="O152" s="19">
        <f t="shared" si="269"/>
        <v>0</v>
      </c>
      <c r="P152" s="19">
        <f t="shared" si="269"/>
        <v>0</v>
      </c>
      <c r="Q152" s="19">
        <f t="shared" si="269"/>
        <v>0</v>
      </c>
    </row>
    <row r="153" spans="2:17" x14ac:dyDescent="0.25">
      <c r="B153" s="56" t="s">
        <v>136</v>
      </c>
      <c r="C153" s="51">
        <v>0</v>
      </c>
      <c r="D153" s="51">
        <v>0</v>
      </c>
      <c r="E153" s="51">
        <v>0</v>
      </c>
      <c r="F153" s="51">
        <v>0</v>
      </c>
      <c r="G153" s="51">
        <v>0</v>
      </c>
      <c r="H153" s="19">
        <f t="shared" ref="H153:Q153" si="270">G153*(1+0.5%)</f>
        <v>0</v>
      </c>
      <c r="I153" s="19">
        <f t="shared" si="270"/>
        <v>0</v>
      </c>
      <c r="J153" s="19">
        <f t="shared" si="270"/>
        <v>0</v>
      </c>
      <c r="K153" s="19">
        <f t="shared" si="270"/>
        <v>0</v>
      </c>
      <c r="L153" s="19">
        <f t="shared" si="270"/>
        <v>0</v>
      </c>
      <c r="M153" s="19">
        <f t="shared" si="270"/>
        <v>0</v>
      </c>
      <c r="N153" s="19">
        <f t="shared" si="270"/>
        <v>0</v>
      </c>
      <c r="O153" s="19">
        <f t="shared" si="270"/>
        <v>0</v>
      </c>
      <c r="P153" s="19">
        <f t="shared" si="270"/>
        <v>0</v>
      </c>
      <c r="Q153" s="19">
        <f t="shared" si="270"/>
        <v>0</v>
      </c>
    </row>
    <row r="154" spans="2:17" ht="15.75" thickBot="1" x14ac:dyDescent="0.3">
      <c r="B154" s="55" t="s">
        <v>122</v>
      </c>
      <c r="C154" s="53">
        <f>C148-SUM(C149:C153)</f>
        <v>43.309999999999995</v>
      </c>
      <c r="D154" s="53">
        <f>D148-SUM(D149:D153)</f>
        <v>33.559999999999995</v>
      </c>
      <c r="E154" s="53">
        <f>E148-SUM(E149:E153)</f>
        <v>23.819999999999993</v>
      </c>
      <c r="F154" s="53">
        <f>F148-SUM(F149:F153)</f>
        <v>14.079999999999991</v>
      </c>
      <c r="G154" s="53">
        <f>G148-SUM(G149:G153)</f>
        <v>7.4299999999999926</v>
      </c>
      <c r="H154" s="54">
        <f t="shared" ref="H154" si="271">H148-SUM(H149:H153)</f>
        <v>0.74674999999999159</v>
      </c>
      <c r="I154" s="54">
        <f t="shared" ref="I154" si="272">I148-SUM(I149:I153)</f>
        <v>-5.9699162500000114</v>
      </c>
      <c r="J154" s="54">
        <f t="shared" ref="J154" si="273">J148-SUM(J149:J153)</f>
        <v>-12.720165831250014</v>
      </c>
      <c r="K154" s="54">
        <f t="shared" ref="K154" si="274">K148-SUM(K149:K153)</f>
        <v>-19.504166660406256</v>
      </c>
      <c r="L154" s="54">
        <f t="shared" ref="L154" si="275">L148-SUM(L149:L153)</f>
        <v>-26.322087493708281</v>
      </c>
      <c r="M154" s="54">
        <f t="shared" ref="M154" si="276">M148-SUM(M149:M153)</f>
        <v>-33.174097931176817</v>
      </c>
      <c r="N154" s="54">
        <f t="shared" ref="N154" si="277">N148-SUM(N149:N153)</f>
        <v>-40.060368420832702</v>
      </c>
      <c r="O154" s="54">
        <f t="shared" ref="O154" si="278">O148-SUM(O149:O153)</f>
        <v>-46.981070262936854</v>
      </c>
      <c r="P154" s="54">
        <f t="shared" ref="P154" si="279">P148-SUM(P149:P153)</f>
        <v>-53.936375614251531</v>
      </c>
      <c r="Q154" s="54">
        <f t="shared" ref="Q154" si="280">Q148-SUM(Q149:Q153)</f>
        <v>-60.926457492322768</v>
      </c>
    </row>
    <row r="155" spans="2:17" ht="15.75" thickTop="1" x14ac:dyDescent="0.25">
      <c r="B155" s="55"/>
      <c r="C155" s="51"/>
      <c r="D155" s="51"/>
      <c r="E155" s="51"/>
      <c r="F155" s="51"/>
      <c r="G155" s="51"/>
      <c r="H155" s="19"/>
      <c r="I155" s="19"/>
      <c r="J155" s="19"/>
      <c r="K155" s="19"/>
      <c r="L155" s="19"/>
      <c r="M155" s="19"/>
      <c r="N155" s="19"/>
      <c r="O155" s="19"/>
      <c r="P155" s="19"/>
      <c r="Q155" s="19"/>
    </row>
    <row r="156" spans="2:17" x14ac:dyDescent="0.25">
      <c r="B156" s="55" t="s">
        <v>137</v>
      </c>
      <c r="C156" s="51"/>
      <c r="D156" s="51"/>
      <c r="E156" s="51"/>
      <c r="F156" s="51"/>
      <c r="G156" s="51"/>
      <c r="H156" s="19"/>
      <c r="I156" s="19"/>
      <c r="J156" s="19"/>
      <c r="K156" s="19"/>
      <c r="L156" s="19"/>
      <c r="M156" s="19"/>
      <c r="N156" s="19"/>
      <c r="O156" s="19"/>
      <c r="P156" s="19"/>
      <c r="Q156" s="19"/>
    </row>
    <row r="157" spans="2:17" x14ac:dyDescent="0.25">
      <c r="B157" s="55" t="s">
        <v>113</v>
      </c>
      <c r="C157" s="50">
        <v>0</v>
      </c>
      <c r="D157" s="50">
        <v>0</v>
      </c>
      <c r="E157" s="50">
        <v>0</v>
      </c>
      <c r="F157" s="50">
        <v>0</v>
      </c>
      <c r="G157" s="50">
        <v>14.96</v>
      </c>
      <c r="H157" s="33">
        <f>G163</f>
        <v>224.42000000000002</v>
      </c>
      <c r="I157" s="33">
        <f t="shared" ref="I157:J157" si="281">H163</f>
        <v>434.9273</v>
      </c>
      <c r="J157" s="33">
        <f t="shared" si="281"/>
        <v>646.48713649999991</v>
      </c>
      <c r="K157" s="33">
        <f>J163</f>
        <v>859.1047721824998</v>
      </c>
      <c r="L157" s="33">
        <f t="shared" ref="L157:Q157" si="282">K163</f>
        <v>1072.7854960434122</v>
      </c>
      <c r="M157" s="33">
        <f t="shared" si="282"/>
        <v>1287.5346235236291</v>
      </c>
      <c r="N157" s="33">
        <f t="shared" si="282"/>
        <v>1503.3574966412471</v>
      </c>
      <c r="O157" s="33">
        <f t="shared" si="282"/>
        <v>1720.2594841244531</v>
      </c>
      <c r="P157" s="33">
        <f t="shared" si="282"/>
        <v>1938.2459815450752</v>
      </c>
      <c r="Q157" s="33">
        <f t="shared" si="282"/>
        <v>2157.3224114528002</v>
      </c>
    </row>
    <row r="158" spans="2:17" x14ac:dyDescent="0.25">
      <c r="B158" s="56" t="s">
        <v>114</v>
      </c>
      <c r="C158" s="51">
        <v>0</v>
      </c>
      <c r="D158" s="51">
        <v>0</v>
      </c>
      <c r="E158" s="51">
        <v>0</v>
      </c>
      <c r="F158" s="51">
        <v>14.96</v>
      </c>
      <c r="G158" s="51">
        <v>209.46</v>
      </c>
      <c r="H158" s="19">
        <f t="shared" ref="H158:Q158" si="283">G158*(1+0.5%)</f>
        <v>210.50729999999999</v>
      </c>
      <c r="I158" s="19">
        <f t="shared" si="283"/>
        <v>211.55983649999996</v>
      </c>
      <c r="J158" s="19">
        <f t="shared" si="283"/>
        <v>212.61763568249995</v>
      </c>
      <c r="K158" s="19">
        <f t="shared" si="283"/>
        <v>213.68072386091242</v>
      </c>
      <c r="L158" s="19">
        <f t="shared" si="283"/>
        <v>214.74912748021697</v>
      </c>
      <c r="M158" s="19">
        <f t="shared" si="283"/>
        <v>215.82287311761803</v>
      </c>
      <c r="N158" s="19">
        <f t="shared" si="283"/>
        <v>216.90198748320609</v>
      </c>
      <c r="O158" s="19">
        <f t="shared" si="283"/>
        <v>217.9864974206221</v>
      </c>
      <c r="P158" s="19">
        <f t="shared" si="283"/>
        <v>219.07642990772518</v>
      </c>
      <c r="Q158" s="19">
        <f t="shared" si="283"/>
        <v>220.17181205726379</v>
      </c>
    </row>
    <row r="159" spans="2:17" x14ac:dyDescent="0.25">
      <c r="B159" s="56" t="s">
        <v>135</v>
      </c>
      <c r="C159" s="51">
        <v>0</v>
      </c>
      <c r="D159" s="51">
        <v>0</v>
      </c>
      <c r="E159" s="51">
        <v>0</v>
      </c>
      <c r="F159" s="51">
        <v>0</v>
      </c>
      <c r="G159" s="51">
        <v>0</v>
      </c>
      <c r="H159" s="19">
        <f t="shared" ref="H159:Q159" si="284">G159*(1+0.5%)</f>
        <v>0</v>
      </c>
      <c r="I159" s="19">
        <f t="shared" si="284"/>
        <v>0</v>
      </c>
      <c r="J159" s="19">
        <f t="shared" si="284"/>
        <v>0</v>
      </c>
      <c r="K159" s="19">
        <f t="shared" si="284"/>
        <v>0</v>
      </c>
      <c r="L159" s="19">
        <f t="shared" si="284"/>
        <v>0</v>
      </c>
      <c r="M159" s="19">
        <f t="shared" si="284"/>
        <v>0</v>
      </c>
      <c r="N159" s="19">
        <f t="shared" si="284"/>
        <v>0</v>
      </c>
      <c r="O159" s="19">
        <f t="shared" si="284"/>
        <v>0</v>
      </c>
      <c r="P159" s="19">
        <f t="shared" si="284"/>
        <v>0</v>
      </c>
      <c r="Q159" s="19">
        <f t="shared" si="284"/>
        <v>0</v>
      </c>
    </row>
    <row r="160" spans="2:17" x14ac:dyDescent="0.25">
      <c r="B160" s="56" t="s">
        <v>115</v>
      </c>
      <c r="C160" s="51">
        <v>0</v>
      </c>
      <c r="D160" s="51">
        <v>0</v>
      </c>
      <c r="E160" s="51">
        <v>0</v>
      </c>
      <c r="F160" s="51">
        <v>0</v>
      </c>
      <c r="G160" s="51">
        <v>0</v>
      </c>
      <c r="H160" s="19">
        <f t="shared" ref="H160:Q160" si="285">G160*(1+0.5%)</f>
        <v>0</v>
      </c>
      <c r="I160" s="19">
        <f t="shared" si="285"/>
        <v>0</v>
      </c>
      <c r="J160" s="19">
        <f t="shared" si="285"/>
        <v>0</v>
      </c>
      <c r="K160" s="19">
        <f t="shared" si="285"/>
        <v>0</v>
      </c>
      <c r="L160" s="19">
        <f t="shared" si="285"/>
        <v>0</v>
      </c>
      <c r="M160" s="19">
        <f t="shared" si="285"/>
        <v>0</v>
      </c>
      <c r="N160" s="19">
        <f t="shared" si="285"/>
        <v>0</v>
      </c>
      <c r="O160" s="19">
        <f t="shared" si="285"/>
        <v>0</v>
      </c>
      <c r="P160" s="19">
        <f t="shared" si="285"/>
        <v>0</v>
      </c>
      <c r="Q160" s="19">
        <f t="shared" si="285"/>
        <v>0</v>
      </c>
    </row>
    <row r="161" spans="2:17" x14ac:dyDescent="0.25">
      <c r="B161" s="56" t="s">
        <v>136</v>
      </c>
      <c r="C161" s="51">
        <v>0</v>
      </c>
      <c r="D161" s="51">
        <v>0</v>
      </c>
      <c r="E161" s="51">
        <v>0</v>
      </c>
      <c r="F161" s="51">
        <v>0</v>
      </c>
      <c r="G161" s="51">
        <v>0</v>
      </c>
      <c r="H161" s="19">
        <f t="shared" ref="H161:Q161" si="286">G161*(1+0.5%)</f>
        <v>0</v>
      </c>
      <c r="I161" s="19">
        <f t="shared" si="286"/>
        <v>0</v>
      </c>
      <c r="J161" s="19">
        <f t="shared" si="286"/>
        <v>0</v>
      </c>
      <c r="K161" s="19">
        <f t="shared" si="286"/>
        <v>0</v>
      </c>
      <c r="L161" s="19">
        <f t="shared" si="286"/>
        <v>0</v>
      </c>
      <c r="M161" s="19">
        <f t="shared" si="286"/>
        <v>0</v>
      </c>
      <c r="N161" s="19">
        <f t="shared" si="286"/>
        <v>0</v>
      </c>
      <c r="O161" s="19">
        <f t="shared" si="286"/>
        <v>0</v>
      </c>
      <c r="P161" s="19">
        <f t="shared" si="286"/>
        <v>0</v>
      </c>
      <c r="Q161" s="19">
        <f t="shared" si="286"/>
        <v>0</v>
      </c>
    </row>
    <row r="162" spans="2:17" x14ac:dyDescent="0.25">
      <c r="B162" s="56" t="s">
        <v>117</v>
      </c>
      <c r="C162" s="51">
        <v>0</v>
      </c>
      <c r="D162" s="51">
        <v>0</v>
      </c>
      <c r="E162" s="51">
        <v>0</v>
      </c>
      <c r="F162" s="51">
        <v>0</v>
      </c>
      <c r="G162" s="51">
        <v>0</v>
      </c>
      <c r="H162" s="19">
        <f t="shared" ref="H162:Q162" si="287">G162*(1+0.5%)</f>
        <v>0</v>
      </c>
      <c r="I162" s="19">
        <f t="shared" si="287"/>
        <v>0</v>
      </c>
      <c r="J162" s="19">
        <f t="shared" si="287"/>
        <v>0</v>
      </c>
      <c r="K162" s="19">
        <f t="shared" si="287"/>
        <v>0</v>
      </c>
      <c r="L162" s="19">
        <f t="shared" si="287"/>
        <v>0</v>
      </c>
      <c r="M162" s="19">
        <f t="shared" si="287"/>
        <v>0</v>
      </c>
      <c r="N162" s="19">
        <f t="shared" si="287"/>
        <v>0</v>
      </c>
      <c r="O162" s="19">
        <f t="shared" si="287"/>
        <v>0</v>
      </c>
      <c r="P162" s="19">
        <f t="shared" si="287"/>
        <v>0</v>
      </c>
      <c r="Q162" s="19">
        <f t="shared" si="287"/>
        <v>0</v>
      </c>
    </row>
    <row r="163" spans="2:17" x14ac:dyDescent="0.25">
      <c r="B163" s="55" t="s">
        <v>118</v>
      </c>
      <c r="C163" s="50">
        <f>SUM(C157:C162)</f>
        <v>0</v>
      </c>
      <c r="D163" s="50">
        <f t="shared" ref="D163:E163" si="288">SUM(D157:D162)</f>
        <v>0</v>
      </c>
      <c r="E163" s="50">
        <f t="shared" si="288"/>
        <v>0</v>
      </c>
      <c r="F163" s="50">
        <f>SUM(F157:F162)</f>
        <v>14.96</v>
      </c>
      <c r="G163" s="50">
        <f>SUM(G157:G162)</f>
        <v>224.42000000000002</v>
      </c>
      <c r="H163" s="33">
        <f>SUM(H157:H162)</f>
        <v>434.9273</v>
      </c>
      <c r="I163" s="33">
        <f t="shared" ref="I163" si="289">SUM(I157:I162)</f>
        <v>646.48713649999991</v>
      </c>
      <c r="J163" s="33">
        <f t="shared" ref="J163" si="290">SUM(J157:J162)</f>
        <v>859.1047721824998</v>
      </c>
      <c r="K163" s="33">
        <f t="shared" ref="K163" si="291">SUM(K157:K162)</f>
        <v>1072.7854960434122</v>
      </c>
      <c r="L163" s="33">
        <f t="shared" ref="L163" si="292">SUM(L157:L162)</f>
        <v>1287.5346235236291</v>
      </c>
      <c r="M163" s="33">
        <f t="shared" ref="M163" si="293">SUM(M157:M162)</f>
        <v>1503.3574966412471</v>
      </c>
      <c r="N163" s="33">
        <f t="shared" ref="N163" si="294">SUM(N157:N162)</f>
        <v>1720.2594841244531</v>
      </c>
      <c r="O163" s="33">
        <f t="shared" ref="O163" si="295">SUM(O157:O162)</f>
        <v>1938.2459815450752</v>
      </c>
      <c r="P163" s="33">
        <f t="shared" ref="P163" si="296">SUM(P157:P162)</f>
        <v>2157.3224114528002</v>
      </c>
      <c r="Q163" s="33">
        <f t="shared" ref="Q163" si="297">SUM(Q157:Q162)</f>
        <v>2377.4942235100639</v>
      </c>
    </row>
    <row r="164" spans="2:17" x14ac:dyDescent="0.25">
      <c r="B164" s="56" t="s">
        <v>120</v>
      </c>
      <c r="C164" s="51">
        <v>0</v>
      </c>
      <c r="D164" s="51">
        <v>0</v>
      </c>
      <c r="E164" s="51">
        <v>0</v>
      </c>
      <c r="F164" s="51">
        <v>0</v>
      </c>
      <c r="G164" s="51">
        <v>0.11</v>
      </c>
      <c r="H164" s="19">
        <f>SUM(G164:G168)</f>
        <v>18.55</v>
      </c>
      <c r="I164" s="19">
        <f t="shared" ref="I164:Q164" si="298">SUM(H164:H168)</f>
        <v>37.0822</v>
      </c>
      <c r="J164" s="19">
        <f t="shared" si="298"/>
        <v>55.707060999999996</v>
      </c>
      <c r="K164" s="19">
        <f t="shared" si="298"/>
        <v>74.425046304999995</v>
      </c>
      <c r="L164" s="19">
        <f t="shared" si="298"/>
        <v>93.236621536524993</v>
      </c>
      <c r="M164" s="19">
        <f t="shared" si="298"/>
        <v>112.14225464420761</v>
      </c>
      <c r="N164" s="19">
        <f t="shared" si="298"/>
        <v>131.14241591742865</v>
      </c>
      <c r="O164" s="19">
        <f t="shared" si="298"/>
        <v>150.23757799701579</v>
      </c>
      <c r="P164" s="19">
        <f t="shared" si="298"/>
        <v>169.42821588700085</v>
      </c>
      <c r="Q164" s="19">
        <f t="shared" si="298"/>
        <v>188.71480696643584</v>
      </c>
    </row>
    <row r="165" spans="2:17" x14ac:dyDescent="0.25">
      <c r="B165" s="56" t="s">
        <v>121</v>
      </c>
      <c r="C165" s="51">
        <v>0</v>
      </c>
      <c r="D165" s="51">
        <v>0</v>
      </c>
      <c r="E165" s="51">
        <v>0</v>
      </c>
      <c r="F165" s="51">
        <v>0.11</v>
      </c>
      <c r="G165" s="51">
        <v>18.440000000000001</v>
      </c>
      <c r="H165" s="19">
        <f t="shared" ref="H165:Q165" si="299">G165*(1+0.5%)</f>
        <v>18.5322</v>
      </c>
      <c r="I165" s="19">
        <f t="shared" si="299"/>
        <v>18.624860999999999</v>
      </c>
      <c r="J165" s="19">
        <f t="shared" si="299"/>
        <v>18.717985304999996</v>
      </c>
      <c r="K165" s="19">
        <f t="shared" si="299"/>
        <v>18.811575231524994</v>
      </c>
      <c r="L165" s="19">
        <f t="shared" si="299"/>
        <v>18.905633107682618</v>
      </c>
      <c r="M165" s="19">
        <f t="shared" si="299"/>
        <v>19.000161273221028</v>
      </c>
      <c r="N165" s="19">
        <f t="shared" si="299"/>
        <v>19.09516207958713</v>
      </c>
      <c r="O165" s="19">
        <f t="shared" si="299"/>
        <v>19.190637889985062</v>
      </c>
      <c r="P165" s="19">
        <f t="shared" si="299"/>
        <v>19.286591079434984</v>
      </c>
      <c r="Q165" s="19">
        <f t="shared" si="299"/>
        <v>19.383024034832157</v>
      </c>
    </row>
    <row r="166" spans="2:17" x14ac:dyDescent="0.25">
      <c r="B166" s="56" t="s">
        <v>115</v>
      </c>
      <c r="C166" s="51">
        <v>0</v>
      </c>
      <c r="D166" s="51">
        <v>0</v>
      </c>
      <c r="E166" s="51">
        <v>0</v>
      </c>
      <c r="F166" s="51">
        <v>0</v>
      </c>
      <c r="G166" s="51">
        <v>0</v>
      </c>
      <c r="H166" s="19">
        <f t="shared" ref="H166:Q166" si="300">G166*(1+0.5%)</f>
        <v>0</v>
      </c>
      <c r="I166" s="19">
        <f t="shared" si="300"/>
        <v>0</v>
      </c>
      <c r="J166" s="19">
        <f t="shared" si="300"/>
        <v>0</v>
      </c>
      <c r="K166" s="19">
        <f t="shared" si="300"/>
        <v>0</v>
      </c>
      <c r="L166" s="19">
        <f t="shared" si="300"/>
        <v>0</v>
      </c>
      <c r="M166" s="19">
        <f t="shared" si="300"/>
        <v>0</v>
      </c>
      <c r="N166" s="19">
        <f t="shared" si="300"/>
        <v>0</v>
      </c>
      <c r="O166" s="19">
        <f t="shared" si="300"/>
        <v>0</v>
      </c>
      <c r="P166" s="19">
        <f t="shared" si="300"/>
        <v>0</v>
      </c>
      <c r="Q166" s="19">
        <f t="shared" si="300"/>
        <v>0</v>
      </c>
    </row>
    <row r="167" spans="2:17" x14ac:dyDescent="0.25">
      <c r="B167" s="56" t="s">
        <v>117</v>
      </c>
      <c r="C167" s="51">
        <v>0</v>
      </c>
      <c r="D167" s="51">
        <v>0</v>
      </c>
      <c r="E167" s="51">
        <v>0</v>
      </c>
      <c r="F167" s="51">
        <v>0</v>
      </c>
      <c r="G167" s="51">
        <v>0</v>
      </c>
      <c r="H167" s="19">
        <f t="shared" ref="H167:Q167" si="301">G167*(1+0.5%)</f>
        <v>0</v>
      </c>
      <c r="I167" s="19">
        <f t="shared" si="301"/>
        <v>0</v>
      </c>
      <c r="J167" s="19">
        <f t="shared" si="301"/>
        <v>0</v>
      </c>
      <c r="K167" s="19">
        <f t="shared" si="301"/>
        <v>0</v>
      </c>
      <c r="L167" s="19">
        <f t="shared" si="301"/>
        <v>0</v>
      </c>
      <c r="M167" s="19">
        <f t="shared" si="301"/>
        <v>0</v>
      </c>
      <c r="N167" s="19">
        <f t="shared" si="301"/>
        <v>0</v>
      </c>
      <c r="O167" s="19">
        <f t="shared" si="301"/>
        <v>0</v>
      </c>
      <c r="P167" s="19">
        <f t="shared" si="301"/>
        <v>0</v>
      </c>
      <c r="Q167" s="19">
        <f t="shared" si="301"/>
        <v>0</v>
      </c>
    </row>
    <row r="168" spans="2:17" x14ac:dyDescent="0.25">
      <c r="B168" s="56" t="s">
        <v>136</v>
      </c>
      <c r="C168" s="51">
        <v>0</v>
      </c>
      <c r="D168" s="51">
        <v>0</v>
      </c>
      <c r="E168" s="51">
        <v>0</v>
      </c>
      <c r="F168" s="51">
        <v>0</v>
      </c>
      <c r="G168" s="51">
        <v>0</v>
      </c>
      <c r="H168" s="19">
        <f t="shared" ref="H168:Q168" si="302">G168*(1+0.5%)</f>
        <v>0</v>
      </c>
      <c r="I168" s="19">
        <f t="shared" si="302"/>
        <v>0</v>
      </c>
      <c r="J168" s="19">
        <f t="shared" si="302"/>
        <v>0</v>
      </c>
      <c r="K168" s="19">
        <f t="shared" si="302"/>
        <v>0</v>
      </c>
      <c r="L168" s="19">
        <f t="shared" si="302"/>
        <v>0</v>
      </c>
      <c r="M168" s="19">
        <f t="shared" si="302"/>
        <v>0</v>
      </c>
      <c r="N168" s="19">
        <f t="shared" si="302"/>
        <v>0</v>
      </c>
      <c r="O168" s="19">
        <f t="shared" si="302"/>
        <v>0</v>
      </c>
      <c r="P168" s="19">
        <f t="shared" si="302"/>
        <v>0</v>
      </c>
      <c r="Q168" s="19">
        <f t="shared" si="302"/>
        <v>0</v>
      </c>
    </row>
    <row r="169" spans="2:17" ht="15.75" thickBot="1" x14ac:dyDescent="0.3">
      <c r="B169" s="55" t="s">
        <v>122</v>
      </c>
      <c r="C169" s="53">
        <f>C163-SUM(C164:C168)</f>
        <v>0</v>
      </c>
      <c r="D169" s="53">
        <f t="shared" ref="D169:E169" si="303">D163-SUM(D164:D168)</f>
        <v>0</v>
      </c>
      <c r="E169" s="53">
        <f t="shared" si="303"/>
        <v>0</v>
      </c>
      <c r="F169" s="53">
        <f>F163-SUM(F164:F168)</f>
        <v>14.850000000000001</v>
      </c>
      <c r="G169" s="53">
        <f>G163-SUM(G164:G168)</f>
        <v>205.87</v>
      </c>
      <c r="H169" s="54">
        <f t="shared" ref="H169" si="304">H163-SUM(H164:H168)</f>
        <v>397.8451</v>
      </c>
      <c r="I169" s="54">
        <f t="shared" ref="I169" si="305">I163-SUM(I164:I168)</f>
        <v>590.78007549999995</v>
      </c>
      <c r="J169" s="54">
        <f t="shared" ref="J169" si="306">J163-SUM(J164:J168)</f>
        <v>784.67972587749978</v>
      </c>
      <c r="K169" s="54">
        <f t="shared" ref="K169" si="307">K163-SUM(K164:K168)</f>
        <v>979.54887450688716</v>
      </c>
      <c r="L169" s="54">
        <f t="shared" ref="L169" si="308">L163-SUM(L164:L168)</f>
        <v>1175.3923688794214</v>
      </c>
      <c r="M169" s="54">
        <f t="shared" ref="M169" si="309">M163-SUM(M164:M168)</f>
        <v>1372.2150807238183</v>
      </c>
      <c r="N169" s="54">
        <f t="shared" ref="N169" si="310">N163-SUM(N164:N168)</f>
        <v>1570.0219061274374</v>
      </c>
      <c r="O169" s="54">
        <f t="shared" ref="O169" si="311">O163-SUM(O164:O168)</f>
        <v>1768.8177656580744</v>
      </c>
      <c r="P169" s="54">
        <f t="shared" ref="P169" si="312">P163-SUM(P164:P168)</f>
        <v>1968.6076044863644</v>
      </c>
      <c r="Q169" s="54">
        <f t="shared" ref="Q169" si="313">Q163-SUM(Q164:Q168)</f>
        <v>2169.396392508796</v>
      </c>
    </row>
    <row r="170" spans="2:17" ht="15.75" thickTop="1" x14ac:dyDescent="0.25">
      <c r="B170" s="55"/>
      <c r="C170" s="51"/>
      <c r="D170" s="51"/>
      <c r="E170" s="51"/>
      <c r="F170" s="51"/>
      <c r="G170" s="51"/>
      <c r="H170" s="19"/>
      <c r="I170" s="19"/>
      <c r="J170" s="19"/>
      <c r="K170" s="19"/>
      <c r="L170" s="19"/>
      <c r="M170" s="19"/>
      <c r="N170" s="19"/>
      <c r="O170" s="19"/>
      <c r="P170" s="19"/>
      <c r="Q170" s="19"/>
    </row>
    <row r="171" spans="2:17" x14ac:dyDescent="0.25">
      <c r="B171" s="55"/>
      <c r="C171" s="51"/>
      <c r="D171" s="51"/>
      <c r="E171" s="51"/>
      <c r="F171" s="51"/>
      <c r="G171" s="51"/>
      <c r="H171" s="19"/>
      <c r="I171" s="19"/>
      <c r="J171" s="19"/>
      <c r="K171" s="19"/>
      <c r="L171" s="19"/>
      <c r="M171" s="19"/>
      <c r="N171" s="19"/>
      <c r="O171" s="19"/>
      <c r="P171" s="19"/>
      <c r="Q171" s="19"/>
    </row>
    <row r="172" spans="2:17" x14ac:dyDescent="0.25">
      <c r="B172" s="55"/>
      <c r="C172" s="51"/>
      <c r="D172" s="51"/>
      <c r="E172" s="51"/>
      <c r="F172" s="51"/>
      <c r="G172" s="51"/>
      <c r="H172" s="19"/>
      <c r="I172" s="19"/>
      <c r="J172" s="19"/>
      <c r="K172" s="19"/>
      <c r="L172" s="19"/>
      <c r="M172" s="19"/>
      <c r="N172" s="19"/>
      <c r="O172" s="19"/>
      <c r="P172" s="19"/>
      <c r="Q172" s="19"/>
    </row>
    <row r="173" spans="2:17" x14ac:dyDescent="0.25">
      <c r="B173" s="55" t="s">
        <v>129</v>
      </c>
      <c r="C173" s="51"/>
      <c r="D173" s="51"/>
      <c r="E173" s="51"/>
      <c r="F173" s="51"/>
      <c r="G173" s="51"/>
      <c r="H173" s="19"/>
      <c r="I173" s="19"/>
      <c r="J173" s="19"/>
      <c r="K173" s="19"/>
      <c r="L173" s="19"/>
      <c r="M173" s="19"/>
      <c r="N173" s="19"/>
      <c r="O173" s="19"/>
      <c r="P173" s="19"/>
      <c r="Q173" s="19"/>
    </row>
    <row r="174" spans="2:17" x14ac:dyDescent="0.25">
      <c r="B174" s="55" t="s">
        <v>130</v>
      </c>
      <c r="C174" s="51"/>
      <c r="D174" s="51"/>
      <c r="E174" s="51"/>
      <c r="F174" s="51"/>
      <c r="G174" s="51"/>
      <c r="H174" s="19"/>
      <c r="I174" s="19"/>
      <c r="J174" s="19"/>
      <c r="K174" s="19"/>
      <c r="L174" s="19"/>
      <c r="M174" s="19"/>
      <c r="N174" s="19"/>
      <c r="O174" s="19"/>
      <c r="P174" s="19"/>
      <c r="Q174" s="19"/>
    </row>
    <row r="175" spans="2:17" x14ac:dyDescent="0.25">
      <c r="B175" s="55" t="s">
        <v>113</v>
      </c>
      <c r="C175" s="50">
        <v>1.46</v>
      </c>
      <c r="D175" s="50">
        <v>1.46</v>
      </c>
      <c r="E175" s="50">
        <v>1.47</v>
      </c>
      <c r="F175" s="50">
        <v>1.47</v>
      </c>
      <c r="G175" s="50">
        <v>1.5</v>
      </c>
      <c r="H175" s="33">
        <f>G181</f>
        <v>1.56</v>
      </c>
      <c r="I175" s="33">
        <f t="shared" ref="I175:J175" si="314">H181</f>
        <v>1.6203000000000001</v>
      </c>
      <c r="J175" s="33">
        <f t="shared" si="314"/>
        <v>1.6809015</v>
      </c>
      <c r="K175" s="33">
        <f>J181</f>
        <v>1.7418060075000001</v>
      </c>
      <c r="L175" s="33">
        <f t="shared" ref="L175:Q175" si="315">K181</f>
        <v>1.8030150375375</v>
      </c>
      <c r="M175" s="33">
        <f t="shared" si="315"/>
        <v>1.8645301127251874</v>
      </c>
      <c r="N175" s="33">
        <f t="shared" si="315"/>
        <v>1.9263527632888133</v>
      </c>
      <c r="O175" s="33">
        <f t="shared" si="315"/>
        <v>1.9884845271052574</v>
      </c>
      <c r="P175" s="33">
        <f t="shared" si="315"/>
        <v>2.0509269497407834</v>
      </c>
      <c r="Q175" s="33">
        <f t="shared" si="315"/>
        <v>2.1136815844894872</v>
      </c>
    </row>
    <row r="176" spans="2:17" x14ac:dyDescent="0.25">
      <c r="B176" s="56" t="s">
        <v>114</v>
      </c>
      <c r="C176" s="51">
        <v>0</v>
      </c>
      <c r="D176" s="51">
        <v>0.01</v>
      </c>
      <c r="E176" s="51">
        <v>0</v>
      </c>
      <c r="F176" s="51">
        <v>0.03</v>
      </c>
      <c r="G176" s="51">
        <v>0.06</v>
      </c>
      <c r="H176" s="19">
        <f t="shared" ref="H176:Q176" si="316">G176*(1+0.5%)</f>
        <v>6.0299999999999992E-2</v>
      </c>
      <c r="I176" s="19">
        <f t="shared" si="316"/>
        <v>6.0601499999999989E-2</v>
      </c>
      <c r="J176" s="19">
        <f t="shared" si="316"/>
        <v>6.0904507499999982E-2</v>
      </c>
      <c r="K176" s="19">
        <f t="shared" si="316"/>
        <v>6.1209030037499973E-2</v>
      </c>
      <c r="L176" s="19">
        <f t="shared" si="316"/>
        <v>6.1515075187687465E-2</v>
      </c>
      <c r="M176" s="19">
        <f t="shared" si="316"/>
        <v>6.1822650563625896E-2</v>
      </c>
      <c r="N176" s="19">
        <f t="shared" si="316"/>
        <v>6.2131763816444016E-2</v>
      </c>
      <c r="O176" s="19">
        <f t="shared" si="316"/>
        <v>6.2442422635526226E-2</v>
      </c>
      <c r="P176" s="19">
        <f t="shared" si="316"/>
        <v>6.2754634748703852E-2</v>
      </c>
      <c r="Q176" s="19">
        <f t="shared" si="316"/>
        <v>6.3068407922447361E-2</v>
      </c>
    </row>
    <row r="177" spans="2:17" x14ac:dyDescent="0.25">
      <c r="B177" s="56" t="s">
        <v>135</v>
      </c>
      <c r="C177" s="51">
        <v>0</v>
      </c>
      <c r="D177" s="51">
        <v>0</v>
      </c>
      <c r="E177" s="51">
        <v>0</v>
      </c>
      <c r="F177" s="51">
        <v>0</v>
      </c>
      <c r="G177" s="51">
        <v>0</v>
      </c>
      <c r="H177" s="19">
        <f t="shared" ref="H177:Q177" si="317">G177*(1+0.5%)</f>
        <v>0</v>
      </c>
      <c r="I177" s="19">
        <f t="shared" si="317"/>
        <v>0</v>
      </c>
      <c r="J177" s="19">
        <f t="shared" si="317"/>
        <v>0</v>
      </c>
      <c r="K177" s="19">
        <f t="shared" si="317"/>
        <v>0</v>
      </c>
      <c r="L177" s="19">
        <f t="shared" si="317"/>
        <v>0</v>
      </c>
      <c r="M177" s="19">
        <f t="shared" si="317"/>
        <v>0</v>
      </c>
      <c r="N177" s="19">
        <f t="shared" si="317"/>
        <v>0</v>
      </c>
      <c r="O177" s="19">
        <f t="shared" si="317"/>
        <v>0</v>
      </c>
      <c r="P177" s="19">
        <f t="shared" si="317"/>
        <v>0</v>
      </c>
      <c r="Q177" s="19">
        <f t="shared" si="317"/>
        <v>0</v>
      </c>
    </row>
    <row r="178" spans="2:17" x14ac:dyDescent="0.25">
      <c r="B178" s="56" t="s">
        <v>115</v>
      </c>
      <c r="C178" s="51">
        <v>0</v>
      </c>
      <c r="D178" s="51">
        <v>0</v>
      </c>
      <c r="E178" s="51">
        <v>0</v>
      </c>
      <c r="F178" s="51">
        <v>0</v>
      </c>
      <c r="G178" s="51">
        <v>0</v>
      </c>
      <c r="H178" s="19">
        <f t="shared" ref="H178:Q178" si="318">G178*(1+0.5%)</f>
        <v>0</v>
      </c>
      <c r="I178" s="19">
        <f t="shared" si="318"/>
        <v>0</v>
      </c>
      <c r="J178" s="19">
        <f t="shared" si="318"/>
        <v>0</v>
      </c>
      <c r="K178" s="19">
        <f t="shared" si="318"/>
        <v>0</v>
      </c>
      <c r="L178" s="19">
        <f t="shared" si="318"/>
        <v>0</v>
      </c>
      <c r="M178" s="19">
        <f t="shared" si="318"/>
        <v>0</v>
      </c>
      <c r="N178" s="19">
        <f t="shared" si="318"/>
        <v>0</v>
      </c>
      <c r="O178" s="19">
        <f t="shared" si="318"/>
        <v>0</v>
      </c>
      <c r="P178" s="19">
        <f t="shared" si="318"/>
        <v>0</v>
      </c>
      <c r="Q178" s="19">
        <f t="shared" si="318"/>
        <v>0</v>
      </c>
    </row>
    <row r="179" spans="2:17" x14ac:dyDescent="0.25">
      <c r="B179" s="56" t="s">
        <v>136</v>
      </c>
      <c r="C179" s="51">
        <v>0</v>
      </c>
      <c r="D179" s="51">
        <v>0</v>
      </c>
      <c r="E179" s="51">
        <v>0</v>
      </c>
      <c r="F179" s="51">
        <v>0</v>
      </c>
      <c r="G179" s="51">
        <v>0</v>
      </c>
      <c r="H179" s="19">
        <f t="shared" ref="H179:Q179" si="319">G179*(1+0.5%)</f>
        <v>0</v>
      </c>
      <c r="I179" s="19">
        <f t="shared" si="319"/>
        <v>0</v>
      </c>
      <c r="J179" s="19">
        <f t="shared" si="319"/>
        <v>0</v>
      </c>
      <c r="K179" s="19">
        <f t="shared" si="319"/>
        <v>0</v>
      </c>
      <c r="L179" s="19">
        <f t="shared" si="319"/>
        <v>0</v>
      </c>
      <c r="M179" s="19">
        <f t="shared" si="319"/>
        <v>0</v>
      </c>
      <c r="N179" s="19">
        <f t="shared" si="319"/>
        <v>0</v>
      </c>
      <c r="O179" s="19">
        <f t="shared" si="319"/>
        <v>0</v>
      </c>
      <c r="P179" s="19">
        <f t="shared" si="319"/>
        <v>0</v>
      </c>
      <c r="Q179" s="19">
        <f t="shared" si="319"/>
        <v>0</v>
      </c>
    </row>
    <row r="180" spans="2:17" x14ac:dyDescent="0.25">
      <c r="B180" s="56" t="s">
        <v>117</v>
      </c>
      <c r="C180" s="51">
        <v>0</v>
      </c>
      <c r="D180" s="51">
        <v>0</v>
      </c>
      <c r="E180" s="51">
        <v>0</v>
      </c>
      <c r="F180" s="51">
        <v>0</v>
      </c>
      <c r="G180" s="51">
        <v>0</v>
      </c>
      <c r="H180" s="19">
        <f t="shared" ref="H180:Q180" si="320">G180*(1+0.5%)</f>
        <v>0</v>
      </c>
      <c r="I180" s="19">
        <f t="shared" si="320"/>
        <v>0</v>
      </c>
      <c r="J180" s="19">
        <f t="shared" si="320"/>
        <v>0</v>
      </c>
      <c r="K180" s="19">
        <f t="shared" si="320"/>
        <v>0</v>
      </c>
      <c r="L180" s="19">
        <f t="shared" si="320"/>
        <v>0</v>
      </c>
      <c r="M180" s="19">
        <f t="shared" si="320"/>
        <v>0</v>
      </c>
      <c r="N180" s="19">
        <f t="shared" si="320"/>
        <v>0</v>
      </c>
      <c r="O180" s="19">
        <f t="shared" si="320"/>
        <v>0</v>
      </c>
      <c r="P180" s="19">
        <f t="shared" si="320"/>
        <v>0</v>
      </c>
      <c r="Q180" s="19">
        <f t="shared" si="320"/>
        <v>0</v>
      </c>
    </row>
    <row r="181" spans="2:17" x14ac:dyDescent="0.25">
      <c r="B181" s="55" t="s">
        <v>118</v>
      </c>
      <c r="C181" s="50">
        <f t="shared" ref="C181:H181" si="321">SUM(C175:C180)</f>
        <v>1.46</v>
      </c>
      <c r="D181" s="50">
        <f t="shared" si="321"/>
        <v>1.47</v>
      </c>
      <c r="E181" s="50">
        <f t="shared" si="321"/>
        <v>1.47</v>
      </c>
      <c r="F181" s="50">
        <f t="shared" si="321"/>
        <v>1.5</v>
      </c>
      <c r="G181" s="50">
        <f t="shared" si="321"/>
        <v>1.56</v>
      </c>
      <c r="H181" s="33">
        <f t="shared" si="321"/>
        <v>1.6203000000000001</v>
      </c>
      <c r="I181" s="33">
        <f t="shared" ref="I181" si="322">SUM(I175:I180)</f>
        <v>1.6809015</v>
      </c>
      <c r="J181" s="33">
        <f t="shared" ref="J181" si="323">SUM(J175:J180)</f>
        <v>1.7418060075000001</v>
      </c>
      <c r="K181" s="33">
        <f t="shared" ref="K181" si="324">SUM(K175:K180)</f>
        <v>1.8030150375375</v>
      </c>
      <c r="L181" s="33">
        <f t="shared" ref="L181" si="325">SUM(L175:L180)</f>
        <v>1.8645301127251874</v>
      </c>
      <c r="M181" s="33">
        <f t="shared" ref="M181" si="326">SUM(M175:M180)</f>
        <v>1.9263527632888133</v>
      </c>
      <c r="N181" s="33">
        <f t="shared" ref="N181" si="327">SUM(N175:N180)</f>
        <v>1.9884845271052574</v>
      </c>
      <c r="O181" s="33">
        <f t="shared" ref="O181" si="328">SUM(O175:O180)</f>
        <v>2.0509269497407834</v>
      </c>
      <c r="P181" s="33">
        <f t="shared" ref="P181" si="329">SUM(P175:P180)</f>
        <v>2.1136815844894872</v>
      </c>
      <c r="Q181" s="33">
        <f t="shared" ref="Q181" si="330">SUM(Q175:Q180)</f>
        <v>2.1767499924119345</v>
      </c>
    </row>
    <row r="182" spans="2:17" x14ac:dyDescent="0.25">
      <c r="B182" s="56" t="s">
        <v>120</v>
      </c>
      <c r="C182" s="51">
        <v>1</v>
      </c>
      <c r="D182" s="51">
        <v>1.07</v>
      </c>
      <c r="E182" s="51">
        <v>1.1299999999999999</v>
      </c>
      <c r="F182" s="51">
        <v>1.17</v>
      </c>
      <c r="G182" s="51">
        <v>1.21</v>
      </c>
      <c r="H182" s="19">
        <f>SUM(G182:G186)</f>
        <v>1.25</v>
      </c>
      <c r="I182" s="19">
        <f t="shared" ref="I182:Q182" si="331">SUM(H182:H186)</f>
        <v>1.2902</v>
      </c>
      <c r="J182" s="19">
        <f t="shared" si="331"/>
        <v>1.3306009999999999</v>
      </c>
      <c r="K182" s="19">
        <f t="shared" si="331"/>
        <v>1.3712040049999998</v>
      </c>
      <c r="L182" s="19">
        <f t="shared" si="331"/>
        <v>1.4120100250249998</v>
      </c>
      <c r="M182" s="19">
        <f t="shared" si="331"/>
        <v>1.4530200751501248</v>
      </c>
      <c r="N182" s="19">
        <f t="shared" si="331"/>
        <v>1.4942351755258754</v>
      </c>
      <c r="O182" s="19">
        <f t="shared" si="331"/>
        <v>1.5356563514035046</v>
      </c>
      <c r="P182" s="19">
        <f t="shared" si="331"/>
        <v>1.5772846331605221</v>
      </c>
      <c r="Q182" s="19">
        <f t="shared" si="331"/>
        <v>1.6191210563263247</v>
      </c>
    </row>
    <row r="183" spans="2:17" x14ac:dyDescent="0.25">
      <c r="B183" s="56" t="s">
        <v>121</v>
      </c>
      <c r="C183" s="51">
        <v>7.0000000000000007E-2</v>
      </c>
      <c r="D183" s="51">
        <v>0.06</v>
      </c>
      <c r="E183" s="51">
        <v>0.04</v>
      </c>
      <c r="F183" s="51">
        <v>0.04</v>
      </c>
      <c r="G183" s="51">
        <v>0.04</v>
      </c>
      <c r="H183" s="19">
        <f t="shared" ref="H183:Q183" si="332">G183*(1+0.5%)</f>
        <v>4.02E-2</v>
      </c>
      <c r="I183" s="19">
        <f t="shared" si="332"/>
        <v>4.0400999999999992E-2</v>
      </c>
      <c r="J183" s="19">
        <f t="shared" si="332"/>
        <v>4.0603004999999991E-2</v>
      </c>
      <c r="K183" s="19">
        <f t="shared" si="332"/>
        <v>4.0806020024999987E-2</v>
      </c>
      <c r="L183" s="19">
        <f t="shared" si="332"/>
        <v>4.1010050125124979E-2</v>
      </c>
      <c r="M183" s="19">
        <f t="shared" si="332"/>
        <v>4.1215100375750602E-2</v>
      </c>
      <c r="N183" s="19">
        <f t="shared" si="332"/>
        <v>4.1421175877629349E-2</v>
      </c>
      <c r="O183" s="19">
        <f t="shared" si="332"/>
        <v>4.1628281757017493E-2</v>
      </c>
      <c r="P183" s="19">
        <f t="shared" si="332"/>
        <v>4.1836423165802578E-2</v>
      </c>
      <c r="Q183" s="19">
        <f t="shared" si="332"/>
        <v>4.2045605281631586E-2</v>
      </c>
    </row>
    <row r="184" spans="2:17" x14ac:dyDescent="0.25">
      <c r="B184" s="56" t="s">
        <v>115</v>
      </c>
      <c r="C184" s="51">
        <v>0</v>
      </c>
      <c r="D184" s="51">
        <v>0</v>
      </c>
      <c r="E184" s="51">
        <v>0</v>
      </c>
      <c r="F184" s="51">
        <v>0</v>
      </c>
      <c r="G184" s="51">
        <v>0</v>
      </c>
      <c r="H184" s="19">
        <f t="shared" ref="H184:Q184" si="333">G184*(1+0.5%)</f>
        <v>0</v>
      </c>
      <c r="I184" s="19">
        <f t="shared" si="333"/>
        <v>0</v>
      </c>
      <c r="J184" s="19">
        <f t="shared" si="333"/>
        <v>0</v>
      </c>
      <c r="K184" s="19">
        <f t="shared" si="333"/>
        <v>0</v>
      </c>
      <c r="L184" s="19">
        <f t="shared" si="333"/>
        <v>0</v>
      </c>
      <c r="M184" s="19">
        <f t="shared" si="333"/>
        <v>0</v>
      </c>
      <c r="N184" s="19">
        <f t="shared" si="333"/>
        <v>0</v>
      </c>
      <c r="O184" s="19">
        <f t="shared" si="333"/>
        <v>0</v>
      </c>
      <c r="P184" s="19">
        <f t="shared" si="333"/>
        <v>0</v>
      </c>
      <c r="Q184" s="19">
        <f t="shared" si="333"/>
        <v>0</v>
      </c>
    </row>
    <row r="185" spans="2:17" x14ac:dyDescent="0.25">
      <c r="B185" s="56" t="s">
        <v>117</v>
      </c>
      <c r="C185" s="51">
        <v>0</v>
      </c>
      <c r="D185" s="51">
        <v>0</v>
      </c>
      <c r="E185" s="51">
        <v>0</v>
      </c>
      <c r="F185" s="51">
        <v>0</v>
      </c>
      <c r="G185" s="51">
        <v>0</v>
      </c>
      <c r="H185" s="19">
        <f t="shared" ref="H185:Q185" si="334">G185*(1+0.5%)</f>
        <v>0</v>
      </c>
      <c r="I185" s="19">
        <f t="shared" si="334"/>
        <v>0</v>
      </c>
      <c r="J185" s="19">
        <f t="shared" si="334"/>
        <v>0</v>
      </c>
      <c r="K185" s="19">
        <f t="shared" si="334"/>
        <v>0</v>
      </c>
      <c r="L185" s="19">
        <f t="shared" si="334"/>
        <v>0</v>
      </c>
      <c r="M185" s="19">
        <f t="shared" si="334"/>
        <v>0</v>
      </c>
      <c r="N185" s="19">
        <f t="shared" si="334"/>
        <v>0</v>
      </c>
      <c r="O185" s="19">
        <f t="shared" si="334"/>
        <v>0</v>
      </c>
      <c r="P185" s="19">
        <f t="shared" si="334"/>
        <v>0</v>
      </c>
      <c r="Q185" s="19">
        <f t="shared" si="334"/>
        <v>0</v>
      </c>
    </row>
    <row r="186" spans="2:17" x14ac:dyDescent="0.25">
      <c r="B186" s="56" t="s">
        <v>136</v>
      </c>
      <c r="C186" s="51">
        <v>0</v>
      </c>
      <c r="D186" s="51">
        <v>0</v>
      </c>
      <c r="E186" s="51">
        <v>0</v>
      </c>
      <c r="F186" s="51">
        <v>0</v>
      </c>
      <c r="G186" s="51">
        <v>0</v>
      </c>
      <c r="H186" s="19">
        <f t="shared" ref="H186:Q186" si="335">G186*(1+0.5%)</f>
        <v>0</v>
      </c>
      <c r="I186" s="19">
        <f t="shared" si="335"/>
        <v>0</v>
      </c>
      <c r="J186" s="19">
        <f t="shared" si="335"/>
        <v>0</v>
      </c>
      <c r="K186" s="19">
        <f t="shared" si="335"/>
        <v>0</v>
      </c>
      <c r="L186" s="19">
        <f t="shared" si="335"/>
        <v>0</v>
      </c>
      <c r="M186" s="19">
        <f t="shared" si="335"/>
        <v>0</v>
      </c>
      <c r="N186" s="19">
        <f t="shared" si="335"/>
        <v>0</v>
      </c>
      <c r="O186" s="19">
        <f t="shared" si="335"/>
        <v>0</v>
      </c>
      <c r="P186" s="19">
        <f t="shared" si="335"/>
        <v>0</v>
      </c>
      <c r="Q186" s="19">
        <f t="shared" si="335"/>
        <v>0</v>
      </c>
    </row>
    <row r="187" spans="2:17" ht="15.75" thickBot="1" x14ac:dyDescent="0.3">
      <c r="B187" s="55" t="s">
        <v>122</v>
      </c>
      <c r="C187" s="53">
        <f>C181-SUM(C182:C186)</f>
        <v>0.3899999999999999</v>
      </c>
      <c r="D187" s="53">
        <f>D181-SUM(D182:D186)</f>
        <v>0.33999999999999986</v>
      </c>
      <c r="E187" s="53">
        <f>E181-SUM(E182:E186)</f>
        <v>0.30000000000000004</v>
      </c>
      <c r="F187" s="53">
        <f>F181-SUM(F182:F186)</f>
        <v>0.29000000000000004</v>
      </c>
      <c r="G187" s="53">
        <f>G181-SUM(G182:G186)</f>
        <v>0.31000000000000005</v>
      </c>
      <c r="H187" s="54">
        <f t="shared" ref="H187" si="336">H181-SUM(H182:H186)</f>
        <v>0.33010000000000006</v>
      </c>
      <c r="I187" s="54">
        <f t="shared" ref="I187" si="337">I181-SUM(I182:I186)</f>
        <v>0.35030050000000013</v>
      </c>
      <c r="J187" s="54">
        <f t="shared" ref="J187" si="338">J181-SUM(J182:J186)</f>
        <v>0.3706020025000003</v>
      </c>
      <c r="K187" s="54">
        <f t="shared" ref="K187" si="339">K181-SUM(K182:K186)</f>
        <v>0.39100501251250019</v>
      </c>
      <c r="L187" s="54">
        <f t="shared" ref="L187" si="340">L181-SUM(L182:L186)</f>
        <v>0.41151003757506266</v>
      </c>
      <c r="M187" s="54">
        <f t="shared" ref="M187" si="341">M181-SUM(M182:M186)</f>
        <v>0.43211758776293796</v>
      </c>
      <c r="N187" s="54">
        <f t="shared" ref="N187" si="342">N181-SUM(N182:N186)</f>
        <v>0.45282817570175271</v>
      </c>
      <c r="O187" s="54">
        <f t="shared" ref="O187" si="343">O181-SUM(O182:O186)</f>
        <v>0.47364231658026124</v>
      </c>
      <c r="P187" s="54">
        <f t="shared" ref="P187" si="344">P181-SUM(P182:P186)</f>
        <v>0.49456052816316243</v>
      </c>
      <c r="Q187" s="54">
        <f t="shared" ref="Q187" si="345">Q181-SUM(Q182:Q186)</f>
        <v>0.51558333080397811</v>
      </c>
    </row>
    <row r="188" spans="2:17" ht="15.75" thickTop="1" x14ac:dyDescent="0.25">
      <c r="B188" s="56"/>
      <c r="C188" s="51"/>
      <c r="D188" s="51"/>
      <c r="E188" s="51"/>
      <c r="F188" s="51"/>
      <c r="G188" s="51"/>
      <c r="H188" s="19"/>
      <c r="I188" s="19"/>
      <c r="J188" s="19"/>
      <c r="K188" s="19"/>
      <c r="L188" s="19"/>
      <c r="M188" s="19"/>
      <c r="N188" s="19"/>
      <c r="O188" s="19"/>
      <c r="P188" s="19"/>
      <c r="Q188" s="19"/>
    </row>
    <row r="189" spans="2:17" ht="15.75" thickBot="1" x14ac:dyDescent="0.3">
      <c r="B189" s="55" t="s">
        <v>140</v>
      </c>
      <c r="C189" s="53">
        <f>SUM(C18,C33,C48,C63,C78,C93,C109,C124,C139,C154,C169,C187)</f>
        <v>5314.21</v>
      </c>
      <c r="D189" s="53">
        <f t="shared" ref="D189:Q189" si="346">SUM(D18,D33,D48,D63,D78,D93,D109,D124,D139,D154,D169,D187)</f>
        <v>5630.2600000000011</v>
      </c>
      <c r="E189" s="53">
        <f t="shared" si="346"/>
        <v>5317.1500000000015</v>
      </c>
      <c r="F189" s="53">
        <f t="shared" si="346"/>
        <v>5363.6100000000006</v>
      </c>
      <c r="G189" s="53">
        <f t="shared" si="346"/>
        <v>5471.9000000000024</v>
      </c>
      <c r="H189" s="54">
        <f t="shared" si="346"/>
        <v>5594.5994500000024</v>
      </c>
      <c r="I189" s="54">
        <f t="shared" si="346"/>
        <v>5717.912397250002</v>
      </c>
      <c r="J189" s="54">
        <f t="shared" si="346"/>
        <v>5841.8419092362519</v>
      </c>
      <c r="K189" s="54">
        <f t="shared" si="346"/>
        <v>5966.3910687824309</v>
      </c>
      <c r="L189" s="54">
        <f t="shared" si="346"/>
        <v>6091.5629741263447</v>
      </c>
      <c r="M189" s="54">
        <f t="shared" si="346"/>
        <v>6217.3607389969757</v>
      </c>
      <c r="N189" s="54">
        <f t="shared" si="346"/>
        <v>6343.7874926919603</v>
      </c>
      <c r="O189" s="54">
        <f t="shared" si="346"/>
        <v>6470.8463801554199</v>
      </c>
      <c r="P189" s="54">
        <f t="shared" si="346"/>
        <v>6598.540562056196</v>
      </c>
      <c r="Q189" s="54">
        <f t="shared" si="346"/>
        <v>6726.8732148664767</v>
      </c>
    </row>
    <row r="190" spans="2:17" ht="16.5" thickTop="1" thickBot="1" x14ac:dyDescent="0.3">
      <c r="B190" s="55" t="s">
        <v>143</v>
      </c>
      <c r="C190" s="197">
        <f>SUM(C183,C165,C150,C136,C120,C105,C89,C74,C59,C44,C29)</f>
        <v>558.89</v>
      </c>
      <c r="D190" s="198">
        <f t="shared" ref="D190:Q190" si="347">SUM(D183,D165,D150,D136,D120,D105,D89,D74,D59,D44,D29)</f>
        <v>599.71</v>
      </c>
      <c r="E190" s="198">
        <f t="shared" si="347"/>
        <v>621.33000000000004</v>
      </c>
      <c r="F190" s="198">
        <f t="shared" si="347"/>
        <v>612.29999999999995</v>
      </c>
      <c r="G190" s="198">
        <f t="shared" si="347"/>
        <v>646.56999999999994</v>
      </c>
      <c r="H190" s="199">
        <f t="shared" si="347"/>
        <v>649.80284999999992</v>
      </c>
      <c r="I190" s="199">
        <f t="shared" si="347"/>
        <v>653.05186424999988</v>
      </c>
      <c r="J190" s="199">
        <f t="shared" si="347"/>
        <v>656.31712357124979</v>
      </c>
      <c r="K190" s="199">
        <f>SUM(K183,K165,K150,K136,K120,K105,K89,K74,K59,K44,K29)</f>
        <v>659.59870918910599</v>
      </c>
      <c r="L190" s="199">
        <f t="shared" si="347"/>
        <v>662.89670273505146</v>
      </c>
      <c r="M190" s="199">
        <f t="shared" si="347"/>
        <v>666.21118624872668</v>
      </c>
      <c r="N190" s="199">
        <f t="shared" si="347"/>
        <v>669.54224217997023</v>
      </c>
      <c r="O190" s="199">
        <f t="shared" si="347"/>
        <v>672.88995339087001</v>
      </c>
      <c r="P190" s="199">
        <f t="shared" si="347"/>
        <v>676.2544031578243</v>
      </c>
      <c r="Q190" s="199">
        <f t="shared" si="347"/>
        <v>679.63567517361332</v>
      </c>
    </row>
    <row r="191" spans="2:17" s="161" customFormat="1" ht="15.75" thickTop="1" x14ac:dyDescent="0.25">
      <c r="B191" s="55"/>
      <c r="C191" s="50"/>
      <c r="D191" s="164"/>
      <c r="E191" s="164"/>
      <c r="F191" s="164"/>
      <c r="G191" s="164"/>
      <c r="H191" s="191"/>
      <c r="I191" s="191"/>
      <c r="J191" s="191"/>
      <c r="K191" s="191"/>
      <c r="L191" s="191"/>
      <c r="M191" s="191"/>
      <c r="N191" s="191"/>
      <c r="O191" s="191"/>
      <c r="P191" s="191"/>
      <c r="Q191" s="191"/>
    </row>
    <row r="192" spans="2:17" x14ac:dyDescent="0.25">
      <c r="B192" s="56"/>
      <c r="C192" s="51"/>
      <c r="D192" s="163"/>
      <c r="E192" s="163"/>
      <c r="F192" s="163"/>
      <c r="G192" s="163"/>
      <c r="H192" s="190"/>
      <c r="I192" s="190"/>
      <c r="J192" s="190"/>
      <c r="K192" s="190"/>
      <c r="L192" s="190"/>
      <c r="M192" s="190"/>
      <c r="N192" s="190"/>
      <c r="O192" s="190"/>
      <c r="P192" s="190"/>
      <c r="Q192" s="190"/>
    </row>
    <row r="193" spans="2:17" ht="15.75" x14ac:dyDescent="0.25">
      <c r="B193" s="246" t="s">
        <v>277</v>
      </c>
      <c r="C193" s="246"/>
      <c r="D193" s="246"/>
      <c r="E193" s="246"/>
      <c r="F193" s="246"/>
      <c r="G193" s="246"/>
      <c r="H193" s="246"/>
      <c r="I193" s="246"/>
      <c r="J193" s="246"/>
      <c r="K193" s="246"/>
      <c r="L193" s="246"/>
      <c r="M193" s="246"/>
      <c r="N193" s="246"/>
      <c r="O193" s="246"/>
      <c r="P193" s="246"/>
      <c r="Q193" s="246"/>
    </row>
    <row r="194" spans="2:17" x14ac:dyDescent="0.25">
      <c r="B194" s="56"/>
      <c r="C194" s="51"/>
      <c r="D194" s="51"/>
      <c r="E194" s="51"/>
      <c r="F194" s="51"/>
      <c r="G194" s="51"/>
      <c r="H194" s="19"/>
      <c r="I194" s="19"/>
      <c r="J194" s="19"/>
      <c r="K194" s="19"/>
      <c r="L194" s="19"/>
      <c r="M194" s="19"/>
      <c r="N194" s="19"/>
      <c r="O194" s="19"/>
      <c r="P194" s="19"/>
      <c r="Q194" s="19"/>
    </row>
    <row r="195" spans="2:17" x14ac:dyDescent="0.25">
      <c r="B195" s="55" t="s">
        <v>131</v>
      </c>
      <c r="C195" s="51"/>
      <c r="D195" s="51"/>
      <c r="E195" s="51"/>
      <c r="F195" s="51"/>
      <c r="G195" s="51"/>
      <c r="H195" s="19"/>
      <c r="I195" s="19"/>
      <c r="J195" s="19"/>
      <c r="K195" s="19"/>
      <c r="L195" s="19"/>
      <c r="M195" s="19"/>
      <c r="N195" s="19"/>
      <c r="O195" s="19"/>
      <c r="P195" s="19"/>
      <c r="Q195" s="19"/>
    </row>
    <row r="196" spans="2:17" x14ac:dyDescent="0.25">
      <c r="B196" s="55" t="s">
        <v>132</v>
      </c>
      <c r="C196" s="51"/>
      <c r="D196" s="51"/>
      <c r="E196" s="51"/>
      <c r="F196" s="51"/>
      <c r="G196" s="51"/>
      <c r="H196" s="19"/>
      <c r="I196" s="19"/>
      <c r="J196" s="19"/>
      <c r="K196" s="19"/>
      <c r="L196" s="19"/>
      <c r="M196" s="19"/>
      <c r="N196" s="19"/>
      <c r="O196" s="19"/>
      <c r="P196" s="19"/>
      <c r="Q196" s="19"/>
    </row>
    <row r="197" spans="2:17" x14ac:dyDescent="0.25">
      <c r="B197" s="55" t="s">
        <v>113</v>
      </c>
      <c r="C197" s="50">
        <v>94.88</v>
      </c>
      <c r="D197" s="50">
        <v>99.68</v>
      </c>
      <c r="E197" s="50">
        <v>99.68</v>
      </c>
      <c r="F197" s="50">
        <v>114.57</v>
      </c>
      <c r="G197" s="50">
        <v>114.57</v>
      </c>
      <c r="H197" s="33">
        <f>G203</f>
        <v>117.8</v>
      </c>
      <c r="I197" s="33">
        <f t="shared" ref="I197:J197" si="348">H203</f>
        <v>121.04615</v>
      </c>
      <c r="J197" s="33">
        <f t="shared" si="348"/>
        <v>124.30853075</v>
      </c>
      <c r="K197" s="33">
        <f>J203</f>
        <v>127.58722340375</v>
      </c>
      <c r="L197" s="33">
        <f t="shared" ref="L197:Q197" si="349">K203</f>
        <v>130.88230952076876</v>
      </c>
      <c r="M197" s="33">
        <f t="shared" si="349"/>
        <v>134.1938710683726</v>
      </c>
      <c r="N197" s="33">
        <f t="shared" si="349"/>
        <v>137.52199042371447</v>
      </c>
      <c r="O197" s="33">
        <f t="shared" si="349"/>
        <v>140.86675037583305</v>
      </c>
      <c r="P197" s="33">
        <f t="shared" si="349"/>
        <v>144.2282341277122</v>
      </c>
      <c r="Q197" s="33">
        <f t="shared" si="349"/>
        <v>147.60652529835076</v>
      </c>
    </row>
    <row r="198" spans="2:17" x14ac:dyDescent="0.25">
      <c r="B198" s="56" t="s">
        <v>114</v>
      </c>
      <c r="C198" s="51">
        <v>4.8</v>
      </c>
      <c r="D198" s="51">
        <v>0</v>
      </c>
      <c r="E198" s="51">
        <v>0</v>
      </c>
      <c r="F198" s="51">
        <v>0</v>
      </c>
      <c r="G198" s="51">
        <v>3.23</v>
      </c>
      <c r="H198" s="19">
        <f>G198*(1+0.5%)</f>
        <v>3.2461499999999996</v>
      </c>
      <c r="I198" s="19">
        <f t="shared" ref="I198:Q198" si="350">H198*(1+0.5%)</f>
        <v>3.2623807499999993</v>
      </c>
      <c r="J198" s="19">
        <f t="shared" si="350"/>
        <v>3.278692653749999</v>
      </c>
      <c r="K198" s="19">
        <f t="shared" si="350"/>
        <v>3.2950861170187484</v>
      </c>
      <c r="L198" s="19">
        <f t="shared" si="350"/>
        <v>3.311561547603842</v>
      </c>
      <c r="M198" s="19">
        <f t="shared" si="350"/>
        <v>3.3281193553418609</v>
      </c>
      <c r="N198" s="19">
        <f t="shared" si="350"/>
        <v>3.34475995211857</v>
      </c>
      <c r="O198" s="19">
        <f t="shared" si="350"/>
        <v>3.3614837518791627</v>
      </c>
      <c r="P198" s="19">
        <f t="shared" si="350"/>
        <v>3.3782911706385583</v>
      </c>
      <c r="Q198" s="19">
        <f t="shared" si="350"/>
        <v>3.3951826264917506</v>
      </c>
    </row>
    <row r="199" spans="2:17" x14ac:dyDescent="0.25">
      <c r="B199" s="56" t="s">
        <v>135</v>
      </c>
      <c r="C199" s="51">
        <v>0</v>
      </c>
      <c r="D199" s="51">
        <v>0</v>
      </c>
      <c r="E199" s="51">
        <v>0</v>
      </c>
      <c r="F199" s="51">
        <v>0</v>
      </c>
      <c r="G199" s="51">
        <v>0</v>
      </c>
      <c r="H199" s="19">
        <f t="shared" ref="H199:Q199" si="351">G199*(1+0.5%)</f>
        <v>0</v>
      </c>
      <c r="I199" s="19">
        <f t="shared" si="351"/>
        <v>0</v>
      </c>
      <c r="J199" s="19">
        <f t="shared" si="351"/>
        <v>0</v>
      </c>
      <c r="K199" s="19">
        <f t="shared" si="351"/>
        <v>0</v>
      </c>
      <c r="L199" s="19">
        <f t="shared" si="351"/>
        <v>0</v>
      </c>
      <c r="M199" s="19">
        <f t="shared" si="351"/>
        <v>0</v>
      </c>
      <c r="N199" s="19">
        <f t="shared" si="351"/>
        <v>0</v>
      </c>
      <c r="O199" s="19">
        <f t="shared" si="351"/>
        <v>0</v>
      </c>
      <c r="P199" s="19">
        <f t="shared" si="351"/>
        <v>0</v>
      </c>
      <c r="Q199" s="19">
        <f t="shared" si="351"/>
        <v>0</v>
      </c>
    </row>
    <row r="200" spans="2:17" x14ac:dyDescent="0.25">
      <c r="B200" s="56" t="s">
        <v>115</v>
      </c>
      <c r="C200" s="51">
        <v>0</v>
      </c>
      <c r="D200" s="51">
        <v>0</v>
      </c>
      <c r="E200" s="51">
        <v>14.89</v>
      </c>
      <c r="F200" s="51">
        <v>0</v>
      </c>
      <c r="G200" s="51">
        <v>0</v>
      </c>
      <c r="H200" s="19">
        <f t="shared" ref="H200:Q200" si="352">G200*(1+0.5%)</f>
        <v>0</v>
      </c>
      <c r="I200" s="19">
        <f t="shared" si="352"/>
        <v>0</v>
      </c>
      <c r="J200" s="19">
        <f t="shared" si="352"/>
        <v>0</v>
      </c>
      <c r="K200" s="19">
        <f t="shared" si="352"/>
        <v>0</v>
      </c>
      <c r="L200" s="19">
        <f t="shared" si="352"/>
        <v>0</v>
      </c>
      <c r="M200" s="19">
        <f t="shared" si="352"/>
        <v>0</v>
      </c>
      <c r="N200" s="19">
        <f t="shared" si="352"/>
        <v>0</v>
      </c>
      <c r="O200" s="19">
        <f t="shared" si="352"/>
        <v>0</v>
      </c>
      <c r="P200" s="19">
        <f t="shared" si="352"/>
        <v>0</v>
      </c>
      <c r="Q200" s="19">
        <f t="shared" si="352"/>
        <v>0</v>
      </c>
    </row>
    <row r="201" spans="2:17" x14ac:dyDescent="0.25">
      <c r="B201" s="56" t="s">
        <v>136</v>
      </c>
      <c r="C201" s="51">
        <v>0</v>
      </c>
      <c r="D201" s="51">
        <v>0</v>
      </c>
      <c r="E201" s="51">
        <v>0</v>
      </c>
      <c r="F201" s="51">
        <v>0</v>
      </c>
      <c r="G201" s="51">
        <v>0</v>
      </c>
      <c r="H201" s="19">
        <f t="shared" ref="H201:Q201" si="353">G201*(1+0.5%)</f>
        <v>0</v>
      </c>
      <c r="I201" s="19">
        <f t="shared" si="353"/>
        <v>0</v>
      </c>
      <c r="J201" s="19">
        <f t="shared" si="353"/>
        <v>0</v>
      </c>
      <c r="K201" s="19">
        <f t="shared" si="353"/>
        <v>0</v>
      </c>
      <c r="L201" s="19">
        <f t="shared" si="353"/>
        <v>0</v>
      </c>
      <c r="M201" s="19">
        <f t="shared" si="353"/>
        <v>0</v>
      </c>
      <c r="N201" s="19">
        <f t="shared" si="353"/>
        <v>0</v>
      </c>
      <c r="O201" s="19">
        <f t="shared" si="353"/>
        <v>0</v>
      </c>
      <c r="P201" s="19">
        <f t="shared" si="353"/>
        <v>0</v>
      </c>
      <c r="Q201" s="19">
        <f t="shared" si="353"/>
        <v>0</v>
      </c>
    </row>
    <row r="202" spans="2:17" x14ac:dyDescent="0.25">
      <c r="B202" s="56" t="s">
        <v>117</v>
      </c>
      <c r="C202" s="51">
        <v>0</v>
      </c>
      <c r="D202" s="51">
        <v>0</v>
      </c>
      <c r="E202" s="51">
        <v>0</v>
      </c>
      <c r="F202" s="51">
        <v>0</v>
      </c>
      <c r="G202" s="51">
        <v>0</v>
      </c>
      <c r="H202" s="19">
        <f t="shared" ref="H202:Q202" si="354">G202*(1+0.5%)</f>
        <v>0</v>
      </c>
      <c r="I202" s="19">
        <f t="shared" si="354"/>
        <v>0</v>
      </c>
      <c r="J202" s="19">
        <f t="shared" si="354"/>
        <v>0</v>
      </c>
      <c r="K202" s="19">
        <f t="shared" si="354"/>
        <v>0</v>
      </c>
      <c r="L202" s="19">
        <f t="shared" si="354"/>
        <v>0</v>
      </c>
      <c r="M202" s="19">
        <f t="shared" si="354"/>
        <v>0</v>
      </c>
      <c r="N202" s="19">
        <f t="shared" si="354"/>
        <v>0</v>
      </c>
      <c r="O202" s="19">
        <f t="shared" si="354"/>
        <v>0</v>
      </c>
      <c r="P202" s="19">
        <f t="shared" si="354"/>
        <v>0</v>
      </c>
      <c r="Q202" s="19">
        <f t="shared" si="354"/>
        <v>0</v>
      </c>
    </row>
    <row r="203" spans="2:17" x14ac:dyDescent="0.25">
      <c r="B203" s="55" t="s">
        <v>118</v>
      </c>
      <c r="C203" s="50">
        <f t="shared" ref="C203:H203" si="355">SUM(C197:C202)</f>
        <v>99.679999999999993</v>
      </c>
      <c r="D203" s="50">
        <f t="shared" si="355"/>
        <v>99.68</v>
      </c>
      <c r="E203" s="50">
        <f t="shared" si="355"/>
        <v>114.57000000000001</v>
      </c>
      <c r="F203" s="50">
        <f t="shared" si="355"/>
        <v>114.57</v>
      </c>
      <c r="G203" s="50">
        <f t="shared" si="355"/>
        <v>117.8</v>
      </c>
      <c r="H203" s="33">
        <f t="shared" si="355"/>
        <v>121.04615</v>
      </c>
      <c r="I203" s="33">
        <f t="shared" ref="I203" si="356">SUM(I197:I202)</f>
        <v>124.30853075</v>
      </c>
      <c r="J203" s="33">
        <f t="shared" ref="J203" si="357">SUM(J197:J202)</f>
        <v>127.58722340375</v>
      </c>
      <c r="K203" s="33">
        <f t="shared" ref="K203" si="358">SUM(K197:K202)</f>
        <v>130.88230952076876</v>
      </c>
      <c r="L203" s="33">
        <f t="shared" ref="L203" si="359">SUM(L197:L202)</f>
        <v>134.1938710683726</v>
      </c>
      <c r="M203" s="33">
        <f t="shared" ref="M203" si="360">SUM(M197:M202)</f>
        <v>137.52199042371447</v>
      </c>
      <c r="N203" s="33">
        <f t="shared" ref="N203" si="361">SUM(N197:N202)</f>
        <v>140.86675037583305</v>
      </c>
      <c r="O203" s="33">
        <f t="shared" ref="O203" si="362">SUM(O197:O202)</f>
        <v>144.2282341277122</v>
      </c>
      <c r="P203" s="33">
        <f t="shared" ref="P203" si="363">SUM(P197:P202)</f>
        <v>147.60652529835076</v>
      </c>
      <c r="Q203" s="33">
        <f t="shared" ref="Q203" si="364">SUM(Q197:Q202)</f>
        <v>151.00170792484252</v>
      </c>
    </row>
    <row r="204" spans="2:17" x14ac:dyDescent="0.25">
      <c r="B204" s="56" t="s">
        <v>120</v>
      </c>
      <c r="C204" s="51">
        <v>53.29</v>
      </c>
      <c r="D204" s="51">
        <v>70.33</v>
      </c>
      <c r="E204" s="51">
        <v>88.76</v>
      </c>
      <c r="F204" s="51">
        <v>105.08</v>
      </c>
      <c r="G204" s="51">
        <v>110.52</v>
      </c>
      <c r="H204" s="19">
        <f>SUM(G204:G208)</f>
        <v>112.71</v>
      </c>
      <c r="I204" s="19">
        <f t="shared" ref="I204:Q204" si="365">SUM(H204:H208)</f>
        <v>114.91095</v>
      </c>
      <c r="J204" s="19">
        <f t="shared" si="365"/>
        <v>117.12290475</v>
      </c>
      <c r="K204" s="19">
        <f t="shared" si="365"/>
        <v>119.34591927375001</v>
      </c>
      <c r="L204" s="19">
        <f t="shared" si="365"/>
        <v>121.58004887011876</v>
      </c>
      <c r="M204" s="19">
        <f t="shared" si="365"/>
        <v>123.82534911446935</v>
      </c>
      <c r="N204" s="19">
        <f t="shared" si="365"/>
        <v>126.08187586004169</v>
      </c>
      <c r="O204" s="19">
        <f t="shared" si="365"/>
        <v>128.34968523934191</v>
      </c>
      <c r="P204" s="19">
        <f t="shared" si="365"/>
        <v>130.62883366553862</v>
      </c>
      <c r="Q204" s="19">
        <f t="shared" si="365"/>
        <v>132.91937783386632</v>
      </c>
    </row>
    <row r="205" spans="2:17" x14ac:dyDescent="0.25">
      <c r="B205" s="56" t="s">
        <v>121</v>
      </c>
      <c r="C205" s="51">
        <v>17.04</v>
      </c>
      <c r="D205" s="51">
        <v>18.489999999999998</v>
      </c>
      <c r="E205" s="51">
        <v>16.52</v>
      </c>
      <c r="F205" s="51">
        <v>5.44</v>
      </c>
      <c r="G205" s="51">
        <v>2.17</v>
      </c>
      <c r="H205" s="19">
        <f t="shared" ref="H205:Q205" si="366">G205*(1+0.5%)</f>
        <v>2.1808499999999995</v>
      </c>
      <c r="I205" s="19">
        <f t="shared" si="366"/>
        <v>2.1917542499999993</v>
      </c>
      <c r="J205" s="19">
        <f t="shared" si="366"/>
        <v>2.2027130212499992</v>
      </c>
      <c r="K205" s="19">
        <f t="shared" si="366"/>
        <v>2.2137265863562492</v>
      </c>
      <c r="L205" s="19">
        <f t="shared" si="366"/>
        <v>2.2247952192880303</v>
      </c>
      <c r="M205" s="19">
        <f t="shared" si="366"/>
        <v>2.2359191953844704</v>
      </c>
      <c r="N205" s="19">
        <f t="shared" si="366"/>
        <v>2.2470987913613927</v>
      </c>
      <c r="O205" s="19">
        <f t="shared" si="366"/>
        <v>2.2583342853181994</v>
      </c>
      <c r="P205" s="19">
        <f t="shared" si="366"/>
        <v>2.2696259567447901</v>
      </c>
      <c r="Q205" s="19">
        <f t="shared" si="366"/>
        <v>2.2809740865285137</v>
      </c>
    </row>
    <row r="206" spans="2:17" x14ac:dyDescent="0.25">
      <c r="B206" s="56" t="s">
        <v>115</v>
      </c>
      <c r="C206" s="51">
        <v>0</v>
      </c>
      <c r="D206" s="51">
        <v>0</v>
      </c>
      <c r="E206" s="51">
        <v>-0.2</v>
      </c>
      <c r="F206" s="51">
        <v>0</v>
      </c>
      <c r="G206" s="51">
        <v>0.02</v>
      </c>
      <c r="H206" s="19">
        <f t="shared" ref="H206:Q206" si="367">G206*(1+0.5%)</f>
        <v>2.01E-2</v>
      </c>
      <c r="I206" s="19">
        <f t="shared" si="367"/>
        <v>2.0200499999999996E-2</v>
      </c>
      <c r="J206" s="19">
        <f t="shared" si="367"/>
        <v>2.0301502499999995E-2</v>
      </c>
      <c r="K206" s="19">
        <f t="shared" si="367"/>
        <v>2.0403010012499993E-2</v>
      </c>
      <c r="L206" s="19">
        <f t="shared" si="367"/>
        <v>2.050502506256249E-2</v>
      </c>
      <c r="M206" s="19">
        <f t="shared" si="367"/>
        <v>2.0607550187875301E-2</v>
      </c>
      <c r="N206" s="19">
        <f t="shared" si="367"/>
        <v>2.0710587938814674E-2</v>
      </c>
      <c r="O206" s="19">
        <f t="shared" si="367"/>
        <v>2.0814140878508747E-2</v>
      </c>
      <c r="P206" s="19">
        <f t="shared" si="367"/>
        <v>2.0918211582901289E-2</v>
      </c>
      <c r="Q206" s="19">
        <f t="shared" si="367"/>
        <v>2.1022802640815793E-2</v>
      </c>
    </row>
    <row r="207" spans="2:17" x14ac:dyDescent="0.25">
      <c r="B207" s="56" t="s">
        <v>117</v>
      </c>
      <c r="C207" s="51">
        <v>0</v>
      </c>
      <c r="D207" s="51">
        <v>0.06</v>
      </c>
      <c r="E207" s="51">
        <v>0</v>
      </c>
      <c r="F207" s="51">
        <v>0</v>
      </c>
      <c r="G207" s="51">
        <v>0</v>
      </c>
      <c r="H207" s="19">
        <f t="shared" ref="H207:Q207" si="368">G207*(1+0.5%)</f>
        <v>0</v>
      </c>
      <c r="I207" s="19">
        <f t="shared" si="368"/>
        <v>0</v>
      </c>
      <c r="J207" s="19">
        <f t="shared" si="368"/>
        <v>0</v>
      </c>
      <c r="K207" s="19">
        <f t="shared" si="368"/>
        <v>0</v>
      </c>
      <c r="L207" s="19">
        <f t="shared" si="368"/>
        <v>0</v>
      </c>
      <c r="M207" s="19">
        <f t="shared" si="368"/>
        <v>0</v>
      </c>
      <c r="N207" s="19">
        <f t="shared" si="368"/>
        <v>0</v>
      </c>
      <c r="O207" s="19">
        <f t="shared" si="368"/>
        <v>0</v>
      </c>
      <c r="P207" s="19">
        <f t="shared" si="368"/>
        <v>0</v>
      </c>
      <c r="Q207" s="19">
        <f t="shared" si="368"/>
        <v>0</v>
      </c>
    </row>
    <row r="208" spans="2:17" x14ac:dyDescent="0.25">
      <c r="B208" s="56" t="s">
        <v>136</v>
      </c>
      <c r="C208" s="51">
        <v>0</v>
      </c>
      <c r="D208" s="51">
        <v>0</v>
      </c>
      <c r="E208" s="51">
        <v>0</v>
      </c>
      <c r="F208" s="51">
        <v>0</v>
      </c>
      <c r="G208" s="51">
        <v>0</v>
      </c>
      <c r="H208" s="19">
        <f t="shared" ref="H208:Q208" si="369">G208*(1+0.5%)</f>
        <v>0</v>
      </c>
      <c r="I208" s="19">
        <f t="shared" si="369"/>
        <v>0</v>
      </c>
      <c r="J208" s="19">
        <f t="shared" si="369"/>
        <v>0</v>
      </c>
      <c r="K208" s="19">
        <f t="shared" si="369"/>
        <v>0</v>
      </c>
      <c r="L208" s="19">
        <f t="shared" si="369"/>
        <v>0</v>
      </c>
      <c r="M208" s="19">
        <f t="shared" si="369"/>
        <v>0</v>
      </c>
      <c r="N208" s="19">
        <f t="shared" si="369"/>
        <v>0</v>
      </c>
      <c r="O208" s="19">
        <f t="shared" si="369"/>
        <v>0</v>
      </c>
      <c r="P208" s="19">
        <f t="shared" si="369"/>
        <v>0</v>
      </c>
      <c r="Q208" s="19">
        <f t="shared" si="369"/>
        <v>0</v>
      </c>
    </row>
    <row r="209" spans="2:17" ht="15.75" thickBot="1" x14ac:dyDescent="0.3">
      <c r="B209" s="55" t="s">
        <v>122</v>
      </c>
      <c r="C209" s="53">
        <f>C203-SUM(C204:C208)</f>
        <v>29.349999999999994</v>
      </c>
      <c r="D209" s="53">
        <f>D203-SUM(D204:D208)</f>
        <v>10.800000000000011</v>
      </c>
      <c r="E209" s="53">
        <f>E203-SUM(E204:E208)</f>
        <v>9.4900000000000091</v>
      </c>
      <c r="F209" s="53">
        <f>F203-SUM(F204:F208)</f>
        <v>4.0499999999999972</v>
      </c>
      <c r="G209" s="53">
        <f>G203-SUM(G204:G208)</f>
        <v>5.0900000000000034</v>
      </c>
      <c r="H209" s="54">
        <f t="shared" ref="H209" si="370">H203-SUM(H204:H208)</f>
        <v>6.1351999999999975</v>
      </c>
      <c r="I209" s="54">
        <f t="shared" ref="I209" si="371">I203-SUM(I204:I208)</f>
        <v>7.1856259999999992</v>
      </c>
      <c r="J209" s="54">
        <f t="shared" ref="J209" si="372">J203-SUM(J204:J208)</f>
        <v>8.241304129999989</v>
      </c>
      <c r="K209" s="54">
        <f t="shared" ref="K209" si="373">K203-SUM(K204:K208)</f>
        <v>9.3022606506499983</v>
      </c>
      <c r="L209" s="54">
        <f t="shared" ref="L209" si="374">L203-SUM(L204:L208)</f>
        <v>10.368521953903254</v>
      </c>
      <c r="M209" s="54">
        <f t="shared" ref="M209" si="375">M203-SUM(M204:M208)</f>
        <v>11.440114563672779</v>
      </c>
      <c r="N209" s="54">
        <f t="shared" ref="N209" si="376">N203-SUM(N204:N208)</f>
        <v>12.517065136491141</v>
      </c>
      <c r="O209" s="54">
        <f t="shared" ref="O209" si="377">O203-SUM(O204:O208)</f>
        <v>13.599400462173577</v>
      </c>
      <c r="P209" s="54">
        <f t="shared" ref="P209" si="378">P203-SUM(P204:P208)</f>
        <v>14.68714746448444</v>
      </c>
      <c r="Q209" s="54">
        <f t="shared" ref="Q209" si="379">Q203-SUM(Q204:Q208)</f>
        <v>15.780333201806855</v>
      </c>
    </row>
    <row r="210" spans="2:17" ht="15.75" thickTop="1" x14ac:dyDescent="0.25">
      <c r="B210" s="56"/>
      <c r="C210" s="51"/>
      <c r="D210" s="51"/>
      <c r="E210" s="51"/>
      <c r="F210" s="51"/>
      <c r="G210" s="51"/>
      <c r="H210" s="19"/>
      <c r="I210" s="19"/>
      <c r="J210" s="19"/>
      <c r="K210" s="19"/>
      <c r="L210" s="19"/>
      <c r="M210" s="19"/>
      <c r="N210" s="19"/>
      <c r="O210" s="19"/>
      <c r="P210" s="19"/>
      <c r="Q210" s="19"/>
    </row>
    <row r="211" spans="2:17" x14ac:dyDescent="0.25">
      <c r="B211" s="55" t="s">
        <v>133</v>
      </c>
      <c r="C211" s="51"/>
      <c r="D211" s="51"/>
      <c r="E211" s="51"/>
      <c r="F211" s="51"/>
      <c r="G211" s="51"/>
      <c r="H211" s="19"/>
      <c r="I211" s="19"/>
      <c r="J211" s="19"/>
      <c r="K211" s="19"/>
      <c r="L211" s="19"/>
      <c r="M211" s="19"/>
      <c r="N211" s="19"/>
      <c r="O211" s="19"/>
      <c r="P211" s="19"/>
      <c r="Q211" s="19"/>
    </row>
    <row r="212" spans="2:17" x14ac:dyDescent="0.25">
      <c r="B212" s="55" t="s">
        <v>113</v>
      </c>
      <c r="C212" s="50">
        <v>157.51</v>
      </c>
      <c r="D212" s="50">
        <v>180.59</v>
      </c>
      <c r="E212" s="50">
        <v>189.04</v>
      </c>
      <c r="F212" s="50">
        <v>181.75</v>
      </c>
      <c r="G212" s="50">
        <v>209.63</v>
      </c>
      <c r="H212" s="33">
        <f>G218</f>
        <v>234.22</v>
      </c>
      <c r="I212" s="33">
        <f t="shared" ref="I212:J212" si="380">H218</f>
        <v>258.93295000000001</v>
      </c>
      <c r="J212" s="33">
        <f t="shared" si="380"/>
        <v>283.76946475</v>
      </c>
      <c r="K212" s="33">
        <f>J218</f>
        <v>308.73016207375002</v>
      </c>
      <c r="L212" s="33">
        <f t="shared" ref="L212:Q212" si="381">K218</f>
        <v>333.81566288411875</v>
      </c>
      <c r="M212" s="33">
        <f t="shared" si="381"/>
        <v>359.02659119853934</v>
      </c>
      <c r="N212" s="33">
        <f t="shared" si="381"/>
        <v>384.36357415453199</v>
      </c>
      <c r="O212" s="33">
        <f t="shared" si="381"/>
        <v>409.82724202530466</v>
      </c>
      <c r="P212" s="33">
        <f t="shared" si="381"/>
        <v>435.41822823543117</v>
      </c>
      <c r="Q212" s="33">
        <f t="shared" si="381"/>
        <v>461.13716937660831</v>
      </c>
    </row>
    <row r="213" spans="2:17" x14ac:dyDescent="0.25">
      <c r="B213" s="56" t="s">
        <v>114</v>
      </c>
      <c r="C213" s="51">
        <v>20.94</v>
      </c>
      <c r="D213" s="51">
        <v>5.04</v>
      </c>
      <c r="E213" s="51">
        <v>11.57</v>
      </c>
      <c r="F213" s="51">
        <v>17.53</v>
      </c>
      <c r="G213" s="51">
        <v>22.86</v>
      </c>
      <c r="H213" s="19">
        <f t="shared" ref="H213:Q213" si="382">G213*(1+0.5%)</f>
        <v>22.974299999999996</v>
      </c>
      <c r="I213" s="19">
        <f t="shared" si="382"/>
        <v>23.089171499999992</v>
      </c>
      <c r="J213" s="19">
        <f t="shared" si="382"/>
        <v>23.204617357499991</v>
      </c>
      <c r="K213" s="19">
        <f t="shared" si="382"/>
        <v>23.320640444287488</v>
      </c>
      <c r="L213" s="19">
        <f t="shared" si="382"/>
        <v>23.437243646508922</v>
      </c>
      <c r="M213" s="19">
        <f t="shared" si="382"/>
        <v>23.554429864741465</v>
      </c>
      <c r="N213" s="19">
        <f t="shared" si="382"/>
        <v>23.672202014065171</v>
      </c>
      <c r="O213" s="19">
        <f t="shared" si="382"/>
        <v>23.790563024135494</v>
      </c>
      <c r="P213" s="19">
        <f t="shared" si="382"/>
        <v>23.909515839256169</v>
      </c>
      <c r="Q213" s="19">
        <f t="shared" si="382"/>
        <v>24.029063418452449</v>
      </c>
    </row>
    <row r="214" spans="2:17" x14ac:dyDescent="0.25">
      <c r="B214" s="56" t="s">
        <v>135</v>
      </c>
      <c r="C214" s="51">
        <v>0</v>
      </c>
      <c r="D214" s="51">
        <v>2.14</v>
      </c>
      <c r="E214" s="51">
        <v>0</v>
      </c>
      <c r="F214" s="51">
        <v>5.08</v>
      </c>
      <c r="G214" s="51">
        <v>0</v>
      </c>
      <c r="H214" s="19">
        <f t="shared" ref="H214:Q214" si="383">G214*(1+0.5%)</f>
        <v>0</v>
      </c>
      <c r="I214" s="19">
        <f t="shared" si="383"/>
        <v>0</v>
      </c>
      <c r="J214" s="19">
        <f t="shared" si="383"/>
        <v>0</v>
      </c>
      <c r="K214" s="19">
        <f t="shared" si="383"/>
        <v>0</v>
      </c>
      <c r="L214" s="19">
        <f t="shared" si="383"/>
        <v>0</v>
      </c>
      <c r="M214" s="19">
        <f t="shared" si="383"/>
        <v>0</v>
      </c>
      <c r="N214" s="19">
        <f t="shared" si="383"/>
        <v>0</v>
      </c>
      <c r="O214" s="19">
        <f t="shared" si="383"/>
        <v>0</v>
      </c>
      <c r="P214" s="19">
        <f t="shared" si="383"/>
        <v>0</v>
      </c>
      <c r="Q214" s="19">
        <f t="shared" si="383"/>
        <v>0</v>
      </c>
    </row>
    <row r="215" spans="2:17" x14ac:dyDescent="0.25">
      <c r="B215" s="56" t="s">
        <v>115</v>
      </c>
      <c r="C215" s="51">
        <v>2.14</v>
      </c>
      <c r="D215" s="51">
        <v>1.33</v>
      </c>
      <c r="E215" s="51">
        <v>-18.12</v>
      </c>
      <c r="F215" s="51">
        <v>10.54</v>
      </c>
      <c r="G215" s="51">
        <v>1.73</v>
      </c>
      <c r="H215" s="19">
        <f t="shared" ref="H215:Q215" si="384">G215*(1+0.5%)</f>
        <v>1.7386499999999998</v>
      </c>
      <c r="I215" s="19">
        <f t="shared" si="384"/>
        <v>1.7473432499999997</v>
      </c>
      <c r="J215" s="19">
        <f t="shared" si="384"/>
        <v>1.7560799662499995</v>
      </c>
      <c r="K215" s="19">
        <f t="shared" si="384"/>
        <v>1.7648603660812494</v>
      </c>
      <c r="L215" s="19">
        <f t="shared" si="384"/>
        <v>1.7736846679116556</v>
      </c>
      <c r="M215" s="19">
        <f t="shared" si="384"/>
        <v>1.7825530912512138</v>
      </c>
      <c r="N215" s="19">
        <f t="shared" si="384"/>
        <v>1.7914658567074697</v>
      </c>
      <c r="O215" s="19">
        <f t="shared" si="384"/>
        <v>1.8004231859910069</v>
      </c>
      <c r="P215" s="19">
        <f t="shared" si="384"/>
        <v>1.8094253019209618</v>
      </c>
      <c r="Q215" s="19">
        <f t="shared" si="384"/>
        <v>1.8184724284305664</v>
      </c>
    </row>
    <row r="216" spans="2:17" x14ac:dyDescent="0.25">
      <c r="B216" s="56" t="s">
        <v>136</v>
      </c>
      <c r="C216" s="51">
        <v>0</v>
      </c>
      <c r="D216" s="51">
        <v>0</v>
      </c>
      <c r="E216" s="51">
        <v>0</v>
      </c>
      <c r="F216" s="51">
        <v>0</v>
      </c>
      <c r="G216" s="51">
        <v>0</v>
      </c>
      <c r="H216" s="19">
        <f t="shared" ref="H216:Q216" si="385">G216*(1+0.5%)</f>
        <v>0</v>
      </c>
      <c r="I216" s="19">
        <f t="shared" si="385"/>
        <v>0</v>
      </c>
      <c r="J216" s="19">
        <f t="shared" si="385"/>
        <v>0</v>
      </c>
      <c r="K216" s="19">
        <f t="shared" si="385"/>
        <v>0</v>
      </c>
      <c r="L216" s="19">
        <f t="shared" si="385"/>
        <v>0</v>
      </c>
      <c r="M216" s="19">
        <f t="shared" si="385"/>
        <v>0</v>
      </c>
      <c r="N216" s="19">
        <f t="shared" si="385"/>
        <v>0</v>
      </c>
      <c r="O216" s="19">
        <f t="shared" si="385"/>
        <v>0</v>
      </c>
      <c r="P216" s="19">
        <f t="shared" si="385"/>
        <v>0</v>
      </c>
      <c r="Q216" s="19">
        <f t="shared" si="385"/>
        <v>0</v>
      </c>
    </row>
    <row r="217" spans="2:17" x14ac:dyDescent="0.25">
      <c r="B217" s="56" t="s">
        <v>117</v>
      </c>
      <c r="C217" s="51">
        <v>0</v>
      </c>
      <c r="D217" s="51">
        <v>0.06</v>
      </c>
      <c r="E217" s="51">
        <v>-0.74</v>
      </c>
      <c r="F217" s="51">
        <v>-5.27</v>
      </c>
      <c r="G217" s="51">
        <v>0</v>
      </c>
      <c r="H217" s="19">
        <f t="shared" ref="H217:Q217" si="386">G217*(1+0.5%)</f>
        <v>0</v>
      </c>
      <c r="I217" s="19">
        <f t="shared" si="386"/>
        <v>0</v>
      </c>
      <c r="J217" s="19">
        <f t="shared" si="386"/>
        <v>0</v>
      </c>
      <c r="K217" s="19">
        <f t="shared" si="386"/>
        <v>0</v>
      </c>
      <c r="L217" s="19">
        <f t="shared" si="386"/>
        <v>0</v>
      </c>
      <c r="M217" s="19">
        <f t="shared" si="386"/>
        <v>0</v>
      </c>
      <c r="N217" s="19">
        <f t="shared" si="386"/>
        <v>0</v>
      </c>
      <c r="O217" s="19">
        <f t="shared" si="386"/>
        <v>0</v>
      </c>
      <c r="P217" s="19">
        <f t="shared" si="386"/>
        <v>0</v>
      </c>
      <c r="Q217" s="19">
        <f t="shared" si="386"/>
        <v>0</v>
      </c>
    </row>
    <row r="218" spans="2:17" x14ac:dyDescent="0.25">
      <c r="B218" s="55" t="s">
        <v>118</v>
      </c>
      <c r="C218" s="50">
        <f t="shared" ref="C218:H218" si="387">SUM(C212:C217)</f>
        <v>180.58999999999997</v>
      </c>
      <c r="D218" s="50">
        <f t="shared" si="387"/>
        <v>189.16</v>
      </c>
      <c r="E218" s="50">
        <f t="shared" si="387"/>
        <v>181.74999999999997</v>
      </c>
      <c r="F218" s="50">
        <f t="shared" si="387"/>
        <v>209.63</v>
      </c>
      <c r="G218" s="50">
        <f t="shared" si="387"/>
        <v>234.22</v>
      </c>
      <c r="H218" s="33">
        <f t="shared" si="387"/>
        <v>258.93295000000001</v>
      </c>
      <c r="I218" s="33">
        <f t="shared" ref="I218" si="388">SUM(I212:I217)</f>
        <v>283.76946475</v>
      </c>
      <c r="J218" s="33">
        <f t="shared" ref="J218" si="389">SUM(J212:J217)</f>
        <v>308.73016207375002</v>
      </c>
      <c r="K218" s="33">
        <f t="shared" ref="K218" si="390">SUM(K212:K217)</f>
        <v>333.81566288411875</v>
      </c>
      <c r="L218" s="33">
        <f t="shared" ref="L218" si="391">SUM(L212:L217)</f>
        <v>359.02659119853934</v>
      </c>
      <c r="M218" s="33">
        <f t="shared" ref="M218" si="392">SUM(M212:M217)</f>
        <v>384.36357415453199</v>
      </c>
      <c r="N218" s="33">
        <f t="shared" ref="N218" si="393">SUM(N212:N217)</f>
        <v>409.82724202530466</v>
      </c>
      <c r="O218" s="33">
        <f t="shared" ref="O218" si="394">SUM(O212:O217)</f>
        <v>435.41822823543117</v>
      </c>
      <c r="P218" s="33">
        <f t="shared" ref="P218" si="395">SUM(P212:P217)</f>
        <v>461.13716937660831</v>
      </c>
      <c r="Q218" s="33">
        <f t="shared" ref="Q218" si="396">SUM(Q212:Q217)</f>
        <v>486.98470522349129</v>
      </c>
    </row>
    <row r="219" spans="2:17" x14ac:dyDescent="0.25">
      <c r="B219" s="56" t="s">
        <v>120</v>
      </c>
      <c r="C219" s="51">
        <v>88.32</v>
      </c>
      <c r="D219" s="51">
        <v>113.28</v>
      </c>
      <c r="E219" s="51">
        <v>132.5</v>
      </c>
      <c r="F219" s="51">
        <v>153.11000000000001</v>
      </c>
      <c r="G219" s="51">
        <v>177.32</v>
      </c>
      <c r="H219" s="19">
        <f>SUM(G219:G223)</f>
        <v>192.45</v>
      </c>
      <c r="I219" s="19">
        <f t="shared" ref="I219:Q219" si="397">SUM(H219:H223)</f>
        <v>207.65565000000001</v>
      </c>
      <c r="J219" s="19">
        <f t="shared" si="397"/>
        <v>222.93732825000001</v>
      </c>
      <c r="K219" s="19">
        <f t="shared" si="397"/>
        <v>238.29541489125</v>
      </c>
      <c r="L219" s="19">
        <f t="shared" si="397"/>
        <v>253.73029196570624</v>
      </c>
      <c r="M219" s="19">
        <f t="shared" si="397"/>
        <v>269.24234342553473</v>
      </c>
      <c r="N219" s="19">
        <f t="shared" si="397"/>
        <v>284.83195514266242</v>
      </c>
      <c r="O219" s="19">
        <f t="shared" si="397"/>
        <v>300.49951491837572</v>
      </c>
      <c r="P219" s="19">
        <f t="shared" si="397"/>
        <v>316.2454124929676</v>
      </c>
      <c r="Q219" s="19">
        <f t="shared" si="397"/>
        <v>332.07003955543246</v>
      </c>
    </row>
    <row r="220" spans="2:17" x14ac:dyDescent="0.25">
      <c r="B220" s="56" t="s">
        <v>121</v>
      </c>
      <c r="C220" s="51">
        <v>23.07</v>
      </c>
      <c r="D220" s="51">
        <v>18.27</v>
      </c>
      <c r="E220" s="51">
        <v>22.26</v>
      </c>
      <c r="F220" s="51">
        <v>17.079999999999998</v>
      </c>
      <c r="G220" s="51">
        <v>14.65</v>
      </c>
      <c r="H220" s="19">
        <f t="shared" ref="H220:Q220" si="398">G220*(1+0.5%)</f>
        <v>14.723249999999998</v>
      </c>
      <c r="I220" s="19">
        <f t="shared" si="398"/>
        <v>14.796866249999997</v>
      </c>
      <c r="J220" s="19">
        <f t="shared" si="398"/>
        <v>14.870850581249996</v>
      </c>
      <c r="K220" s="19">
        <f t="shared" si="398"/>
        <v>14.945204834156245</v>
      </c>
      <c r="L220" s="19">
        <f t="shared" si="398"/>
        <v>15.019930858327024</v>
      </c>
      <c r="M220" s="19">
        <f t="shared" si="398"/>
        <v>15.095030512618658</v>
      </c>
      <c r="N220" s="19">
        <f t="shared" si="398"/>
        <v>15.17050566518175</v>
      </c>
      <c r="O220" s="19">
        <f t="shared" si="398"/>
        <v>15.246358193507657</v>
      </c>
      <c r="P220" s="19">
        <f t="shared" si="398"/>
        <v>15.322589984475194</v>
      </c>
      <c r="Q220" s="19">
        <f t="shared" si="398"/>
        <v>15.399202934397568</v>
      </c>
    </row>
    <row r="221" spans="2:17" x14ac:dyDescent="0.25">
      <c r="B221" s="56" t="s">
        <v>115</v>
      </c>
      <c r="C221" s="51">
        <v>1.89</v>
      </c>
      <c r="D221" s="51">
        <v>0.95</v>
      </c>
      <c r="E221" s="51">
        <v>-0.91</v>
      </c>
      <c r="F221" s="51">
        <v>7.32</v>
      </c>
      <c r="G221" s="51">
        <v>0.48</v>
      </c>
      <c r="H221" s="19">
        <f t="shared" ref="H221:Q221" si="399">G221*(1+0.5%)</f>
        <v>0.48239999999999994</v>
      </c>
      <c r="I221" s="19">
        <f t="shared" si="399"/>
        <v>0.48481199999999991</v>
      </c>
      <c r="J221" s="19">
        <f t="shared" si="399"/>
        <v>0.48723605999999986</v>
      </c>
      <c r="K221" s="19">
        <f t="shared" si="399"/>
        <v>0.48967224029999978</v>
      </c>
      <c r="L221" s="19">
        <f t="shared" si="399"/>
        <v>0.49212060150149972</v>
      </c>
      <c r="M221" s="19">
        <f t="shared" si="399"/>
        <v>0.49458120450900717</v>
      </c>
      <c r="N221" s="19">
        <f t="shared" si="399"/>
        <v>0.49705411053155213</v>
      </c>
      <c r="O221" s="19">
        <f t="shared" si="399"/>
        <v>0.49953938108420981</v>
      </c>
      <c r="P221" s="19">
        <f t="shared" si="399"/>
        <v>0.50203707798963082</v>
      </c>
      <c r="Q221" s="19">
        <f t="shared" si="399"/>
        <v>0.50454726337957889</v>
      </c>
    </row>
    <row r="222" spans="2:17" x14ac:dyDescent="0.25">
      <c r="B222" s="56" t="s">
        <v>117</v>
      </c>
      <c r="C222" s="51">
        <v>0</v>
      </c>
      <c r="D222" s="51">
        <v>0</v>
      </c>
      <c r="E222" s="51">
        <v>-0.74</v>
      </c>
      <c r="F222" s="51">
        <v>-0.19</v>
      </c>
      <c r="G222" s="51">
        <v>0</v>
      </c>
      <c r="H222" s="19">
        <f t="shared" ref="H222:Q222" si="400">G222*(1+0.5%)</f>
        <v>0</v>
      </c>
      <c r="I222" s="19">
        <f t="shared" si="400"/>
        <v>0</v>
      </c>
      <c r="J222" s="19">
        <f t="shared" si="400"/>
        <v>0</v>
      </c>
      <c r="K222" s="19">
        <f t="shared" si="400"/>
        <v>0</v>
      </c>
      <c r="L222" s="19">
        <f t="shared" si="400"/>
        <v>0</v>
      </c>
      <c r="M222" s="19">
        <f t="shared" si="400"/>
        <v>0</v>
      </c>
      <c r="N222" s="19">
        <f t="shared" si="400"/>
        <v>0</v>
      </c>
      <c r="O222" s="19">
        <f t="shared" si="400"/>
        <v>0</v>
      </c>
      <c r="P222" s="19">
        <f t="shared" si="400"/>
        <v>0</v>
      </c>
      <c r="Q222" s="19">
        <f t="shared" si="400"/>
        <v>0</v>
      </c>
    </row>
    <row r="223" spans="2:17" x14ac:dyDescent="0.25">
      <c r="B223" s="56" t="s">
        <v>136</v>
      </c>
      <c r="C223" s="51">
        <v>0</v>
      </c>
      <c r="D223" s="51">
        <v>0</v>
      </c>
      <c r="E223" s="51">
        <v>0</v>
      </c>
      <c r="F223" s="51">
        <v>0</v>
      </c>
      <c r="G223" s="51">
        <v>0</v>
      </c>
      <c r="H223" s="19">
        <f t="shared" ref="H223:Q223" si="401">G223*(1+0.5%)</f>
        <v>0</v>
      </c>
      <c r="I223" s="19">
        <f t="shared" si="401"/>
        <v>0</v>
      </c>
      <c r="J223" s="19">
        <f t="shared" si="401"/>
        <v>0</v>
      </c>
      <c r="K223" s="19">
        <f t="shared" si="401"/>
        <v>0</v>
      </c>
      <c r="L223" s="19">
        <f t="shared" si="401"/>
        <v>0</v>
      </c>
      <c r="M223" s="19">
        <f t="shared" si="401"/>
        <v>0</v>
      </c>
      <c r="N223" s="19">
        <f t="shared" si="401"/>
        <v>0</v>
      </c>
      <c r="O223" s="19">
        <f t="shared" si="401"/>
        <v>0</v>
      </c>
      <c r="P223" s="19">
        <f t="shared" si="401"/>
        <v>0</v>
      </c>
      <c r="Q223" s="19">
        <f t="shared" si="401"/>
        <v>0</v>
      </c>
    </row>
    <row r="224" spans="2:17" ht="15.75" thickBot="1" x14ac:dyDescent="0.3">
      <c r="B224" s="55" t="s">
        <v>122</v>
      </c>
      <c r="C224" s="53">
        <f>C218-SUM(C219:C223)</f>
        <v>67.309999999999988</v>
      </c>
      <c r="D224" s="53">
        <f>D218-SUM(D219:D223)</f>
        <v>56.66</v>
      </c>
      <c r="E224" s="53">
        <f>E218-SUM(E219:E223)</f>
        <v>28.639999999999986</v>
      </c>
      <c r="F224" s="53">
        <f>F218-SUM(F219:F223)</f>
        <v>32.31</v>
      </c>
      <c r="G224" s="53">
        <f>G218-SUM(G219:G223)</f>
        <v>41.77000000000001</v>
      </c>
      <c r="H224" s="54">
        <f t="shared" ref="H224" si="402">H218-SUM(H219:H223)</f>
        <v>51.277299999999997</v>
      </c>
      <c r="I224" s="54">
        <f t="shared" ref="I224" si="403">I218-SUM(I219:I223)</f>
        <v>60.83213649999999</v>
      </c>
      <c r="J224" s="54">
        <f t="shared" ref="J224" si="404">J218-SUM(J219:J223)</f>
        <v>70.434747182500018</v>
      </c>
      <c r="K224" s="54">
        <f t="shared" ref="K224" si="405">K218-SUM(K219:K223)</f>
        <v>80.085370918412508</v>
      </c>
      <c r="L224" s="54">
        <f t="shared" ref="L224" si="406">L218-SUM(L219:L223)</f>
        <v>89.784247773004608</v>
      </c>
      <c r="M224" s="54">
        <f t="shared" ref="M224" si="407">M218-SUM(M219:M223)</f>
        <v>99.531619011869566</v>
      </c>
      <c r="N224" s="54">
        <f t="shared" ref="N224" si="408">N218-SUM(N219:N223)</f>
        <v>109.32772710692893</v>
      </c>
      <c r="O224" s="54">
        <f t="shared" ref="O224" si="409">O218-SUM(O219:O223)</f>
        <v>119.17281574246357</v>
      </c>
      <c r="P224" s="54">
        <f t="shared" ref="P224" si="410">P218-SUM(P219:P223)</f>
        <v>129.06712982117585</v>
      </c>
      <c r="Q224" s="54">
        <f t="shared" ref="Q224" si="411">Q218-SUM(Q219:Q223)</f>
        <v>139.01091547028165</v>
      </c>
    </row>
    <row r="225" spans="2:17" ht="15.75" thickTop="1" x14ac:dyDescent="0.25">
      <c r="B225" s="56"/>
      <c r="C225" s="51"/>
      <c r="D225" s="51"/>
      <c r="E225" s="51"/>
      <c r="F225" s="51"/>
      <c r="G225" s="51"/>
      <c r="H225" s="19"/>
      <c r="I225" s="19"/>
      <c r="J225" s="19"/>
      <c r="K225" s="19"/>
      <c r="L225" s="19"/>
      <c r="M225" s="19"/>
      <c r="N225" s="19"/>
      <c r="O225" s="19"/>
      <c r="P225" s="19"/>
      <c r="Q225" s="19"/>
    </row>
    <row r="226" spans="2:17" x14ac:dyDescent="0.25">
      <c r="B226" s="55" t="s">
        <v>134</v>
      </c>
      <c r="C226" s="51"/>
      <c r="D226" s="51"/>
      <c r="E226" s="51"/>
      <c r="F226" s="51"/>
      <c r="G226" s="51"/>
      <c r="H226" s="19"/>
      <c r="I226" s="19"/>
      <c r="J226" s="19"/>
      <c r="K226" s="19"/>
      <c r="L226" s="19"/>
      <c r="M226" s="19"/>
      <c r="N226" s="19"/>
      <c r="O226" s="19"/>
      <c r="P226" s="19"/>
      <c r="Q226" s="19"/>
    </row>
    <row r="227" spans="2:17" x14ac:dyDescent="0.25">
      <c r="B227" s="55" t="s">
        <v>132</v>
      </c>
      <c r="C227" s="51"/>
      <c r="D227" s="51"/>
      <c r="E227" s="51"/>
      <c r="F227" s="51"/>
      <c r="G227" s="51"/>
      <c r="H227" s="19"/>
      <c r="I227" s="19"/>
      <c r="J227" s="19"/>
      <c r="K227" s="19"/>
      <c r="L227" s="19"/>
      <c r="M227" s="19"/>
      <c r="N227" s="19"/>
      <c r="O227" s="19"/>
      <c r="P227" s="19"/>
      <c r="Q227" s="19"/>
    </row>
    <row r="228" spans="2:17" x14ac:dyDescent="0.25">
      <c r="B228" s="55" t="s">
        <v>113</v>
      </c>
      <c r="C228" s="50">
        <v>484.18</v>
      </c>
      <c r="D228" s="50">
        <v>1327</v>
      </c>
      <c r="E228" s="50">
        <v>1588.33</v>
      </c>
      <c r="F228" s="50">
        <v>1649.82</v>
      </c>
      <c r="G228" s="50">
        <v>1821.44</v>
      </c>
      <c r="H228" s="33">
        <f>G234</f>
        <v>1925.83</v>
      </c>
      <c r="I228" s="33">
        <f t="shared" ref="I228:J228" si="412">H234</f>
        <v>2030.7419499999999</v>
      </c>
      <c r="J228" s="33">
        <f t="shared" si="412"/>
        <v>2136.17845975</v>
      </c>
      <c r="K228" s="33">
        <f>J234</f>
        <v>2242.1421520487502</v>
      </c>
      <c r="L228" s="33">
        <f t="shared" ref="L228:Q228" si="413">K234</f>
        <v>2348.6356628089939</v>
      </c>
      <c r="M228" s="33">
        <f t="shared" si="413"/>
        <v>2455.6616411230389</v>
      </c>
      <c r="N228" s="33">
        <f t="shared" si="413"/>
        <v>2563.2227493286541</v>
      </c>
      <c r="O228" s="33">
        <f t="shared" si="413"/>
        <v>2671.3216630752972</v>
      </c>
      <c r="P228" s="33">
        <f t="shared" si="413"/>
        <v>2779.9610713906736</v>
      </c>
      <c r="Q228" s="33">
        <f t="shared" si="413"/>
        <v>2889.1436767476271</v>
      </c>
    </row>
    <row r="229" spans="2:17" x14ac:dyDescent="0.25">
      <c r="B229" s="56" t="s">
        <v>114</v>
      </c>
      <c r="C229" s="51">
        <v>688.25</v>
      </c>
      <c r="D229" s="51">
        <v>250.96</v>
      </c>
      <c r="E229" s="51">
        <v>115.62</v>
      </c>
      <c r="F229" s="51">
        <v>159.36000000000001</v>
      </c>
      <c r="G229" s="51">
        <v>80.87</v>
      </c>
      <c r="H229" s="19">
        <f t="shared" ref="H229:Q229" si="414">G229*(1+0.5%)</f>
        <v>81.274349999999998</v>
      </c>
      <c r="I229" s="19">
        <f t="shared" si="414"/>
        <v>81.680721749999989</v>
      </c>
      <c r="J229" s="19">
        <f t="shared" si="414"/>
        <v>82.089125358749982</v>
      </c>
      <c r="K229" s="19">
        <f t="shared" si="414"/>
        <v>82.499570985543727</v>
      </c>
      <c r="L229" s="19">
        <f t="shared" si="414"/>
        <v>82.912068840471434</v>
      </c>
      <c r="M229" s="19">
        <f t="shared" si="414"/>
        <v>83.326629184673777</v>
      </c>
      <c r="N229" s="19">
        <f t="shared" si="414"/>
        <v>83.743262330597133</v>
      </c>
      <c r="O229" s="19">
        <f t="shared" si="414"/>
        <v>84.161978642250105</v>
      </c>
      <c r="P229" s="19">
        <f t="shared" si="414"/>
        <v>84.582788535461347</v>
      </c>
      <c r="Q229" s="19">
        <f t="shared" si="414"/>
        <v>85.005702478138645</v>
      </c>
    </row>
    <row r="230" spans="2:17" x14ac:dyDescent="0.25">
      <c r="B230" s="56" t="s">
        <v>135</v>
      </c>
      <c r="C230" s="51">
        <v>0</v>
      </c>
      <c r="D230" s="51">
        <v>0</v>
      </c>
      <c r="E230" s="51">
        <v>0</v>
      </c>
      <c r="F230" s="51">
        <v>0</v>
      </c>
      <c r="G230" s="51">
        <v>0</v>
      </c>
      <c r="H230" s="19">
        <f t="shared" ref="H230:Q230" si="415">G230*(1+0.5%)</f>
        <v>0</v>
      </c>
      <c r="I230" s="19">
        <f t="shared" si="415"/>
        <v>0</v>
      </c>
      <c r="J230" s="19">
        <f t="shared" si="415"/>
        <v>0</v>
      </c>
      <c r="K230" s="19">
        <f t="shared" si="415"/>
        <v>0</v>
      </c>
      <c r="L230" s="19">
        <f t="shared" si="415"/>
        <v>0</v>
      </c>
      <c r="M230" s="19">
        <f t="shared" si="415"/>
        <v>0</v>
      </c>
      <c r="N230" s="19">
        <f t="shared" si="415"/>
        <v>0</v>
      </c>
      <c r="O230" s="19">
        <f t="shared" si="415"/>
        <v>0</v>
      </c>
      <c r="P230" s="19">
        <f t="shared" si="415"/>
        <v>0</v>
      </c>
      <c r="Q230" s="19">
        <f t="shared" si="415"/>
        <v>0</v>
      </c>
    </row>
    <row r="231" spans="2:17" x14ac:dyDescent="0.25">
      <c r="B231" s="56" t="s">
        <v>115</v>
      </c>
      <c r="C231" s="51">
        <v>10.77</v>
      </c>
      <c r="D231" s="51">
        <v>10.37</v>
      </c>
      <c r="E231" s="51">
        <v>-9.15</v>
      </c>
      <c r="F231" s="51">
        <v>13.02</v>
      </c>
      <c r="G231" s="51">
        <v>23.52</v>
      </c>
      <c r="H231" s="19">
        <f t="shared" ref="H231:Q231" si="416">G231*(1+0.5%)</f>
        <v>23.637599999999996</v>
      </c>
      <c r="I231" s="19">
        <f t="shared" si="416"/>
        <v>23.755787999999992</v>
      </c>
      <c r="J231" s="19">
        <f t="shared" si="416"/>
        <v>23.87456693999999</v>
      </c>
      <c r="K231" s="19">
        <f t="shared" si="416"/>
        <v>23.993939774699989</v>
      </c>
      <c r="L231" s="19">
        <f t="shared" si="416"/>
        <v>24.113909473573486</v>
      </c>
      <c r="M231" s="19">
        <f t="shared" si="416"/>
        <v>24.23447902094135</v>
      </c>
      <c r="N231" s="19">
        <f t="shared" si="416"/>
        <v>24.355651416046054</v>
      </c>
      <c r="O231" s="19">
        <f t="shared" si="416"/>
        <v>24.477429673126281</v>
      </c>
      <c r="P231" s="19">
        <f t="shared" si="416"/>
        <v>24.59981682149191</v>
      </c>
      <c r="Q231" s="19">
        <f t="shared" si="416"/>
        <v>24.722815905599365</v>
      </c>
    </row>
    <row r="232" spans="2:17" x14ac:dyDescent="0.25">
      <c r="B232" s="56" t="s">
        <v>136</v>
      </c>
      <c r="C232" s="51"/>
      <c r="D232" s="51"/>
      <c r="E232" s="51">
        <v>0</v>
      </c>
      <c r="F232" s="51">
        <v>0</v>
      </c>
      <c r="G232" s="51">
        <v>0</v>
      </c>
      <c r="H232" s="19">
        <f t="shared" ref="H232:Q232" si="417">G232*(1+0.5%)</f>
        <v>0</v>
      </c>
      <c r="I232" s="19">
        <f t="shared" si="417"/>
        <v>0</v>
      </c>
      <c r="J232" s="19">
        <f t="shared" si="417"/>
        <v>0</v>
      </c>
      <c r="K232" s="19">
        <f t="shared" si="417"/>
        <v>0</v>
      </c>
      <c r="L232" s="19">
        <f t="shared" si="417"/>
        <v>0</v>
      </c>
      <c r="M232" s="19">
        <f t="shared" si="417"/>
        <v>0</v>
      </c>
      <c r="N232" s="19">
        <f t="shared" si="417"/>
        <v>0</v>
      </c>
      <c r="O232" s="19">
        <f t="shared" si="417"/>
        <v>0</v>
      </c>
      <c r="P232" s="19">
        <f t="shared" si="417"/>
        <v>0</v>
      </c>
      <c r="Q232" s="19">
        <f t="shared" si="417"/>
        <v>0</v>
      </c>
    </row>
    <row r="233" spans="2:17" x14ac:dyDescent="0.25">
      <c r="B233" s="56" t="s">
        <v>117</v>
      </c>
      <c r="C233" s="51">
        <v>143.80000000000001</v>
      </c>
      <c r="D233" s="51">
        <v>0</v>
      </c>
      <c r="E233" s="51">
        <v>-44.98</v>
      </c>
      <c r="F233" s="51">
        <v>-0.76</v>
      </c>
      <c r="G233" s="51">
        <v>0</v>
      </c>
      <c r="H233" s="19">
        <f t="shared" ref="H233:Q233" si="418">G233*(1+0.5%)</f>
        <v>0</v>
      </c>
      <c r="I233" s="19">
        <f t="shared" si="418"/>
        <v>0</v>
      </c>
      <c r="J233" s="19">
        <f t="shared" si="418"/>
        <v>0</v>
      </c>
      <c r="K233" s="19">
        <f t="shared" si="418"/>
        <v>0</v>
      </c>
      <c r="L233" s="19">
        <f t="shared" si="418"/>
        <v>0</v>
      </c>
      <c r="M233" s="19">
        <f t="shared" si="418"/>
        <v>0</v>
      </c>
      <c r="N233" s="19">
        <f t="shared" si="418"/>
        <v>0</v>
      </c>
      <c r="O233" s="19">
        <f t="shared" si="418"/>
        <v>0</v>
      </c>
      <c r="P233" s="19">
        <f t="shared" si="418"/>
        <v>0</v>
      </c>
      <c r="Q233" s="19">
        <f t="shared" si="418"/>
        <v>0</v>
      </c>
    </row>
    <row r="234" spans="2:17" x14ac:dyDescent="0.25">
      <c r="B234" s="55" t="s">
        <v>118</v>
      </c>
      <c r="C234" s="50">
        <f t="shared" ref="C234:H234" si="419">SUM(C228:C233)</f>
        <v>1327</v>
      </c>
      <c r="D234" s="50">
        <f t="shared" si="419"/>
        <v>1588.33</v>
      </c>
      <c r="E234" s="50">
        <f t="shared" si="419"/>
        <v>1649.8199999999997</v>
      </c>
      <c r="F234" s="50">
        <f t="shared" si="419"/>
        <v>1821.4399999999998</v>
      </c>
      <c r="G234" s="50">
        <f t="shared" si="419"/>
        <v>1925.83</v>
      </c>
      <c r="H234" s="33">
        <f t="shared" si="419"/>
        <v>2030.7419499999999</v>
      </c>
      <c r="I234" s="33">
        <f t="shared" ref="I234" si="420">SUM(I228:I233)</f>
        <v>2136.17845975</v>
      </c>
      <c r="J234" s="33">
        <f t="shared" ref="J234" si="421">SUM(J228:J233)</f>
        <v>2242.1421520487502</v>
      </c>
      <c r="K234" s="33">
        <f t="shared" ref="K234" si="422">SUM(K228:K233)</f>
        <v>2348.6356628089939</v>
      </c>
      <c r="L234" s="33">
        <f t="shared" ref="L234" si="423">SUM(L228:L233)</f>
        <v>2455.6616411230389</v>
      </c>
      <c r="M234" s="33">
        <f t="shared" ref="M234" si="424">SUM(M228:M233)</f>
        <v>2563.2227493286541</v>
      </c>
      <c r="N234" s="33">
        <f t="shared" ref="N234" si="425">SUM(N228:N233)</f>
        <v>2671.3216630752972</v>
      </c>
      <c r="O234" s="33">
        <f t="shared" ref="O234" si="426">SUM(O228:O233)</f>
        <v>2779.9610713906736</v>
      </c>
      <c r="P234" s="33">
        <f t="shared" ref="P234" si="427">SUM(P228:P233)</f>
        <v>2889.1436767476271</v>
      </c>
      <c r="Q234" s="33">
        <f t="shared" ref="Q234" si="428">SUM(Q228:Q233)</f>
        <v>2998.8721951313651</v>
      </c>
    </row>
    <row r="235" spans="2:17" x14ac:dyDescent="0.25">
      <c r="B235" s="56" t="s">
        <v>120</v>
      </c>
      <c r="C235" s="51">
        <v>138.69</v>
      </c>
      <c r="D235" s="51">
        <v>343.95</v>
      </c>
      <c r="E235" s="51">
        <v>494.17</v>
      </c>
      <c r="F235" s="51">
        <v>595.95000000000005</v>
      </c>
      <c r="G235" s="51">
        <v>793.95</v>
      </c>
      <c r="H235" s="19">
        <f>SUM(G235:G239)</f>
        <v>987.44</v>
      </c>
      <c r="I235" s="19">
        <f t="shared" ref="I235:Q235" si="429">SUM(H235:H239)</f>
        <v>1181.8974499999999</v>
      </c>
      <c r="J235" s="19">
        <f t="shared" si="429"/>
        <v>1377.3271872499997</v>
      </c>
      <c r="K235" s="19">
        <f t="shared" si="429"/>
        <v>1573.7340731862496</v>
      </c>
      <c r="L235" s="19">
        <f t="shared" si="429"/>
        <v>1771.1229935521808</v>
      </c>
      <c r="M235" s="19">
        <f t="shared" si="429"/>
        <v>1969.4988585199417</v>
      </c>
      <c r="N235" s="19">
        <f t="shared" si="429"/>
        <v>2168.8666028125413</v>
      </c>
      <c r="O235" s="19">
        <f t="shared" si="429"/>
        <v>2369.2311858266039</v>
      </c>
      <c r="P235" s="19">
        <f t="shared" si="429"/>
        <v>2570.5975917557366</v>
      </c>
      <c r="Q235" s="19">
        <f t="shared" si="429"/>
        <v>2772.9708297145148</v>
      </c>
    </row>
    <row r="236" spans="2:17" x14ac:dyDescent="0.25">
      <c r="B236" s="56" t="s">
        <v>121</v>
      </c>
      <c r="C236" s="51">
        <v>111.77</v>
      </c>
      <c r="D236" s="51">
        <v>145.69</v>
      </c>
      <c r="E236" s="51">
        <v>147.79</v>
      </c>
      <c r="F236" s="51">
        <v>179.23</v>
      </c>
      <c r="G236" s="51">
        <v>178.94</v>
      </c>
      <c r="H236" s="19">
        <f t="shared" ref="H236:Q236" si="430">G236*(1+0.5%)</f>
        <v>179.83469999999997</v>
      </c>
      <c r="I236" s="19">
        <f t="shared" si="430"/>
        <v>180.73387349999996</v>
      </c>
      <c r="J236" s="19">
        <f t="shared" si="430"/>
        <v>181.63754286749995</v>
      </c>
      <c r="K236" s="19">
        <f t="shared" si="430"/>
        <v>182.54573058183743</v>
      </c>
      <c r="L236" s="19">
        <f t="shared" si="430"/>
        <v>183.45845923474661</v>
      </c>
      <c r="M236" s="19">
        <f t="shared" si="430"/>
        <v>184.37575153092033</v>
      </c>
      <c r="N236" s="19">
        <f t="shared" si="430"/>
        <v>185.29763028857491</v>
      </c>
      <c r="O236" s="19">
        <f t="shared" si="430"/>
        <v>186.22411844001778</v>
      </c>
      <c r="P236" s="19">
        <f t="shared" si="430"/>
        <v>187.15523903221785</v>
      </c>
      <c r="Q236" s="19">
        <f t="shared" si="430"/>
        <v>188.09101522737893</v>
      </c>
    </row>
    <row r="237" spans="2:17" x14ac:dyDescent="0.25">
      <c r="B237" s="56" t="s">
        <v>115</v>
      </c>
      <c r="C237" s="51">
        <v>2.4700000000000002</v>
      </c>
      <c r="D237" s="51">
        <v>4.53</v>
      </c>
      <c r="E237" s="51">
        <v>-1.1200000000000001</v>
      </c>
      <c r="F237" s="51">
        <v>6.23</v>
      </c>
      <c r="G237" s="51">
        <v>14.55</v>
      </c>
      <c r="H237" s="19">
        <f t="shared" ref="H237:Q237" si="431">G237*(1+0.5%)</f>
        <v>14.62275</v>
      </c>
      <c r="I237" s="19">
        <f t="shared" si="431"/>
        <v>14.695863749999999</v>
      </c>
      <c r="J237" s="19">
        <f t="shared" si="431"/>
        <v>14.769343068749997</v>
      </c>
      <c r="K237" s="19">
        <f t="shared" si="431"/>
        <v>14.843189784093745</v>
      </c>
      <c r="L237" s="19">
        <f t="shared" si="431"/>
        <v>14.917405733014212</v>
      </c>
      <c r="M237" s="19">
        <f t="shared" si="431"/>
        <v>14.991992761679281</v>
      </c>
      <c r="N237" s="19">
        <f t="shared" si="431"/>
        <v>15.066952725487676</v>
      </c>
      <c r="O237" s="19">
        <f t="shared" si="431"/>
        <v>15.142287489115112</v>
      </c>
      <c r="P237" s="19">
        <f t="shared" si="431"/>
        <v>15.217998926560686</v>
      </c>
      <c r="Q237" s="19">
        <f t="shared" si="431"/>
        <v>15.294088921193488</v>
      </c>
    </row>
    <row r="238" spans="2:17" x14ac:dyDescent="0.25">
      <c r="B238" s="56" t="s">
        <v>117</v>
      </c>
      <c r="C238" s="51">
        <v>91.02</v>
      </c>
      <c r="D238" s="51">
        <v>0</v>
      </c>
      <c r="E238" s="51">
        <v>-44.89</v>
      </c>
      <c r="F238" s="51">
        <v>-0.76</v>
      </c>
      <c r="G238" s="51">
        <v>0</v>
      </c>
      <c r="H238" s="19">
        <f t="shared" ref="H238:Q238" si="432">G238*(1+0.5%)</f>
        <v>0</v>
      </c>
      <c r="I238" s="19">
        <f t="shared" si="432"/>
        <v>0</v>
      </c>
      <c r="J238" s="19">
        <f t="shared" si="432"/>
        <v>0</v>
      </c>
      <c r="K238" s="19">
        <f t="shared" si="432"/>
        <v>0</v>
      </c>
      <c r="L238" s="19">
        <f t="shared" si="432"/>
        <v>0</v>
      </c>
      <c r="M238" s="19">
        <f t="shared" si="432"/>
        <v>0</v>
      </c>
      <c r="N238" s="19">
        <f t="shared" si="432"/>
        <v>0</v>
      </c>
      <c r="O238" s="19">
        <f t="shared" si="432"/>
        <v>0</v>
      </c>
      <c r="P238" s="19">
        <f t="shared" si="432"/>
        <v>0</v>
      </c>
      <c r="Q238" s="19">
        <f t="shared" si="432"/>
        <v>0</v>
      </c>
    </row>
    <row r="239" spans="2:17" x14ac:dyDescent="0.25">
      <c r="B239" s="56" t="s">
        <v>136</v>
      </c>
      <c r="C239" s="51">
        <v>0</v>
      </c>
      <c r="D239" s="51">
        <v>0</v>
      </c>
      <c r="E239" s="51">
        <v>0</v>
      </c>
      <c r="F239" s="51">
        <v>0</v>
      </c>
      <c r="G239" s="51">
        <v>0</v>
      </c>
      <c r="H239" s="19">
        <f t="shared" ref="H239:Q239" si="433">G239*(1+0.5%)</f>
        <v>0</v>
      </c>
      <c r="I239" s="19">
        <f t="shared" si="433"/>
        <v>0</v>
      </c>
      <c r="J239" s="19">
        <f t="shared" si="433"/>
        <v>0</v>
      </c>
      <c r="K239" s="19">
        <f t="shared" si="433"/>
        <v>0</v>
      </c>
      <c r="L239" s="19">
        <f t="shared" si="433"/>
        <v>0</v>
      </c>
      <c r="M239" s="19">
        <f t="shared" si="433"/>
        <v>0</v>
      </c>
      <c r="N239" s="19">
        <f t="shared" si="433"/>
        <v>0</v>
      </c>
      <c r="O239" s="19">
        <f t="shared" si="433"/>
        <v>0</v>
      </c>
      <c r="P239" s="19">
        <f t="shared" si="433"/>
        <v>0</v>
      </c>
      <c r="Q239" s="19">
        <f t="shared" si="433"/>
        <v>0</v>
      </c>
    </row>
    <row r="240" spans="2:17" ht="15.75" thickBot="1" x14ac:dyDescent="0.3">
      <c r="B240" s="55" t="s">
        <v>122</v>
      </c>
      <c r="C240" s="53">
        <f>C234-SUM(C235:C239)</f>
        <v>983.05</v>
      </c>
      <c r="D240" s="53">
        <f>D234-SUM(D235:D239)</f>
        <v>1094.1599999999999</v>
      </c>
      <c r="E240" s="53">
        <f>E234-SUM(E235:E239)</f>
        <v>1053.8699999999997</v>
      </c>
      <c r="F240" s="53">
        <f>F234-SUM(F235:F239)</f>
        <v>1040.7899999999997</v>
      </c>
      <c r="G240" s="53">
        <f>G234-SUM(G235:G239)</f>
        <v>938.38999999999987</v>
      </c>
      <c r="H240" s="54">
        <f t="shared" ref="H240" si="434">H234-SUM(H235:H239)</f>
        <v>848.84449999999993</v>
      </c>
      <c r="I240" s="54">
        <f t="shared" ref="I240" si="435">I234-SUM(I235:I239)</f>
        <v>758.85127250000028</v>
      </c>
      <c r="J240" s="54">
        <f t="shared" ref="J240" si="436">J234-SUM(J235:J239)</f>
        <v>668.40807886250059</v>
      </c>
      <c r="K240" s="54">
        <f t="shared" ref="K240" si="437">K234-SUM(K235:K239)</f>
        <v>577.51266925681307</v>
      </c>
      <c r="L240" s="54">
        <f t="shared" ref="L240" si="438">L234-SUM(L235:L239)</f>
        <v>486.16278260309718</v>
      </c>
      <c r="M240" s="54">
        <f t="shared" ref="M240" si="439">M234-SUM(M235:M239)</f>
        <v>394.35614651611286</v>
      </c>
      <c r="N240" s="54">
        <f t="shared" ref="N240" si="440">N234-SUM(N235:N239)</f>
        <v>302.09047724869333</v>
      </c>
      <c r="O240" s="54">
        <f t="shared" ref="O240" si="441">O234-SUM(O235:O239)</f>
        <v>209.36347963493699</v>
      </c>
      <c r="P240" s="54">
        <f t="shared" ref="P240" si="442">P234-SUM(P235:P239)</f>
        <v>116.17284703311225</v>
      </c>
      <c r="Q240" s="54">
        <f t="shared" ref="Q240" si="443">Q234-SUM(Q235:Q239)</f>
        <v>22.516261268277503</v>
      </c>
    </row>
    <row r="241" spans="2:17" ht="15.75" thickTop="1" x14ac:dyDescent="0.25">
      <c r="B241" s="56"/>
      <c r="C241" s="51"/>
      <c r="D241" s="51"/>
      <c r="E241" s="51"/>
      <c r="F241" s="51"/>
      <c r="G241" s="51"/>
      <c r="H241" s="19"/>
      <c r="I241" s="19"/>
      <c r="J241" s="19"/>
      <c r="K241" s="19"/>
      <c r="L241" s="19"/>
      <c r="M241" s="19"/>
      <c r="N241" s="19"/>
      <c r="O241" s="19"/>
      <c r="P241" s="19"/>
      <c r="Q241" s="19"/>
    </row>
    <row r="242" spans="2:17" x14ac:dyDescent="0.25">
      <c r="B242" s="55" t="s">
        <v>133</v>
      </c>
      <c r="C242" s="51"/>
      <c r="D242" s="51"/>
      <c r="E242" s="51"/>
      <c r="F242" s="51"/>
      <c r="G242" s="51"/>
      <c r="H242" s="19"/>
      <c r="I242" s="19"/>
      <c r="J242" s="19"/>
      <c r="K242" s="19"/>
      <c r="L242" s="19"/>
      <c r="M242" s="19"/>
      <c r="N242" s="19"/>
      <c r="O242" s="19"/>
      <c r="P242" s="19"/>
      <c r="Q242" s="19"/>
    </row>
    <row r="243" spans="2:17" x14ac:dyDescent="0.25">
      <c r="B243" s="55" t="s">
        <v>113</v>
      </c>
      <c r="C243" s="50">
        <v>143.12</v>
      </c>
      <c r="D243" s="50">
        <v>0</v>
      </c>
      <c r="E243" s="50">
        <v>40.479999999999997</v>
      </c>
      <c r="F243" s="50">
        <v>40.479999999999997</v>
      </c>
      <c r="G243" s="50">
        <v>68.930000000000007</v>
      </c>
      <c r="H243" s="33">
        <f>G249</f>
        <v>68.930000000000007</v>
      </c>
      <c r="I243" s="33">
        <f t="shared" ref="I243:J243" si="444">H249</f>
        <v>68.930000000000007</v>
      </c>
      <c r="J243" s="33">
        <f t="shared" si="444"/>
        <v>68.930000000000007</v>
      </c>
      <c r="K243" s="33">
        <f>J249</f>
        <v>68.930000000000007</v>
      </c>
      <c r="L243" s="33">
        <f t="shared" ref="L243:Q243" si="445">K249</f>
        <v>68.930000000000007</v>
      </c>
      <c r="M243" s="33">
        <f t="shared" si="445"/>
        <v>68.930000000000007</v>
      </c>
      <c r="N243" s="33">
        <f t="shared" si="445"/>
        <v>68.930000000000007</v>
      </c>
      <c r="O243" s="33">
        <f t="shared" si="445"/>
        <v>68.930000000000007</v>
      </c>
      <c r="P243" s="33">
        <f t="shared" si="445"/>
        <v>68.930000000000007</v>
      </c>
      <c r="Q243" s="33">
        <f t="shared" si="445"/>
        <v>68.930000000000007</v>
      </c>
    </row>
    <row r="244" spans="2:17" x14ac:dyDescent="0.25">
      <c r="B244" s="56" t="s">
        <v>114</v>
      </c>
      <c r="C244" s="51">
        <v>0</v>
      </c>
      <c r="D244" s="51">
        <v>40.479999999999997</v>
      </c>
      <c r="E244" s="51">
        <v>0</v>
      </c>
      <c r="F244" s="51">
        <v>28.09</v>
      </c>
      <c r="G244" s="51">
        <v>0</v>
      </c>
      <c r="H244" s="19">
        <f t="shared" ref="H244:Q244" si="446">G244*(1+0.5%)</f>
        <v>0</v>
      </c>
      <c r="I244" s="19">
        <f t="shared" si="446"/>
        <v>0</v>
      </c>
      <c r="J244" s="19">
        <f t="shared" si="446"/>
        <v>0</v>
      </c>
      <c r="K244" s="19">
        <f t="shared" si="446"/>
        <v>0</v>
      </c>
      <c r="L244" s="19">
        <f t="shared" si="446"/>
        <v>0</v>
      </c>
      <c r="M244" s="19">
        <f t="shared" si="446"/>
        <v>0</v>
      </c>
      <c r="N244" s="19">
        <f t="shared" si="446"/>
        <v>0</v>
      </c>
      <c r="O244" s="19">
        <f t="shared" si="446"/>
        <v>0</v>
      </c>
      <c r="P244" s="19">
        <f t="shared" si="446"/>
        <v>0</v>
      </c>
      <c r="Q244" s="19">
        <f t="shared" si="446"/>
        <v>0</v>
      </c>
    </row>
    <row r="245" spans="2:17" x14ac:dyDescent="0.25">
      <c r="B245" s="56" t="s">
        <v>135</v>
      </c>
      <c r="C245" s="51">
        <v>0</v>
      </c>
      <c r="D245" s="51">
        <v>0</v>
      </c>
      <c r="E245" s="51">
        <v>0</v>
      </c>
      <c r="F245" s="51">
        <v>0</v>
      </c>
      <c r="G245" s="51">
        <v>0</v>
      </c>
      <c r="H245" s="19">
        <f t="shared" ref="H245:Q245" si="447">G245*(1+0.5%)</f>
        <v>0</v>
      </c>
      <c r="I245" s="19">
        <f t="shared" si="447"/>
        <v>0</v>
      </c>
      <c r="J245" s="19">
        <f t="shared" si="447"/>
        <v>0</v>
      </c>
      <c r="K245" s="19">
        <f t="shared" si="447"/>
        <v>0</v>
      </c>
      <c r="L245" s="19">
        <f t="shared" si="447"/>
        <v>0</v>
      </c>
      <c r="M245" s="19">
        <f t="shared" si="447"/>
        <v>0</v>
      </c>
      <c r="N245" s="19">
        <f t="shared" si="447"/>
        <v>0</v>
      </c>
      <c r="O245" s="19">
        <f t="shared" si="447"/>
        <v>0</v>
      </c>
      <c r="P245" s="19">
        <f t="shared" si="447"/>
        <v>0</v>
      </c>
      <c r="Q245" s="19">
        <f t="shared" si="447"/>
        <v>0</v>
      </c>
    </row>
    <row r="246" spans="2:17" x14ac:dyDescent="0.25">
      <c r="B246" s="56" t="s">
        <v>115</v>
      </c>
      <c r="C246" s="51">
        <v>0.68</v>
      </c>
      <c r="D246" s="51">
        <v>0</v>
      </c>
      <c r="E246" s="51">
        <v>0</v>
      </c>
      <c r="F246" s="51">
        <v>0.36</v>
      </c>
      <c r="G246" s="51">
        <v>0</v>
      </c>
      <c r="H246" s="19">
        <f t="shared" ref="H246:Q246" si="448">G246*(1+0.5%)</f>
        <v>0</v>
      </c>
      <c r="I246" s="19">
        <f t="shared" si="448"/>
        <v>0</v>
      </c>
      <c r="J246" s="19">
        <f t="shared" si="448"/>
        <v>0</v>
      </c>
      <c r="K246" s="19">
        <f t="shared" si="448"/>
        <v>0</v>
      </c>
      <c r="L246" s="19">
        <f t="shared" si="448"/>
        <v>0</v>
      </c>
      <c r="M246" s="19">
        <f t="shared" si="448"/>
        <v>0</v>
      </c>
      <c r="N246" s="19">
        <f t="shared" si="448"/>
        <v>0</v>
      </c>
      <c r="O246" s="19">
        <f t="shared" si="448"/>
        <v>0</v>
      </c>
      <c r="P246" s="19">
        <f t="shared" si="448"/>
        <v>0</v>
      </c>
      <c r="Q246" s="19">
        <f t="shared" si="448"/>
        <v>0</v>
      </c>
    </row>
    <row r="247" spans="2:17" x14ac:dyDescent="0.25">
      <c r="B247" s="56" t="s">
        <v>136</v>
      </c>
      <c r="C247" s="51"/>
      <c r="D247" s="51"/>
      <c r="E247" s="51">
        <v>0</v>
      </c>
      <c r="F247" s="51">
        <v>0</v>
      </c>
      <c r="G247" s="51">
        <v>0</v>
      </c>
      <c r="H247" s="19">
        <f t="shared" ref="H247:Q247" si="449">G247*(1+0.5%)</f>
        <v>0</v>
      </c>
      <c r="I247" s="19">
        <f t="shared" si="449"/>
        <v>0</v>
      </c>
      <c r="J247" s="19">
        <f t="shared" si="449"/>
        <v>0</v>
      </c>
      <c r="K247" s="19">
        <f t="shared" si="449"/>
        <v>0</v>
      </c>
      <c r="L247" s="19">
        <f t="shared" si="449"/>
        <v>0</v>
      </c>
      <c r="M247" s="19">
        <f t="shared" si="449"/>
        <v>0</v>
      </c>
      <c r="N247" s="19">
        <f t="shared" si="449"/>
        <v>0</v>
      </c>
      <c r="O247" s="19">
        <f t="shared" si="449"/>
        <v>0</v>
      </c>
      <c r="P247" s="19">
        <f t="shared" si="449"/>
        <v>0</v>
      </c>
      <c r="Q247" s="19">
        <f t="shared" si="449"/>
        <v>0</v>
      </c>
    </row>
    <row r="248" spans="2:17" x14ac:dyDescent="0.25">
      <c r="B248" s="56" t="s">
        <v>117</v>
      </c>
      <c r="C248" s="51">
        <v>-143.80000000000001</v>
      </c>
      <c r="D248" s="51">
        <v>0</v>
      </c>
      <c r="E248" s="51">
        <v>0</v>
      </c>
      <c r="F248" s="51">
        <v>0</v>
      </c>
      <c r="G248" s="51">
        <v>0</v>
      </c>
      <c r="H248" s="19">
        <f t="shared" ref="H248:Q248" si="450">G248*(1+0.5%)</f>
        <v>0</v>
      </c>
      <c r="I248" s="19">
        <f t="shared" si="450"/>
        <v>0</v>
      </c>
      <c r="J248" s="19">
        <f t="shared" si="450"/>
        <v>0</v>
      </c>
      <c r="K248" s="19">
        <f t="shared" si="450"/>
        <v>0</v>
      </c>
      <c r="L248" s="19">
        <f t="shared" si="450"/>
        <v>0</v>
      </c>
      <c r="M248" s="19">
        <f t="shared" si="450"/>
        <v>0</v>
      </c>
      <c r="N248" s="19">
        <f t="shared" si="450"/>
        <v>0</v>
      </c>
      <c r="O248" s="19">
        <f t="shared" si="450"/>
        <v>0</v>
      </c>
      <c r="P248" s="19">
        <f t="shared" si="450"/>
        <v>0</v>
      </c>
      <c r="Q248" s="19">
        <f t="shared" si="450"/>
        <v>0</v>
      </c>
    </row>
    <row r="249" spans="2:17" x14ac:dyDescent="0.25">
      <c r="B249" s="55" t="s">
        <v>118</v>
      </c>
      <c r="C249" s="50">
        <f t="shared" ref="C249:H249" si="451">SUM(C243:C248)</f>
        <v>0</v>
      </c>
      <c r="D249" s="50">
        <f t="shared" si="451"/>
        <v>40.479999999999997</v>
      </c>
      <c r="E249" s="50">
        <f t="shared" si="451"/>
        <v>40.479999999999997</v>
      </c>
      <c r="F249" s="50">
        <f t="shared" si="451"/>
        <v>68.929999999999993</v>
      </c>
      <c r="G249" s="50">
        <f t="shared" si="451"/>
        <v>68.930000000000007</v>
      </c>
      <c r="H249" s="33">
        <f t="shared" si="451"/>
        <v>68.930000000000007</v>
      </c>
      <c r="I249" s="33">
        <f t="shared" ref="I249" si="452">SUM(I243:I248)</f>
        <v>68.930000000000007</v>
      </c>
      <c r="J249" s="33">
        <f t="shared" ref="J249" si="453">SUM(J243:J248)</f>
        <v>68.930000000000007</v>
      </c>
      <c r="K249" s="33">
        <f t="shared" ref="K249" si="454">SUM(K243:K248)</f>
        <v>68.930000000000007</v>
      </c>
      <c r="L249" s="33">
        <f t="shared" ref="L249" si="455">SUM(L243:L248)</f>
        <v>68.930000000000007</v>
      </c>
      <c r="M249" s="33">
        <f t="shared" ref="M249" si="456">SUM(M243:M248)</f>
        <v>68.930000000000007</v>
      </c>
      <c r="N249" s="33">
        <f t="shared" ref="N249" si="457">SUM(N243:N248)</f>
        <v>68.930000000000007</v>
      </c>
      <c r="O249" s="33">
        <f t="shared" ref="O249" si="458">SUM(O243:O248)</f>
        <v>68.930000000000007</v>
      </c>
      <c r="P249" s="33">
        <f t="shared" ref="P249" si="459">SUM(P243:P248)</f>
        <v>68.930000000000007</v>
      </c>
      <c r="Q249" s="33">
        <f t="shared" ref="Q249" si="460">SUM(Q243:Q248)</f>
        <v>68.930000000000007</v>
      </c>
    </row>
    <row r="250" spans="2:17" x14ac:dyDescent="0.25">
      <c r="B250" s="56" t="s">
        <v>120</v>
      </c>
      <c r="C250" s="51">
        <v>90.33</v>
      </c>
      <c r="D250" s="51">
        <v>0</v>
      </c>
      <c r="E250" s="51">
        <v>6.07</v>
      </c>
      <c r="F250" s="51">
        <v>14.17</v>
      </c>
      <c r="G250" s="51">
        <v>23.13</v>
      </c>
      <c r="H250" s="19">
        <f>SUM(G250:G254)</f>
        <v>35.419999999999995</v>
      </c>
      <c r="I250" s="19">
        <f t="shared" ref="I250:Q250" si="461">SUM(H250:H254)</f>
        <v>47.771449999999994</v>
      </c>
      <c r="J250" s="19">
        <f t="shared" si="461"/>
        <v>60.184657249999987</v>
      </c>
      <c r="K250" s="19">
        <f t="shared" si="461"/>
        <v>72.659930536249988</v>
      </c>
      <c r="L250" s="19">
        <f t="shared" si="461"/>
        <v>85.197580188931241</v>
      </c>
      <c r="M250" s="19">
        <f t="shared" si="461"/>
        <v>97.797918089875878</v>
      </c>
      <c r="N250" s="19">
        <f t="shared" si="461"/>
        <v>110.46125768032526</v>
      </c>
      <c r="O250" s="19">
        <f t="shared" si="461"/>
        <v>123.18791396872687</v>
      </c>
      <c r="P250" s="19">
        <f t="shared" si="461"/>
        <v>135.97820353857051</v>
      </c>
      <c r="Q250" s="19">
        <f t="shared" si="461"/>
        <v>148.83244455626334</v>
      </c>
    </row>
    <row r="251" spans="2:17" x14ac:dyDescent="0.25">
      <c r="B251" s="56" t="s">
        <v>121</v>
      </c>
      <c r="C251" s="51">
        <v>0</v>
      </c>
      <c r="D251" s="51">
        <v>6.07</v>
      </c>
      <c r="E251" s="51">
        <v>8.1</v>
      </c>
      <c r="F251" s="51">
        <v>21.9</v>
      </c>
      <c r="G251" s="51">
        <v>13</v>
      </c>
      <c r="H251" s="19">
        <f t="shared" ref="H251:Q251" si="462">G251*(1+0.5%)</f>
        <v>13.064999999999998</v>
      </c>
      <c r="I251" s="19">
        <f t="shared" si="462"/>
        <v>13.130324999999996</v>
      </c>
      <c r="J251" s="19">
        <f t="shared" si="462"/>
        <v>13.195976624999995</v>
      </c>
      <c r="K251" s="19">
        <f t="shared" si="462"/>
        <v>13.261956508124994</v>
      </c>
      <c r="L251" s="19">
        <f t="shared" si="462"/>
        <v>13.328266290665617</v>
      </c>
      <c r="M251" s="19">
        <f t="shared" si="462"/>
        <v>13.394907622118943</v>
      </c>
      <c r="N251" s="19">
        <f t="shared" si="462"/>
        <v>13.461882160229536</v>
      </c>
      <c r="O251" s="19">
        <f t="shared" si="462"/>
        <v>13.529191571030681</v>
      </c>
      <c r="P251" s="19">
        <f t="shared" si="462"/>
        <v>13.596837528885834</v>
      </c>
      <c r="Q251" s="19">
        <f t="shared" si="462"/>
        <v>13.664821716530261</v>
      </c>
    </row>
    <row r="252" spans="2:17" x14ac:dyDescent="0.25">
      <c r="B252" s="56" t="s">
        <v>115</v>
      </c>
      <c r="C252" s="51">
        <v>0.69</v>
      </c>
      <c r="D252" s="51">
        <v>0</v>
      </c>
      <c r="E252" s="51">
        <v>0</v>
      </c>
      <c r="F252" s="51">
        <v>0.36</v>
      </c>
      <c r="G252" s="51">
        <v>-0.71</v>
      </c>
      <c r="H252" s="19">
        <f t="shared" ref="H252:Q252" si="463">G252*(1+0.5%)</f>
        <v>-0.71354999999999991</v>
      </c>
      <c r="I252" s="19">
        <f t="shared" si="463"/>
        <v>-0.71711774999999978</v>
      </c>
      <c r="J252" s="19">
        <f t="shared" si="463"/>
        <v>-0.7207033387499997</v>
      </c>
      <c r="K252" s="19">
        <f t="shared" si="463"/>
        <v>-0.72430685544374962</v>
      </c>
      <c r="L252" s="19">
        <f t="shared" si="463"/>
        <v>-0.72792838972096829</v>
      </c>
      <c r="M252" s="19">
        <f t="shared" si="463"/>
        <v>-0.73156803166957307</v>
      </c>
      <c r="N252" s="19">
        <f t="shared" si="463"/>
        <v>-0.73522587182792087</v>
      </c>
      <c r="O252" s="19">
        <f t="shared" si="463"/>
        <v>-0.7389020011870604</v>
      </c>
      <c r="P252" s="19">
        <f t="shared" si="463"/>
        <v>-0.74259651119299563</v>
      </c>
      <c r="Q252" s="19">
        <f t="shared" si="463"/>
        <v>-0.7463094937489605</v>
      </c>
    </row>
    <row r="253" spans="2:17" x14ac:dyDescent="0.25">
      <c r="B253" s="56" t="s">
        <v>117</v>
      </c>
      <c r="C253" s="51">
        <v>-91.02</v>
      </c>
      <c r="D253" s="51">
        <v>0</v>
      </c>
      <c r="E253" s="51">
        <v>0</v>
      </c>
      <c r="F253" s="51">
        <v>0</v>
      </c>
      <c r="G253" s="51">
        <v>0</v>
      </c>
      <c r="H253" s="19">
        <f t="shared" ref="H253:Q253" si="464">G253*(1+0.5%)</f>
        <v>0</v>
      </c>
      <c r="I253" s="19">
        <f t="shared" si="464"/>
        <v>0</v>
      </c>
      <c r="J253" s="19">
        <f t="shared" si="464"/>
        <v>0</v>
      </c>
      <c r="K253" s="19">
        <f t="shared" si="464"/>
        <v>0</v>
      </c>
      <c r="L253" s="19">
        <f t="shared" si="464"/>
        <v>0</v>
      </c>
      <c r="M253" s="19">
        <f t="shared" si="464"/>
        <v>0</v>
      </c>
      <c r="N253" s="19">
        <f t="shared" si="464"/>
        <v>0</v>
      </c>
      <c r="O253" s="19">
        <f t="shared" si="464"/>
        <v>0</v>
      </c>
      <c r="P253" s="19">
        <f t="shared" si="464"/>
        <v>0</v>
      </c>
      <c r="Q253" s="19">
        <f t="shared" si="464"/>
        <v>0</v>
      </c>
    </row>
    <row r="254" spans="2:17" x14ac:dyDescent="0.25">
      <c r="B254" s="56" t="s">
        <v>136</v>
      </c>
      <c r="C254" s="51">
        <v>0</v>
      </c>
      <c r="D254" s="51">
        <v>0</v>
      </c>
      <c r="E254" s="51">
        <v>0</v>
      </c>
      <c r="F254" s="51">
        <v>0</v>
      </c>
      <c r="G254" s="51">
        <v>0</v>
      </c>
      <c r="H254" s="19">
        <f t="shared" ref="H254:Q254" si="465">G254*(1+0.5%)</f>
        <v>0</v>
      </c>
      <c r="I254" s="19">
        <f t="shared" si="465"/>
        <v>0</v>
      </c>
      <c r="J254" s="19">
        <f t="shared" si="465"/>
        <v>0</v>
      </c>
      <c r="K254" s="19">
        <f t="shared" si="465"/>
        <v>0</v>
      </c>
      <c r="L254" s="19">
        <f t="shared" si="465"/>
        <v>0</v>
      </c>
      <c r="M254" s="19">
        <f t="shared" si="465"/>
        <v>0</v>
      </c>
      <c r="N254" s="19">
        <f t="shared" si="465"/>
        <v>0</v>
      </c>
      <c r="O254" s="19">
        <f t="shared" si="465"/>
        <v>0</v>
      </c>
      <c r="P254" s="19">
        <f t="shared" si="465"/>
        <v>0</v>
      </c>
      <c r="Q254" s="19">
        <f t="shared" si="465"/>
        <v>0</v>
      </c>
    </row>
    <row r="255" spans="2:17" ht="15.75" thickBot="1" x14ac:dyDescent="0.3">
      <c r="B255" s="55" t="s">
        <v>122</v>
      </c>
      <c r="C255" s="53">
        <f>C249-SUM(C250:C254)</f>
        <v>0</v>
      </c>
      <c r="D255" s="53">
        <f>D249-SUM(D250:D254)</f>
        <v>34.409999999999997</v>
      </c>
      <c r="E255" s="53">
        <f>E249-SUM(E250:E254)</f>
        <v>26.309999999999995</v>
      </c>
      <c r="F255" s="53">
        <f>F249-SUM(F250:F254)</f>
        <v>32.499999999999993</v>
      </c>
      <c r="G255" s="53">
        <f>G249-SUM(G250:G254)</f>
        <v>33.510000000000012</v>
      </c>
      <c r="H255" s="54">
        <f t="shared" ref="H255" si="466">H249-SUM(H250:H254)</f>
        <v>21.158550000000012</v>
      </c>
      <c r="I255" s="54">
        <f t="shared" ref="I255" si="467">I249-SUM(I250:I254)</f>
        <v>8.7453427500000203</v>
      </c>
      <c r="J255" s="54">
        <f t="shared" ref="J255" si="468">J249-SUM(J250:J254)</f>
        <v>-3.7299305362499808</v>
      </c>
      <c r="K255" s="54">
        <f t="shared" ref="K255" si="469">K249-SUM(K250:K254)</f>
        <v>-16.267580188931234</v>
      </c>
      <c r="L255" s="54">
        <f t="shared" ref="L255" si="470">L249-SUM(L250:L254)</f>
        <v>-28.867918089875872</v>
      </c>
      <c r="M255" s="54">
        <f t="shared" ref="M255" si="471">M249-SUM(M250:M254)</f>
        <v>-41.531257680325254</v>
      </c>
      <c r="N255" s="54">
        <f t="shared" ref="N255" si="472">N249-SUM(N250:N254)</f>
        <v>-54.257913968726868</v>
      </c>
      <c r="O255" s="54">
        <f t="shared" ref="O255" si="473">O249-SUM(O250:O254)</f>
        <v>-67.048203538570505</v>
      </c>
      <c r="P255" s="54">
        <f t="shared" ref="P255" si="474">P249-SUM(P250:P254)</f>
        <v>-79.902444556263333</v>
      </c>
      <c r="Q255" s="54">
        <f t="shared" ref="Q255" si="475">Q249-SUM(Q250:Q254)</f>
        <v>-92.82095677904465</v>
      </c>
    </row>
    <row r="256" spans="2:17" ht="15.75" thickTop="1" x14ac:dyDescent="0.25">
      <c r="B256" s="55"/>
      <c r="C256" s="51"/>
      <c r="D256" s="51"/>
      <c r="E256" s="51"/>
      <c r="F256" s="51"/>
      <c r="G256" s="51"/>
      <c r="H256" s="19"/>
      <c r="I256" s="19"/>
      <c r="J256" s="19"/>
      <c r="K256" s="19"/>
      <c r="L256" s="19"/>
      <c r="M256" s="19"/>
      <c r="N256" s="19"/>
      <c r="O256" s="19"/>
      <c r="P256" s="19"/>
      <c r="Q256" s="19"/>
    </row>
    <row r="257" spans="2:17" x14ac:dyDescent="0.25">
      <c r="B257" s="55" t="s">
        <v>138</v>
      </c>
      <c r="C257" s="50"/>
      <c r="D257" s="50"/>
      <c r="E257" s="50"/>
      <c r="F257" s="50"/>
      <c r="G257" s="50"/>
      <c r="H257" s="33"/>
      <c r="I257" s="33"/>
      <c r="J257" s="33"/>
      <c r="K257" s="33"/>
      <c r="L257" s="33"/>
      <c r="M257" s="33"/>
      <c r="N257" s="33"/>
      <c r="O257" s="33"/>
      <c r="P257" s="33"/>
      <c r="Q257" s="33"/>
    </row>
    <row r="258" spans="2:17" x14ac:dyDescent="0.25">
      <c r="B258" s="55" t="s">
        <v>113</v>
      </c>
      <c r="C258" s="50">
        <v>0</v>
      </c>
      <c r="D258" s="50">
        <v>0</v>
      </c>
      <c r="E258" s="50">
        <v>0</v>
      </c>
      <c r="F258" s="50">
        <v>0</v>
      </c>
      <c r="G258" s="50">
        <v>60.99</v>
      </c>
      <c r="H258" s="33">
        <f>G264</f>
        <v>63.02</v>
      </c>
      <c r="I258" s="33">
        <f t="shared" ref="I258:J258" si="476">H264</f>
        <v>65.060150000000007</v>
      </c>
      <c r="J258" s="33">
        <f t="shared" si="476"/>
        <v>67.11050075</v>
      </c>
      <c r="K258" s="33">
        <f>J264</f>
        <v>69.171103253750005</v>
      </c>
      <c r="L258" s="33">
        <f t="shared" ref="L258:Q258" si="477">K264</f>
        <v>71.242008770018757</v>
      </c>
      <c r="M258" s="33">
        <f t="shared" si="477"/>
        <v>73.32326881386885</v>
      </c>
      <c r="N258" s="33">
        <f t="shared" si="477"/>
        <v>75.414935157938189</v>
      </c>
      <c r="O258" s="33">
        <f t="shared" si="477"/>
        <v>77.517059833727885</v>
      </c>
      <c r="P258" s="33">
        <f t="shared" si="477"/>
        <v>79.629695132896529</v>
      </c>
      <c r="Q258" s="33">
        <f t="shared" si="477"/>
        <v>81.75289360856101</v>
      </c>
    </row>
    <row r="259" spans="2:17" x14ac:dyDescent="0.25">
      <c r="B259" s="56" t="s">
        <v>114</v>
      </c>
      <c r="C259" s="51">
        <v>0</v>
      </c>
      <c r="D259" s="51">
        <v>0</v>
      </c>
      <c r="E259" s="51">
        <v>0</v>
      </c>
      <c r="F259" s="51">
        <v>0</v>
      </c>
      <c r="G259" s="51">
        <v>0</v>
      </c>
      <c r="H259" s="19">
        <f t="shared" ref="H259:Q259" si="478">G259*(1+0.5%)</f>
        <v>0</v>
      </c>
      <c r="I259" s="19">
        <f t="shared" si="478"/>
        <v>0</v>
      </c>
      <c r="J259" s="19">
        <f t="shared" si="478"/>
        <v>0</v>
      </c>
      <c r="K259" s="19">
        <f t="shared" si="478"/>
        <v>0</v>
      </c>
      <c r="L259" s="19">
        <f t="shared" si="478"/>
        <v>0</v>
      </c>
      <c r="M259" s="19">
        <f t="shared" si="478"/>
        <v>0</v>
      </c>
      <c r="N259" s="19">
        <f t="shared" si="478"/>
        <v>0</v>
      </c>
      <c r="O259" s="19">
        <f t="shared" si="478"/>
        <v>0</v>
      </c>
      <c r="P259" s="19">
        <f t="shared" si="478"/>
        <v>0</v>
      </c>
      <c r="Q259" s="19">
        <f t="shared" si="478"/>
        <v>0</v>
      </c>
    </row>
    <row r="260" spans="2:17" x14ac:dyDescent="0.25">
      <c r="B260" s="56" t="s">
        <v>135</v>
      </c>
      <c r="C260" s="51">
        <v>0</v>
      </c>
      <c r="D260" s="51">
        <v>0</v>
      </c>
      <c r="E260" s="51">
        <v>0</v>
      </c>
      <c r="F260" s="51">
        <v>60.99</v>
      </c>
      <c r="G260" s="51">
        <v>0</v>
      </c>
      <c r="H260" s="19">
        <f t="shared" ref="H260:Q260" si="479">G260*(1+0.5%)</f>
        <v>0</v>
      </c>
      <c r="I260" s="19">
        <f t="shared" si="479"/>
        <v>0</v>
      </c>
      <c r="J260" s="19">
        <f t="shared" si="479"/>
        <v>0</v>
      </c>
      <c r="K260" s="19">
        <f t="shared" si="479"/>
        <v>0</v>
      </c>
      <c r="L260" s="19">
        <f t="shared" si="479"/>
        <v>0</v>
      </c>
      <c r="M260" s="19">
        <f t="shared" si="479"/>
        <v>0</v>
      </c>
      <c r="N260" s="19">
        <f t="shared" si="479"/>
        <v>0</v>
      </c>
      <c r="O260" s="19">
        <f t="shared" si="479"/>
        <v>0</v>
      </c>
      <c r="P260" s="19">
        <f t="shared" si="479"/>
        <v>0</v>
      </c>
      <c r="Q260" s="19">
        <f t="shared" si="479"/>
        <v>0</v>
      </c>
    </row>
    <row r="261" spans="2:17" x14ac:dyDescent="0.25">
      <c r="B261" s="56" t="s">
        <v>115</v>
      </c>
      <c r="C261" s="51">
        <v>0</v>
      </c>
      <c r="D261" s="51">
        <v>0</v>
      </c>
      <c r="E261" s="51">
        <v>0</v>
      </c>
      <c r="F261" s="51">
        <v>0</v>
      </c>
      <c r="G261" s="51">
        <v>2.0299999999999998</v>
      </c>
      <c r="H261" s="19">
        <f t="shared" ref="H261:Q261" si="480">G261*(1+0.5%)</f>
        <v>2.0401499999999997</v>
      </c>
      <c r="I261" s="19">
        <f t="shared" si="480"/>
        <v>2.0503507499999993</v>
      </c>
      <c r="J261" s="19">
        <f t="shared" si="480"/>
        <v>2.0606025037499993</v>
      </c>
      <c r="K261" s="19">
        <f t="shared" si="480"/>
        <v>2.0709055162687493</v>
      </c>
      <c r="L261" s="19">
        <f t="shared" si="480"/>
        <v>2.0812600438500928</v>
      </c>
      <c r="M261" s="19">
        <f t="shared" si="480"/>
        <v>2.0916663440693428</v>
      </c>
      <c r="N261" s="19">
        <f t="shared" si="480"/>
        <v>2.1021246757896894</v>
      </c>
      <c r="O261" s="19">
        <f t="shared" si="480"/>
        <v>2.1126352991686375</v>
      </c>
      <c r="P261" s="19">
        <f t="shared" si="480"/>
        <v>2.1231984756644806</v>
      </c>
      <c r="Q261" s="19">
        <f t="shared" si="480"/>
        <v>2.1338144680428028</v>
      </c>
    </row>
    <row r="262" spans="2:17" x14ac:dyDescent="0.25">
      <c r="B262" s="56" t="s">
        <v>136</v>
      </c>
      <c r="C262" s="51">
        <v>0</v>
      </c>
      <c r="D262" s="51">
        <v>0</v>
      </c>
      <c r="E262" s="50">
        <v>0</v>
      </c>
      <c r="F262" s="51">
        <v>0</v>
      </c>
      <c r="G262" s="51">
        <v>0</v>
      </c>
      <c r="H262" s="19">
        <f t="shared" ref="H262:Q262" si="481">G262*(1+0.5%)</f>
        <v>0</v>
      </c>
      <c r="I262" s="19">
        <f t="shared" si="481"/>
        <v>0</v>
      </c>
      <c r="J262" s="19">
        <f t="shared" si="481"/>
        <v>0</v>
      </c>
      <c r="K262" s="19">
        <f t="shared" si="481"/>
        <v>0</v>
      </c>
      <c r="L262" s="19">
        <f t="shared" si="481"/>
        <v>0</v>
      </c>
      <c r="M262" s="19">
        <f t="shared" si="481"/>
        <v>0</v>
      </c>
      <c r="N262" s="19">
        <f t="shared" si="481"/>
        <v>0</v>
      </c>
      <c r="O262" s="19">
        <f t="shared" si="481"/>
        <v>0</v>
      </c>
      <c r="P262" s="19">
        <f t="shared" si="481"/>
        <v>0</v>
      </c>
      <c r="Q262" s="19">
        <f t="shared" si="481"/>
        <v>0</v>
      </c>
    </row>
    <row r="263" spans="2:17" x14ac:dyDescent="0.25">
      <c r="B263" s="56" t="s">
        <v>117</v>
      </c>
      <c r="C263" s="51"/>
      <c r="D263" s="51">
        <v>0</v>
      </c>
      <c r="E263" s="51">
        <v>0</v>
      </c>
      <c r="F263" s="51">
        <v>0</v>
      </c>
      <c r="G263" s="51">
        <v>0</v>
      </c>
      <c r="H263" s="19">
        <f t="shared" ref="H263:Q263" si="482">G263*(1+0.5%)</f>
        <v>0</v>
      </c>
      <c r="I263" s="19">
        <f t="shared" si="482"/>
        <v>0</v>
      </c>
      <c r="J263" s="19">
        <f t="shared" si="482"/>
        <v>0</v>
      </c>
      <c r="K263" s="19">
        <f t="shared" si="482"/>
        <v>0</v>
      </c>
      <c r="L263" s="19">
        <f t="shared" si="482"/>
        <v>0</v>
      </c>
      <c r="M263" s="19">
        <f t="shared" si="482"/>
        <v>0</v>
      </c>
      <c r="N263" s="19">
        <f t="shared" si="482"/>
        <v>0</v>
      </c>
      <c r="O263" s="19">
        <f t="shared" si="482"/>
        <v>0</v>
      </c>
      <c r="P263" s="19">
        <f t="shared" si="482"/>
        <v>0</v>
      </c>
      <c r="Q263" s="19">
        <f t="shared" si="482"/>
        <v>0</v>
      </c>
    </row>
    <row r="264" spans="2:17" x14ac:dyDescent="0.25">
      <c r="B264" s="55" t="s">
        <v>118</v>
      </c>
      <c r="C264" s="50">
        <f t="shared" ref="C264:E264" si="483">SUM(C258:C263)</f>
        <v>0</v>
      </c>
      <c r="D264" s="50">
        <f t="shared" si="483"/>
        <v>0</v>
      </c>
      <c r="E264" s="50">
        <f t="shared" si="483"/>
        <v>0</v>
      </c>
      <c r="F264" s="50">
        <f>SUM(F258:F263)</f>
        <v>60.99</v>
      </c>
      <c r="G264" s="50">
        <f>SUM(G258:G263)</f>
        <v>63.02</v>
      </c>
      <c r="H264" s="33">
        <f>SUM(H258:H263)</f>
        <v>65.060150000000007</v>
      </c>
      <c r="I264" s="33">
        <f t="shared" ref="I264" si="484">SUM(I258:I263)</f>
        <v>67.11050075</v>
      </c>
      <c r="J264" s="33">
        <f t="shared" ref="J264" si="485">SUM(J258:J263)</f>
        <v>69.171103253750005</v>
      </c>
      <c r="K264" s="33">
        <f t="shared" ref="K264" si="486">SUM(K258:K263)</f>
        <v>71.242008770018757</v>
      </c>
      <c r="L264" s="33">
        <f t="shared" ref="L264" si="487">SUM(L258:L263)</f>
        <v>73.32326881386885</v>
      </c>
      <c r="M264" s="33">
        <f t="shared" ref="M264" si="488">SUM(M258:M263)</f>
        <v>75.414935157938189</v>
      </c>
      <c r="N264" s="33">
        <f t="shared" ref="N264" si="489">SUM(N258:N263)</f>
        <v>77.517059833727885</v>
      </c>
      <c r="O264" s="33">
        <f t="shared" ref="O264" si="490">SUM(O258:O263)</f>
        <v>79.629695132896529</v>
      </c>
      <c r="P264" s="33">
        <f t="shared" ref="P264" si="491">SUM(P258:P263)</f>
        <v>81.75289360856101</v>
      </c>
      <c r="Q264" s="33">
        <f t="shared" ref="Q264" si="492">SUM(Q258:Q263)</f>
        <v>83.88670807660381</v>
      </c>
    </row>
    <row r="265" spans="2:17" x14ac:dyDescent="0.25">
      <c r="B265" s="56" t="s">
        <v>120</v>
      </c>
      <c r="C265" s="51">
        <v>0</v>
      </c>
      <c r="D265" s="51">
        <v>0</v>
      </c>
      <c r="E265" s="51">
        <v>0</v>
      </c>
      <c r="F265" s="51">
        <v>0</v>
      </c>
      <c r="G265" s="51">
        <v>2.4900000000000002</v>
      </c>
      <c r="H265" s="19">
        <f>SUM(G265:G269)</f>
        <v>10.370000000000001</v>
      </c>
      <c r="I265" s="19">
        <f t="shared" ref="I265:Q265" si="493">SUM(H265:H269)</f>
        <v>18.289399999999997</v>
      </c>
      <c r="J265" s="19">
        <f t="shared" si="493"/>
        <v>26.248396999999994</v>
      </c>
      <c r="K265" s="19">
        <f t="shared" si="493"/>
        <v>34.247188984999987</v>
      </c>
      <c r="L265" s="19">
        <f t="shared" si="493"/>
        <v>42.285974929924983</v>
      </c>
      <c r="M265" s="19">
        <f t="shared" si="493"/>
        <v>50.364954804574602</v>
      </c>
      <c r="N265" s="19">
        <f t="shared" si="493"/>
        <v>58.484329578597468</v>
      </c>
      <c r="O265" s="19">
        <f t="shared" si="493"/>
        <v>66.644301226490455</v>
      </c>
      <c r="P265" s="19">
        <f t="shared" si="493"/>
        <v>74.845072732622896</v>
      </c>
      <c r="Q265" s="19">
        <f t="shared" si="493"/>
        <v>83.086848096285991</v>
      </c>
    </row>
    <row r="266" spans="2:17" x14ac:dyDescent="0.25">
      <c r="B266" s="56" t="s">
        <v>121</v>
      </c>
      <c r="C266" s="51">
        <v>0</v>
      </c>
      <c r="D266" s="51">
        <v>0</v>
      </c>
      <c r="E266" s="51">
        <v>0</v>
      </c>
      <c r="F266" s="51">
        <v>2.4900000000000002</v>
      </c>
      <c r="G266" s="51">
        <v>7.72</v>
      </c>
      <c r="H266" s="19">
        <f t="shared" ref="H266:Q266" si="494">G266*(1+0.5%)</f>
        <v>7.7585999999999986</v>
      </c>
      <c r="I266" s="19">
        <f t="shared" si="494"/>
        <v>7.7973929999999978</v>
      </c>
      <c r="J266" s="19">
        <f t="shared" si="494"/>
        <v>7.8363799649999972</v>
      </c>
      <c r="K266" s="19">
        <f t="shared" si="494"/>
        <v>7.8755618648249968</v>
      </c>
      <c r="L266" s="19">
        <f t="shared" si="494"/>
        <v>7.9149396741491209</v>
      </c>
      <c r="M266" s="19">
        <f t="shared" si="494"/>
        <v>7.9545143725198653</v>
      </c>
      <c r="N266" s="19">
        <f t="shared" si="494"/>
        <v>7.9942869443824636</v>
      </c>
      <c r="O266" s="19">
        <f t="shared" si="494"/>
        <v>8.0342583791043758</v>
      </c>
      <c r="P266" s="19">
        <f t="shared" si="494"/>
        <v>8.0744296709998959</v>
      </c>
      <c r="Q266" s="19">
        <f t="shared" si="494"/>
        <v>8.114801819354895</v>
      </c>
    </row>
    <row r="267" spans="2:17" x14ac:dyDescent="0.25">
      <c r="B267" s="56" t="s">
        <v>115</v>
      </c>
      <c r="C267" s="51">
        <v>0</v>
      </c>
      <c r="D267" s="51">
        <v>0</v>
      </c>
      <c r="E267" s="51">
        <v>0</v>
      </c>
      <c r="F267" s="51">
        <v>0</v>
      </c>
      <c r="G267" s="51">
        <v>0.16</v>
      </c>
      <c r="H267" s="19">
        <f t="shared" ref="H267:Q267" si="495">G267*(1+0.5%)</f>
        <v>0.1608</v>
      </c>
      <c r="I267" s="19">
        <f t="shared" si="495"/>
        <v>0.16160399999999997</v>
      </c>
      <c r="J267" s="19">
        <f t="shared" si="495"/>
        <v>0.16241201999999996</v>
      </c>
      <c r="K267" s="19">
        <f t="shared" si="495"/>
        <v>0.16322408009999995</v>
      </c>
      <c r="L267" s="19">
        <f t="shared" si="495"/>
        <v>0.16404020050049992</v>
      </c>
      <c r="M267" s="19">
        <f t="shared" si="495"/>
        <v>0.16486040150300241</v>
      </c>
      <c r="N267" s="19">
        <f t="shared" si="495"/>
        <v>0.16568470351051739</v>
      </c>
      <c r="O267" s="19">
        <f t="shared" si="495"/>
        <v>0.16651312702806997</v>
      </c>
      <c r="P267" s="19">
        <f t="shared" si="495"/>
        <v>0.16734569266321031</v>
      </c>
      <c r="Q267" s="19">
        <f t="shared" si="495"/>
        <v>0.16818242112652634</v>
      </c>
    </row>
    <row r="268" spans="2:17" x14ac:dyDescent="0.25">
      <c r="B268" s="56" t="s">
        <v>117</v>
      </c>
      <c r="C268" s="51">
        <v>0</v>
      </c>
      <c r="D268" s="51">
        <v>0</v>
      </c>
      <c r="E268" s="51">
        <v>0</v>
      </c>
      <c r="F268" s="51">
        <v>0</v>
      </c>
      <c r="G268" s="51">
        <v>0</v>
      </c>
      <c r="H268" s="19">
        <f t="shared" ref="H268:Q268" si="496">G268*(1+0.5%)</f>
        <v>0</v>
      </c>
      <c r="I268" s="19">
        <f t="shared" si="496"/>
        <v>0</v>
      </c>
      <c r="J268" s="19">
        <f t="shared" si="496"/>
        <v>0</v>
      </c>
      <c r="K268" s="19">
        <f t="shared" si="496"/>
        <v>0</v>
      </c>
      <c r="L268" s="19">
        <f t="shared" si="496"/>
        <v>0</v>
      </c>
      <c r="M268" s="19">
        <f t="shared" si="496"/>
        <v>0</v>
      </c>
      <c r="N268" s="19">
        <f t="shared" si="496"/>
        <v>0</v>
      </c>
      <c r="O268" s="19">
        <f t="shared" si="496"/>
        <v>0</v>
      </c>
      <c r="P268" s="19">
        <f t="shared" si="496"/>
        <v>0</v>
      </c>
      <c r="Q268" s="19">
        <f t="shared" si="496"/>
        <v>0</v>
      </c>
    </row>
    <row r="269" spans="2:17" x14ac:dyDescent="0.25">
      <c r="B269" s="56" t="s">
        <v>136</v>
      </c>
      <c r="C269" s="51">
        <v>0</v>
      </c>
      <c r="D269" s="51">
        <v>0</v>
      </c>
      <c r="E269" s="51">
        <v>0</v>
      </c>
      <c r="F269" s="51">
        <v>0</v>
      </c>
      <c r="G269" s="51">
        <v>0</v>
      </c>
      <c r="H269" s="19">
        <f t="shared" ref="H269:Q269" si="497">G269*(1+0.5%)</f>
        <v>0</v>
      </c>
      <c r="I269" s="19">
        <f t="shared" si="497"/>
        <v>0</v>
      </c>
      <c r="J269" s="19">
        <f t="shared" si="497"/>
        <v>0</v>
      </c>
      <c r="K269" s="19">
        <f t="shared" si="497"/>
        <v>0</v>
      </c>
      <c r="L269" s="19">
        <f t="shared" si="497"/>
        <v>0</v>
      </c>
      <c r="M269" s="19">
        <f t="shared" si="497"/>
        <v>0</v>
      </c>
      <c r="N269" s="19">
        <f t="shared" si="497"/>
        <v>0</v>
      </c>
      <c r="O269" s="19">
        <f t="shared" si="497"/>
        <v>0</v>
      </c>
      <c r="P269" s="19">
        <f t="shared" si="497"/>
        <v>0</v>
      </c>
      <c r="Q269" s="19">
        <f t="shared" si="497"/>
        <v>0</v>
      </c>
    </row>
    <row r="270" spans="2:17" ht="15.75" thickBot="1" x14ac:dyDescent="0.3">
      <c r="B270" s="55" t="s">
        <v>122</v>
      </c>
      <c r="C270" s="53">
        <f t="shared" ref="C270:E270" si="498">C264-SUM(C265:C269)</f>
        <v>0</v>
      </c>
      <c r="D270" s="53">
        <f t="shared" si="498"/>
        <v>0</v>
      </c>
      <c r="E270" s="53">
        <f t="shared" si="498"/>
        <v>0</v>
      </c>
      <c r="F270" s="53">
        <f>F264-SUM(F265:F269)</f>
        <v>58.5</v>
      </c>
      <c r="G270" s="53">
        <f>G264-SUM(G265:G269)</f>
        <v>52.650000000000006</v>
      </c>
      <c r="H270" s="54">
        <f t="shared" ref="H270" si="499">H264-SUM(H265:H269)</f>
        <v>46.770750000000007</v>
      </c>
      <c r="I270" s="54">
        <f t="shared" ref="I270" si="500">I264-SUM(I265:I269)</f>
        <v>40.862103750000003</v>
      </c>
      <c r="J270" s="54">
        <f t="shared" ref="J270" si="501">J264-SUM(J265:J269)</f>
        <v>34.923914268750018</v>
      </c>
      <c r="K270" s="54">
        <f t="shared" ref="K270" si="502">K264-SUM(K265:K269)</f>
        <v>28.956033840093774</v>
      </c>
      <c r="L270" s="54">
        <f t="shared" ref="L270" si="503">L264-SUM(L265:L269)</f>
        <v>22.958314009294249</v>
      </c>
      <c r="M270" s="54">
        <f t="shared" ref="M270" si="504">M264-SUM(M265:M269)</f>
        <v>16.930605579340721</v>
      </c>
      <c r="N270" s="54">
        <f t="shared" ref="N270" si="505">N264-SUM(N265:N269)</f>
        <v>10.872758607237429</v>
      </c>
      <c r="O270" s="54">
        <f t="shared" ref="O270" si="506">O264-SUM(O265:O269)</f>
        <v>4.7846224002736335</v>
      </c>
      <c r="P270" s="54">
        <f t="shared" ref="P270" si="507">P264-SUM(P265:P269)</f>
        <v>-1.3339544877249807</v>
      </c>
      <c r="Q270" s="54">
        <f t="shared" ref="Q270" si="508">Q264-SUM(Q265:Q269)</f>
        <v>-7.4831242601636063</v>
      </c>
    </row>
    <row r="271" spans="2:17" ht="15.75" thickTop="1" x14ac:dyDescent="0.25">
      <c r="B271" s="55"/>
      <c r="C271" s="51"/>
      <c r="D271" s="51"/>
      <c r="E271" s="51"/>
      <c r="F271" s="51"/>
      <c r="G271" s="51"/>
      <c r="H271" s="19"/>
      <c r="I271" s="19"/>
      <c r="J271" s="19"/>
      <c r="K271" s="19"/>
      <c r="L271" s="19"/>
      <c r="M271" s="19"/>
      <c r="N271" s="19"/>
      <c r="O271" s="19"/>
      <c r="P271" s="19"/>
      <c r="Q271" s="19"/>
    </row>
    <row r="272" spans="2:17" x14ac:dyDescent="0.25">
      <c r="B272" s="55" t="s">
        <v>139</v>
      </c>
      <c r="C272" s="51"/>
      <c r="D272" s="51"/>
      <c r="E272" s="51"/>
      <c r="F272" s="51"/>
      <c r="G272" s="51"/>
      <c r="H272" s="19"/>
      <c r="I272" s="19"/>
      <c r="J272" s="19"/>
      <c r="K272" s="19"/>
      <c r="L272" s="19"/>
      <c r="M272" s="19"/>
      <c r="N272" s="19"/>
      <c r="O272" s="19"/>
      <c r="P272" s="19"/>
      <c r="Q272" s="19"/>
    </row>
    <row r="273" spans="2:17" x14ac:dyDescent="0.25">
      <c r="B273" s="55" t="s">
        <v>113</v>
      </c>
      <c r="C273" s="50">
        <v>0</v>
      </c>
      <c r="D273" s="50">
        <v>0</v>
      </c>
      <c r="E273" s="50">
        <v>0</v>
      </c>
      <c r="F273" s="50">
        <v>0</v>
      </c>
      <c r="G273" s="50">
        <v>23.38</v>
      </c>
      <c r="H273" s="33">
        <f>G279</f>
        <v>24.16</v>
      </c>
      <c r="I273" s="33">
        <f t="shared" ref="I273:J273" si="509">H279</f>
        <v>24.943899999999999</v>
      </c>
      <c r="J273" s="33">
        <f t="shared" si="509"/>
        <v>25.731719500000001</v>
      </c>
      <c r="K273" s="33">
        <f>J279</f>
        <v>26.5234780975</v>
      </c>
      <c r="L273" s="33">
        <f t="shared" ref="L273:Q273" si="510">K279</f>
        <v>27.3191954879875</v>
      </c>
      <c r="M273" s="33">
        <f t="shared" si="510"/>
        <v>28.118891465427438</v>
      </c>
      <c r="N273" s="33">
        <f t="shared" si="510"/>
        <v>28.922585922754575</v>
      </c>
      <c r="O273" s="33">
        <f t="shared" si="510"/>
        <v>29.730298852368346</v>
      </c>
      <c r="P273" s="33">
        <f t="shared" si="510"/>
        <v>30.542050346630187</v>
      </c>
      <c r="Q273" s="33">
        <f t="shared" si="510"/>
        <v>31.357860598363338</v>
      </c>
    </row>
    <row r="274" spans="2:17" x14ac:dyDescent="0.25">
      <c r="B274" s="56" t="s">
        <v>114</v>
      </c>
      <c r="C274" s="51">
        <v>0</v>
      </c>
      <c r="D274" s="51">
        <v>0</v>
      </c>
      <c r="E274" s="51">
        <v>0</v>
      </c>
      <c r="F274" s="51">
        <v>0</v>
      </c>
      <c r="G274" s="51">
        <v>0</v>
      </c>
      <c r="H274" s="19">
        <f t="shared" ref="H274:Q274" si="511">G274*(1+0.5%)</f>
        <v>0</v>
      </c>
      <c r="I274" s="19">
        <f t="shared" si="511"/>
        <v>0</v>
      </c>
      <c r="J274" s="19">
        <f t="shared" si="511"/>
        <v>0</v>
      </c>
      <c r="K274" s="19">
        <f t="shared" si="511"/>
        <v>0</v>
      </c>
      <c r="L274" s="19">
        <f t="shared" si="511"/>
        <v>0</v>
      </c>
      <c r="M274" s="19">
        <f t="shared" si="511"/>
        <v>0</v>
      </c>
      <c r="N274" s="19">
        <f t="shared" si="511"/>
        <v>0</v>
      </c>
      <c r="O274" s="19">
        <f t="shared" si="511"/>
        <v>0</v>
      </c>
      <c r="P274" s="19">
        <f t="shared" si="511"/>
        <v>0</v>
      </c>
      <c r="Q274" s="19">
        <f t="shared" si="511"/>
        <v>0</v>
      </c>
    </row>
    <row r="275" spans="2:17" x14ac:dyDescent="0.25">
      <c r="B275" s="56" t="s">
        <v>135</v>
      </c>
      <c r="C275" s="51">
        <v>0</v>
      </c>
      <c r="D275" s="51">
        <v>0</v>
      </c>
      <c r="E275" s="51">
        <v>0</v>
      </c>
      <c r="F275" s="51">
        <v>23.38</v>
      </c>
      <c r="G275" s="51">
        <v>0</v>
      </c>
      <c r="H275" s="19">
        <f t="shared" ref="H275:Q275" si="512">G275*(1+0.5%)</f>
        <v>0</v>
      </c>
      <c r="I275" s="19">
        <f t="shared" si="512"/>
        <v>0</v>
      </c>
      <c r="J275" s="19">
        <f t="shared" si="512"/>
        <v>0</v>
      </c>
      <c r="K275" s="19">
        <f t="shared" si="512"/>
        <v>0</v>
      </c>
      <c r="L275" s="19">
        <f t="shared" si="512"/>
        <v>0</v>
      </c>
      <c r="M275" s="19">
        <f t="shared" si="512"/>
        <v>0</v>
      </c>
      <c r="N275" s="19">
        <f t="shared" si="512"/>
        <v>0</v>
      </c>
      <c r="O275" s="19">
        <f t="shared" si="512"/>
        <v>0</v>
      </c>
      <c r="P275" s="19">
        <f t="shared" si="512"/>
        <v>0</v>
      </c>
      <c r="Q275" s="19">
        <f t="shared" si="512"/>
        <v>0</v>
      </c>
    </row>
    <row r="276" spans="2:17" x14ac:dyDescent="0.25">
      <c r="B276" s="56" t="s">
        <v>115</v>
      </c>
      <c r="C276" s="51">
        <v>0</v>
      </c>
      <c r="D276" s="51">
        <v>0</v>
      </c>
      <c r="E276" s="51">
        <v>0</v>
      </c>
      <c r="F276" s="51">
        <v>0</v>
      </c>
      <c r="G276" s="51">
        <v>0.78</v>
      </c>
      <c r="H276" s="19">
        <f t="shared" ref="H276:Q276" si="513">G276*(1+0.5%)</f>
        <v>0.78389999999999993</v>
      </c>
      <c r="I276" s="19">
        <f t="shared" si="513"/>
        <v>0.78781949999999989</v>
      </c>
      <c r="J276" s="19">
        <f t="shared" si="513"/>
        <v>0.79175859749999977</v>
      </c>
      <c r="K276" s="19">
        <f t="shared" si="513"/>
        <v>0.79571739048749968</v>
      </c>
      <c r="L276" s="19">
        <f t="shared" si="513"/>
        <v>0.79969597743993714</v>
      </c>
      <c r="M276" s="19">
        <f t="shared" si="513"/>
        <v>0.80369445732713674</v>
      </c>
      <c r="N276" s="19">
        <f t="shared" si="513"/>
        <v>0.80771292961377228</v>
      </c>
      <c r="O276" s="19">
        <f t="shared" si="513"/>
        <v>0.81175149426184101</v>
      </c>
      <c r="P276" s="19">
        <f t="shared" si="513"/>
        <v>0.81581025173315014</v>
      </c>
      <c r="Q276" s="19">
        <f t="shared" si="513"/>
        <v>0.81988930299181584</v>
      </c>
    </row>
    <row r="277" spans="2:17" x14ac:dyDescent="0.25">
      <c r="B277" s="56" t="s">
        <v>136</v>
      </c>
      <c r="C277" s="51">
        <v>0</v>
      </c>
      <c r="D277" s="51">
        <v>0</v>
      </c>
      <c r="E277" s="51">
        <v>0</v>
      </c>
      <c r="F277" s="51">
        <v>0</v>
      </c>
      <c r="G277" s="51">
        <v>0</v>
      </c>
      <c r="H277" s="19">
        <f t="shared" ref="H277:Q277" si="514">G277*(1+0.5%)</f>
        <v>0</v>
      </c>
      <c r="I277" s="19">
        <f t="shared" si="514"/>
        <v>0</v>
      </c>
      <c r="J277" s="19">
        <f t="shared" si="514"/>
        <v>0</v>
      </c>
      <c r="K277" s="19">
        <f t="shared" si="514"/>
        <v>0</v>
      </c>
      <c r="L277" s="19">
        <f t="shared" si="514"/>
        <v>0</v>
      </c>
      <c r="M277" s="19">
        <f t="shared" si="514"/>
        <v>0</v>
      </c>
      <c r="N277" s="19">
        <f t="shared" si="514"/>
        <v>0</v>
      </c>
      <c r="O277" s="19">
        <f t="shared" si="514"/>
        <v>0</v>
      </c>
      <c r="P277" s="19">
        <f t="shared" si="514"/>
        <v>0</v>
      </c>
      <c r="Q277" s="19">
        <f t="shared" si="514"/>
        <v>0</v>
      </c>
    </row>
    <row r="278" spans="2:17" x14ac:dyDescent="0.25">
      <c r="B278" s="56" t="s">
        <v>117</v>
      </c>
      <c r="C278" s="51">
        <v>0</v>
      </c>
      <c r="D278" s="51">
        <v>0</v>
      </c>
      <c r="E278" s="51">
        <v>0</v>
      </c>
      <c r="F278" s="51">
        <v>0</v>
      </c>
      <c r="G278" s="51">
        <v>0</v>
      </c>
      <c r="H278" s="19">
        <f t="shared" ref="H278:Q278" si="515">G278*(1+0.5%)</f>
        <v>0</v>
      </c>
      <c r="I278" s="19">
        <f t="shared" si="515"/>
        <v>0</v>
      </c>
      <c r="J278" s="19">
        <f t="shared" si="515"/>
        <v>0</v>
      </c>
      <c r="K278" s="19">
        <f t="shared" si="515"/>
        <v>0</v>
      </c>
      <c r="L278" s="19">
        <f t="shared" si="515"/>
        <v>0</v>
      </c>
      <c r="M278" s="19">
        <f t="shared" si="515"/>
        <v>0</v>
      </c>
      <c r="N278" s="19">
        <f t="shared" si="515"/>
        <v>0</v>
      </c>
      <c r="O278" s="19">
        <f t="shared" si="515"/>
        <v>0</v>
      </c>
      <c r="P278" s="19">
        <f t="shared" si="515"/>
        <v>0</v>
      </c>
      <c r="Q278" s="19">
        <f t="shared" si="515"/>
        <v>0</v>
      </c>
    </row>
    <row r="279" spans="2:17" x14ac:dyDescent="0.25">
      <c r="B279" s="55" t="s">
        <v>118</v>
      </c>
      <c r="C279" s="50">
        <f t="shared" ref="C279:E279" si="516">SUM(C273:C278)</f>
        <v>0</v>
      </c>
      <c r="D279" s="50">
        <f t="shared" si="516"/>
        <v>0</v>
      </c>
      <c r="E279" s="50">
        <f t="shared" si="516"/>
        <v>0</v>
      </c>
      <c r="F279" s="50">
        <f>SUM(F273:F278)</f>
        <v>23.38</v>
      </c>
      <c r="G279" s="50">
        <f>SUM(G273:G278)</f>
        <v>24.16</v>
      </c>
      <c r="H279" s="33">
        <f>SUM(H273:H278)</f>
        <v>24.943899999999999</v>
      </c>
      <c r="I279" s="33">
        <f t="shared" ref="I279" si="517">SUM(I273:I278)</f>
        <v>25.731719500000001</v>
      </c>
      <c r="J279" s="33">
        <f t="shared" ref="J279" si="518">SUM(J273:J278)</f>
        <v>26.5234780975</v>
      </c>
      <c r="K279" s="33">
        <f t="shared" ref="K279" si="519">SUM(K273:K278)</f>
        <v>27.3191954879875</v>
      </c>
      <c r="L279" s="33">
        <f t="shared" ref="L279" si="520">SUM(L273:L278)</f>
        <v>28.118891465427438</v>
      </c>
      <c r="M279" s="33">
        <f t="shared" ref="M279" si="521">SUM(M273:M278)</f>
        <v>28.922585922754575</v>
      </c>
      <c r="N279" s="33">
        <f t="shared" ref="N279" si="522">SUM(N273:N278)</f>
        <v>29.730298852368346</v>
      </c>
      <c r="O279" s="33">
        <f t="shared" ref="O279" si="523">SUM(O273:O278)</f>
        <v>30.542050346630187</v>
      </c>
      <c r="P279" s="33">
        <f t="shared" ref="P279" si="524">SUM(P273:P278)</f>
        <v>31.357860598363338</v>
      </c>
      <c r="Q279" s="33">
        <f t="shared" ref="Q279" si="525">SUM(Q273:Q278)</f>
        <v>32.177749901355156</v>
      </c>
    </row>
    <row r="280" spans="2:17" x14ac:dyDescent="0.25">
      <c r="B280" s="56" t="s">
        <v>120</v>
      </c>
      <c r="C280" s="51">
        <v>0</v>
      </c>
      <c r="D280" s="51">
        <v>0</v>
      </c>
      <c r="E280" s="51">
        <v>0</v>
      </c>
      <c r="F280" s="51">
        <v>0</v>
      </c>
      <c r="G280" s="51">
        <v>0.76</v>
      </c>
      <c r="H280" s="19">
        <f>SUM(G280:G284)</f>
        <v>3.21</v>
      </c>
      <c r="I280" s="19">
        <f t="shared" ref="I280:Q280" si="526">SUM(H280:H284)</f>
        <v>5.67225</v>
      </c>
      <c r="J280" s="19">
        <f t="shared" si="526"/>
        <v>8.1468112500000007</v>
      </c>
      <c r="K280" s="19">
        <f t="shared" si="526"/>
        <v>10.633745306250001</v>
      </c>
      <c r="L280" s="19">
        <f t="shared" si="526"/>
        <v>13.133114032781251</v>
      </c>
      <c r="M280" s="19">
        <f t="shared" si="526"/>
        <v>15.644979602945156</v>
      </c>
      <c r="N280" s="19">
        <f t="shared" si="526"/>
        <v>18.169404500959878</v>
      </c>
      <c r="O280" s="19">
        <f t="shared" si="526"/>
        <v>20.706451523464676</v>
      </c>
      <c r="P280" s="19">
        <f t="shared" si="526"/>
        <v>23.256183781081997</v>
      </c>
      <c r="Q280" s="19">
        <f t="shared" si="526"/>
        <v>25.818664699987405</v>
      </c>
    </row>
    <row r="281" spans="2:17" x14ac:dyDescent="0.25">
      <c r="B281" s="56" t="s">
        <v>121</v>
      </c>
      <c r="C281" s="51">
        <v>0</v>
      </c>
      <c r="D281" s="51">
        <v>0</v>
      </c>
      <c r="E281" s="51">
        <v>0</v>
      </c>
      <c r="F281" s="51">
        <v>0.76</v>
      </c>
      <c r="G281" s="51">
        <v>2.37</v>
      </c>
      <c r="H281" s="19">
        <f t="shared" ref="H281:Q281" si="527">G281*(1+0.5%)</f>
        <v>2.38185</v>
      </c>
      <c r="I281" s="19">
        <f t="shared" si="527"/>
        <v>2.3937592499999996</v>
      </c>
      <c r="J281" s="19">
        <f t="shared" si="527"/>
        <v>2.4057280462499993</v>
      </c>
      <c r="K281" s="19">
        <f t="shared" si="527"/>
        <v>2.417756686481249</v>
      </c>
      <c r="L281" s="19">
        <f t="shared" si="527"/>
        <v>2.4298454699136549</v>
      </c>
      <c r="M281" s="19">
        <f t="shared" si="527"/>
        <v>2.4419946972632229</v>
      </c>
      <c r="N281" s="19">
        <f t="shared" si="527"/>
        <v>2.4542046707495389</v>
      </c>
      <c r="O281" s="19">
        <f t="shared" si="527"/>
        <v>2.4664756941032864</v>
      </c>
      <c r="P281" s="19">
        <f t="shared" si="527"/>
        <v>2.4788080725738024</v>
      </c>
      <c r="Q281" s="19">
        <f t="shared" si="527"/>
        <v>2.491202112936671</v>
      </c>
    </row>
    <row r="282" spans="2:17" x14ac:dyDescent="0.25">
      <c r="B282" s="56" t="s">
        <v>115</v>
      </c>
      <c r="C282" s="51">
        <v>0</v>
      </c>
      <c r="D282" s="51">
        <v>0</v>
      </c>
      <c r="E282" s="51">
        <v>0</v>
      </c>
      <c r="F282" s="51">
        <v>0</v>
      </c>
      <c r="G282" s="51">
        <v>0.08</v>
      </c>
      <c r="H282" s="19">
        <f t="shared" ref="H282:Q282" si="528">G282*(1+0.5%)</f>
        <v>8.0399999999999999E-2</v>
      </c>
      <c r="I282" s="19">
        <f t="shared" si="528"/>
        <v>8.0801999999999985E-2</v>
      </c>
      <c r="J282" s="19">
        <f t="shared" si="528"/>
        <v>8.1206009999999981E-2</v>
      </c>
      <c r="K282" s="19">
        <f t="shared" si="528"/>
        <v>8.1612040049999973E-2</v>
      </c>
      <c r="L282" s="19">
        <f t="shared" si="528"/>
        <v>8.2020100250249958E-2</v>
      </c>
      <c r="M282" s="19">
        <f t="shared" si="528"/>
        <v>8.2430200751501204E-2</v>
      </c>
      <c r="N282" s="19">
        <f t="shared" si="528"/>
        <v>8.2842351755258697E-2</v>
      </c>
      <c r="O282" s="19">
        <f t="shared" si="528"/>
        <v>8.3256563514034987E-2</v>
      </c>
      <c r="P282" s="19">
        <f t="shared" si="528"/>
        <v>8.3672846331605155E-2</v>
      </c>
      <c r="Q282" s="19">
        <f t="shared" si="528"/>
        <v>8.4091210563263172E-2</v>
      </c>
    </row>
    <row r="283" spans="2:17" x14ac:dyDescent="0.25">
      <c r="B283" s="56" t="s">
        <v>117</v>
      </c>
      <c r="C283" s="51">
        <v>0</v>
      </c>
      <c r="D283" s="51">
        <v>0</v>
      </c>
      <c r="E283" s="51">
        <v>0</v>
      </c>
      <c r="F283" s="51">
        <v>0</v>
      </c>
      <c r="G283" s="51">
        <v>0</v>
      </c>
      <c r="H283" s="19">
        <f t="shared" ref="H283:Q283" si="529">G283*(1+0.5%)</f>
        <v>0</v>
      </c>
      <c r="I283" s="19">
        <f t="shared" si="529"/>
        <v>0</v>
      </c>
      <c r="J283" s="19">
        <f t="shared" si="529"/>
        <v>0</v>
      </c>
      <c r="K283" s="19">
        <f t="shared" si="529"/>
        <v>0</v>
      </c>
      <c r="L283" s="19">
        <f t="shared" si="529"/>
        <v>0</v>
      </c>
      <c r="M283" s="19">
        <f t="shared" si="529"/>
        <v>0</v>
      </c>
      <c r="N283" s="19">
        <f t="shared" si="529"/>
        <v>0</v>
      </c>
      <c r="O283" s="19">
        <f t="shared" si="529"/>
        <v>0</v>
      </c>
      <c r="P283" s="19">
        <f t="shared" si="529"/>
        <v>0</v>
      </c>
      <c r="Q283" s="19">
        <f t="shared" si="529"/>
        <v>0</v>
      </c>
    </row>
    <row r="284" spans="2:17" x14ac:dyDescent="0.25">
      <c r="B284" s="56" t="s">
        <v>136</v>
      </c>
      <c r="C284" s="51">
        <v>0</v>
      </c>
      <c r="D284" s="51">
        <v>0</v>
      </c>
      <c r="E284" s="51">
        <v>0</v>
      </c>
      <c r="F284" s="51">
        <v>0</v>
      </c>
      <c r="G284" s="51">
        <v>0</v>
      </c>
      <c r="H284" s="19">
        <f t="shared" ref="H284:Q284" si="530">G284*(1+0.5%)</f>
        <v>0</v>
      </c>
      <c r="I284" s="19">
        <f t="shared" si="530"/>
        <v>0</v>
      </c>
      <c r="J284" s="19">
        <f t="shared" si="530"/>
        <v>0</v>
      </c>
      <c r="K284" s="19">
        <f t="shared" si="530"/>
        <v>0</v>
      </c>
      <c r="L284" s="19">
        <f t="shared" si="530"/>
        <v>0</v>
      </c>
      <c r="M284" s="19">
        <f t="shared" si="530"/>
        <v>0</v>
      </c>
      <c r="N284" s="19">
        <f t="shared" si="530"/>
        <v>0</v>
      </c>
      <c r="O284" s="19">
        <f t="shared" si="530"/>
        <v>0</v>
      </c>
      <c r="P284" s="19">
        <f t="shared" si="530"/>
        <v>0</v>
      </c>
      <c r="Q284" s="19">
        <f t="shared" si="530"/>
        <v>0</v>
      </c>
    </row>
    <row r="285" spans="2:17" ht="15.75" thickBot="1" x14ac:dyDescent="0.3">
      <c r="B285" s="55" t="s">
        <v>122</v>
      </c>
      <c r="C285" s="53">
        <f t="shared" ref="C285:E285" si="531">C279-SUM(C280:C284)</f>
        <v>0</v>
      </c>
      <c r="D285" s="53">
        <f t="shared" si="531"/>
        <v>0</v>
      </c>
      <c r="E285" s="53">
        <f t="shared" si="531"/>
        <v>0</v>
      </c>
      <c r="F285" s="53">
        <f>F279-SUM(F280:F284)</f>
        <v>22.619999999999997</v>
      </c>
      <c r="G285" s="53">
        <f>G279-SUM(G280:G284)</f>
        <v>20.95</v>
      </c>
      <c r="H285" s="54">
        <f t="shared" ref="H285" si="532">H279-SUM(H280:H284)</f>
        <v>19.271650000000001</v>
      </c>
      <c r="I285" s="54">
        <f t="shared" ref="I285" si="533">I279-SUM(I280:I284)</f>
        <v>17.584908249999998</v>
      </c>
      <c r="J285" s="54">
        <f t="shared" ref="J285" si="534">J279-SUM(J280:J284)</f>
        <v>15.889732791249999</v>
      </c>
      <c r="K285" s="54">
        <f t="shared" ref="K285" si="535">K279-SUM(K280:K284)</f>
        <v>14.186081455206249</v>
      </c>
      <c r="L285" s="54">
        <f t="shared" ref="L285" si="536">L279-SUM(L280:L284)</f>
        <v>12.473911862482282</v>
      </c>
      <c r="M285" s="54">
        <f t="shared" ref="M285" si="537">M279-SUM(M280:M284)</f>
        <v>10.753181421794697</v>
      </c>
      <c r="N285" s="54">
        <f t="shared" ref="N285" si="538">N279-SUM(N280:N284)</f>
        <v>9.0238473289036705</v>
      </c>
      <c r="O285" s="54">
        <f t="shared" ref="O285" si="539">O279-SUM(O280:O284)</f>
        <v>7.28586656554819</v>
      </c>
      <c r="P285" s="54">
        <f t="shared" ref="P285" si="540">P279-SUM(P280:P284)</f>
        <v>5.5391958983759331</v>
      </c>
      <c r="Q285" s="54">
        <f t="shared" ref="Q285" si="541">Q279-SUM(Q280:Q284)</f>
        <v>3.7837918778678166</v>
      </c>
    </row>
    <row r="286" spans="2:17" ht="15.75" thickTop="1" x14ac:dyDescent="0.25">
      <c r="B286" s="56"/>
      <c r="C286" s="51"/>
      <c r="D286" s="51"/>
      <c r="E286" s="51"/>
      <c r="F286" s="51"/>
      <c r="G286" s="51"/>
      <c r="H286" s="19"/>
      <c r="I286" s="19"/>
      <c r="J286" s="19"/>
      <c r="K286" s="19"/>
      <c r="L286" s="19"/>
      <c r="M286" s="19"/>
      <c r="N286" s="19"/>
      <c r="O286" s="19"/>
      <c r="P286" s="19"/>
      <c r="Q286" s="19"/>
    </row>
    <row r="287" spans="2:17" ht="15.75" thickBot="1" x14ac:dyDescent="0.3">
      <c r="B287" s="55" t="s">
        <v>161</v>
      </c>
      <c r="C287" s="53">
        <f>SUM(C209,C224,C240,C255,C270,C285)</f>
        <v>1079.71</v>
      </c>
      <c r="D287" s="53">
        <f t="shared" ref="D287:Q287" si="542">SUM(D209,D224,D240,D255,D270,D285)</f>
        <v>1196.03</v>
      </c>
      <c r="E287" s="53">
        <f t="shared" si="542"/>
        <v>1118.3099999999995</v>
      </c>
      <c r="F287" s="53">
        <f t="shared" si="542"/>
        <v>1190.7699999999995</v>
      </c>
      <c r="G287" s="53">
        <f t="shared" si="542"/>
        <v>1092.3599999999999</v>
      </c>
      <c r="H287" s="54">
        <f t="shared" si="542"/>
        <v>993.45794999999998</v>
      </c>
      <c r="I287" s="54">
        <f t="shared" si="542"/>
        <v>894.06138975000033</v>
      </c>
      <c r="J287" s="54">
        <f t="shared" si="542"/>
        <v>794.16784669875062</v>
      </c>
      <c r="K287" s="54">
        <f t="shared" si="542"/>
        <v>693.7748359322444</v>
      </c>
      <c r="L287" s="54">
        <f t="shared" si="542"/>
        <v>592.87986011190571</v>
      </c>
      <c r="M287" s="54">
        <f t="shared" si="542"/>
        <v>491.48040941246529</v>
      </c>
      <c r="N287" s="54">
        <f t="shared" si="542"/>
        <v>389.57396145952765</v>
      </c>
      <c r="O287" s="54">
        <f t="shared" si="542"/>
        <v>287.15798126682546</v>
      </c>
      <c r="P287" s="54">
        <f t="shared" si="542"/>
        <v>184.22992117316016</v>
      </c>
      <c r="Q287" s="54">
        <f t="shared" si="542"/>
        <v>80.78722077902556</v>
      </c>
    </row>
    <row r="288" spans="2:17" ht="15.75" thickTop="1" x14ac:dyDescent="0.25">
      <c r="B288" s="56"/>
      <c r="C288" s="51"/>
      <c r="D288" s="51"/>
      <c r="E288" s="51"/>
      <c r="F288" s="51"/>
      <c r="G288" s="51"/>
      <c r="H288" s="19"/>
      <c r="I288" s="19"/>
      <c r="J288" s="19"/>
      <c r="K288" s="19"/>
      <c r="L288" s="19"/>
      <c r="M288" s="19"/>
      <c r="N288" s="19"/>
      <c r="O288" s="19"/>
      <c r="P288" s="19"/>
      <c r="Q288" s="19"/>
    </row>
    <row r="289" spans="2:17" ht="15.75" thickBot="1" x14ac:dyDescent="0.3">
      <c r="B289" s="55" t="s">
        <v>142</v>
      </c>
      <c r="C289" s="53">
        <f>SUM(C281,C266,C251,C236,C220,C205,)</f>
        <v>151.88</v>
      </c>
      <c r="D289" s="53">
        <f t="shared" ref="D289:Q289" si="543">SUM(D281,D266,D251,D236,D220,D205,)</f>
        <v>188.52</v>
      </c>
      <c r="E289" s="53">
        <f t="shared" si="543"/>
        <v>194.67</v>
      </c>
      <c r="F289" s="53">
        <f t="shared" si="543"/>
        <v>226.89999999999998</v>
      </c>
      <c r="G289" s="53">
        <f t="shared" si="543"/>
        <v>218.85</v>
      </c>
      <c r="H289" s="54">
        <f t="shared" si="543"/>
        <v>219.94424999999995</v>
      </c>
      <c r="I289" s="54">
        <f t="shared" si="543"/>
        <v>221.04397124999994</v>
      </c>
      <c r="J289" s="54">
        <f t="shared" si="543"/>
        <v>222.1491911062499</v>
      </c>
      <c r="K289" s="54">
        <f t="shared" si="543"/>
        <v>223.25993706178116</v>
      </c>
      <c r="L289" s="54">
        <f t="shared" si="543"/>
        <v>224.37623674709008</v>
      </c>
      <c r="M289" s="54">
        <f t="shared" si="543"/>
        <v>225.49811793082546</v>
      </c>
      <c r="N289" s="54">
        <f t="shared" si="543"/>
        <v>226.6256085204796</v>
      </c>
      <c r="O289" s="54">
        <f t="shared" si="543"/>
        <v>227.75873656308198</v>
      </c>
      <c r="P289" s="54">
        <f t="shared" si="543"/>
        <v>228.89753024589737</v>
      </c>
      <c r="Q289" s="54">
        <f t="shared" si="543"/>
        <v>230.04201789712684</v>
      </c>
    </row>
    <row r="290" spans="2:17" ht="15.75" thickTop="1" x14ac:dyDescent="0.25">
      <c r="B290" s="56"/>
      <c r="C290" s="51"/>
      <c r="D290" s="163"/>
      <c r="E290" s="163"/>
      <c r="F290" s="163"/>
      <c r="G290" s="163"/>
      <c r="H290" s="190"/>
      <c r="I290" s="190"/>
      <c r="J290" s="190"/>
      <c r="K290" s="190"/>
      <c r="L290" s="190"/>
      <c r="M290" s="190"/>
      <c r="N290" s="190"/>
      <c r="O290" s="190"/>
      <c r="P290" s="190"/>
      <c r="Q290" s="190"/>
    </row>
    <row r="291" spans="2:17" x14ac:dyDescent="0.25">
      <c r="B291" s="56"/>
      <c r="C291" s="51"/>
      <c r="D291" s="51"/>
      <c r="E291" s="51"/>
      <c r="F291" s="51"/>
      <c r="G291" s="51"/>
      <c r="H291" s="19"/>
      <c r="I291" s="19"/>
      <c r="J291" s="19"/>
      <c r="K291" s="19"/>
      <c r="L291" s="19"/>
      <c r="M291" s="19"/>
      <c r="N291" s="19"/>
      <c r="O291" s="19"/>
      <c r="P291" s="19"/>
      <c r="Q291" s="19"/>
    </row>
    <row r="292" spans="2:17" ht="15.75" x14ac:dyDescent="0.25">
      <c r="B292" s="246" t="s">
        <v>276</v>
      </c>
      <c r="C292" s="247"/>
      <c r="D292" s="247"/>
      <c r="E292" s="247"/>
      <c r="F292" s="247"/>
      <c r="G292" s="247"/>
      <c r="H292" s="247"/>
      <c r="I292" s="247"/>
      <c r="J292" s="247"/>
      <c r="K292" s="247"/>
      <c r="L292" s="247"/>
      <c r="M292" s="247"/>
      <c r="N292" s="247"/>
      <c r="O292" s="247"/>
      <c r="P292" s="247"/>
      <c r="Q292" s="247"/>
    </row>
    <row r="293" spans="2:17" x14ac:dyDescent="0.25">
      <c r="B293" s="55" t="s">
        <v>113</v>
      </c>
      <c r="C293" s="50">
        <v>559.09</v>
      </c>
      <c r="D293" s="50">
        <v>521.45000000000005</v>
      </c>
      <c r="E293" s="50">
        <v>417.16</v>
      </c>
      <c r="F293" s="50">
        <v>427.29</v>
      </c>
      <c r="G293" s="50">
        <v>399.34</v>
      </c>
      <c r="H293" s="33">
        <f>G299</f>
        <v>457.14</v>
      </c>
      <c r="I293" s="33">
        <f t="shared" ref="I293:Q293" si="544">H299</f>
        <v>515.22900000000004</v>
      </c>
      <c r="J293" s="33">
        <f t="shared" si="544"/>
        <v>573.60844499999996</v>
      </c>
      <c r="K293" s="33">
        <f t="shared" si="544"/>
        <v>632.27978722499984</v>
      </c>
      <c r="L293" s="33">
        <f t="shared" si="544"/>
        <v>691.24448616112477</v>
      </c>
      <c r="M293" s="33">
        <f t="shared" si="544"/>
        <v>750.5040085919303</v>
      </c>
      <c r="N293" s="33">
        <f t="shared" si="544"/>
        <v>810.05982863488987</v>
      </c>
      <c r="O293" s="33">
        <f t="shared" si="544"/>
        <v>869.91342777806426</v>
      </c>
      <c r="P293" s="33">
        <f t="shared" si="544"/>
        <v>930.06629491695458</v>
      </c>
      <c r="Q293" s="33">
        <f t="shared" si="544"/>
        <v>990.51992639153934</v>
      </c>
    </row>
    <row r="294" spans="2:17" x14ac:dyDescent="0.25">
      <c r="B294" s="56" t="s">
        <v>114</v>
      </c>
      <c r="C294" s="51">
        <v>20.14</v>
      </c>
      <c r="D294" s="51">
        <v>27.04</v>
      </c>
      <c r="E294" s="51">
        <v>65.08</v>
      </c>
      <c r="F294" s="51">
        <v>91.89</v>
      </c>
      <c r="G294" s="51">
        <v>65.400000000000006</v>
      </c>
      <c r="H294" s="19">
        <f>G294*(1+0.5%)</f>
        <v>65.727000000000004</v>
      </c>
      <c r="I294" s="19">
        <f t="shared" ref="I294:Q294" si="545">H294*(1+0.5%)</f>
        <v>66.055634999999995</v>
      </c>
      <c r="J294" s="19">
        <f t="shared" si="545"/>
        <v>66.385913174999985</v>
      </c>
      <c r="K294" s="19">
        <f t="shared" si="545"/>
        <v>66.717842740874971</v>
      </c>
      <c r="L294" s="19">
        <f t="shared" si="545"/>
        <v>67.051431954579343</v>
      </c>
      <c r="M294" s="19">
        <f t="shared" si="545"/>
        <v>67.386689114352237</v>
      </c>
      <c r="N294" s="19">
        <f t="shared" si="545"/>
        <v>67.723622559923996</v>
      </c>
      <c r="O294" s="19">
        <f t="shared" si="545"/>
        <v>68.062240672723604</v>
      </c>
      <c r="P294" s="19">
        <f t="shared" si="545"/>
        <v>68.402551876087216</v>
      </c>
      <c r="Q294" s="19">
        <f t="shared" si="545"/>
        <v>68.74456463546764</v>
      </c>
    </row>
    <row r="295" spans="2:17" x14ac:dyDescent="0.25">
      <c r="B295" s="56" t="s">
        <v>135</v>
      </c>
      <c r="C295" s="51">
        <v>0</v>
      </c>
      <c r="D295" s="51">
        <v>17.71</v>
      </c>
      <c r="E295" s="51">
        <v>0</v>
      </c>
      <c r="F295" s="51">
        <v>0</v>
      </c>
      <c r="G295" s="51">
        <v>0</v>
      </c>
      <c r="H295" s="19">
        <f t="shared" ref="H295:Q295" si="546">G295*(1+0.5%)</f>
        <v>0</v>
      </c>
      <c r="I295" s="19">
        <f t="shared" si="546"/>
        <v>0</v>
      </c>
      <c r="J295" s="19">
        <f t="shared" si="546"/>
        <v>0</v>
      </c>
      <c r="K295" s="19">
        <f t="shared" si="546"/>
        <v>0</v>
      </c>
      <c r="L295" s="19">
        <f t="shared" si="546"/>
        <v>0</v>
      </c>
      <c r="M295" s="19">
        <f t="shared" si="546"/>
        <v>0</v>
      </c>
      <c r="N295" s="19">
        <f t="shared" si="546"/>
        <v>0</v>
      </c>
      <c r="O295" s="19">
        <f t="shared" si="546"/>
        <v>0</v>
      </c>
      <c r="P295" s="19">
        <f t="shared" si="546"/>
        <v>0</v>
      </c>
      <c r="Q295" s="19">
        <f t="shared" si="546"/>
        <v>0</v>
      </c>
    </row>
    <row r="296" spans="2:17" x14ac:dyDescent="0.25">
      <c r="B296" s="56" t="s">
        <v>115</v>
      </c>
      <c r="C296" s="51">
        <v>-0.56000000000000005</v>
      </c>
      <c r="D296" s="51">
        <v>2.84</v>
      </c>
      <c r="E296" s="51">
        <v>3.47</v>
      </c>
      <c r="F296" s="51">
        <v>0.62</v>
      </c>
      <c r="G296" s="51">
        <v>1.5</v>
      </c>
      <c r="H296" s="19">
        <f t="shared" ref="H296:Q296" si="547">G296*(1+0.5%)</f>
        <v>1.5074999999999998</v>
      </c>
      <c r="I296" s="19">
        <f t="shared" si="547"/>
        <v>1.5150374999999996</v>
      </c>
      <c r="J296" s="19">
        <f t="shared" si="547"/>
        <v>1.5226126874999995</v>
      </c>
      <c r="K296" s="19">
        <f t="shared" si="547"/>
        <v>1.5302257509374992</v>
      </c>
      <c r="L296" s="19">
        <f t="shared" si="547"/>
        <v>1.5378768796921867</v>
      </c>
      <c r="M296" s="19">
        <f t="shared" si="547"/>
        <v>1.5455662640906473</v>
      </c>
      <c r="N296" s="19">
        <f t="shared" si="547"/>
        <v>1.5532940954111005</v>
      </c>
      <c r="O296" s="19">
        <f t="shared" si="547"/>
        <v>1.5610605658881558</v>
      </c>
      <c r="P296" s="19">
        <f t="shared" si="547"/>
        <v>1.5688658687175965</v>
      </c>
      <c r="Q296" s="19">
        <f t="shared" si="547"/>
        <v>1.5767101980611844</v>
      </c>
    </row>
    <row r="297" spans="2:17" x14ac:dyDescent="0.25">
      <c r="B297" s="56" t="s">
        <v>136</v>
      </c>
      <c r="C297" s="51">
        <v>0</v>
      </c>
      <c r="D297" s="51">
        <v>0.15</v>
      </c>
      <c r="E297" s="51">
        <v>0</v>
      </c>
      <c r="F297" s="51">
        <v>0</v>
      </c>
      <c r="G297" s="51">
        <v>0</v>
      </c>
      <c r="H297" s="19">
        <f t="shared" ref="H297:Q297" si="548">G297*(1+0.5%)</f>
        <v>0</v>
      </c>
      <c r="I297" s="19">
        <f t="shared" si="548"/>
        <v>0</v>
      </c>
      <c r="J297" s="19">
        <f t="shared" si="548"/>
        <v>0</v>
      </c>
      <c r="K297" s="19">
        <f t="shared" si="548"/>
        <v>0</v>
      </c>
      <c r="L297" s="19">
        <f t="shared" si="548"/>
        <v>0</v>
      </c>
      <c r="M297" s="19">
        <f t="shared" si="548"/>
        <v>0</v>
      </c>
      <c r="N297" s="19">
        <f t="shared" si="548"/>
        <v>0</v>
      </c>
      <c r="O297" s="19">
        <f t="shared" si="548"/>
        <v>0</v>
      </c>
      <c r="P297" s="19">
        <f t="shared" si="548"/>
        <v>0</v>
      </c>
      <c r="Q297" s="19">
        <f t="shared" si="548"/>
        <v>0</v>
      </c>
    </row>
    <row r="298" spans="2:17" x14ac:dyDescent="0.25">
      <c r="B298" s="56" t="s">
        <v>117</v>
      </c>
      <c r="C298" s="51">
        <v>-17.8</v>
      </c>
      <c r="D298" s="51">
        <v>-104.64</v>
      </c>
      <c r="E298" s="51">
        <v>-2.59</v>
      </c>
      <c r="F298" s="51">
        <v>-59.44</v>
      </c>
      <c r="G298" s="51">
        <v>-9.1</v>
      </c>
      <c r="H298" s="19">
        <f t="shared" ref="H298:Q298" si="549">G298*(1+0.5%)</f>
        <v>-9.1454999999999984</v>
      </c>
      <c r="I298" s="19">
        <f t="shared" si="549"/>
        <v>-9.1912274999999966</v>
      </c>
      <c r="J298" s="19">
        <f t="shared" si="549"/>
        <v>-9.2371836374999958</v>
      </c>
      <c r="K298" s="19">
        <f t="shared" si="549"/>
        <v>-9.2833695556874947</v>
      </c>
      <c r="L298" s="19">
        <f t="shared" si="549"/>
        <v>-9.3297864034659312</v>
      </c>
      <c r="M298" s="19">
        <f t="shared" si="549"/>
        <v>-9.3764353354832597</v>
      </c>
      <c r="N298" s="19">
        <f t="shared" si="549"/>
        <v>-9.4233175121606756</v>
      </c>
      <c r="O298" s="19">
        <f t="shared" si="549"/>
        <v>-9.4704340997214782</v>
      </c>
      <c r="P298" s="19">
        <f t="shared" si="549"/>
        <v>-9.5177862702200837</v>
      </c>
      <c r="Q298" s="19">
        <f t="shared" si="549"/>
        <v>-9.5653752015711824</v>
      </c>
    </row>
    <row r="299" spans="2:17" x14ac:dyDescent="0.25">
      <c r="B299" s="55" t="s">
        <v>118</v>
      </c>
      <c r="C299" s="50">
        <f>SUM(C293:C298)</f>
        <v>560.87000000000012</v>
      </c>
      <c r="D299" s="50">
        <f>SUM(D293:D298)</f>
        <v>464.55000000000007</v>
      </c>
      <c r="E299" s="50">
        <f>SUM(E293:E298)</f>
        <v>483.12000000000006</v>
      </c>
      <c r="F299" s="50">
        <f>SUM(F293:F298)</f>
        <v>460.36000000000007</v>
      </c>
      <c r="G299" s="50">
        <f>SUM(G293:G298)</f>
        <v>457.14</v>
      </c>
      <c r="H299" s="33">
        <f t="shared" ref="H299:K299" si="550">SUM(H293:H298)</f>
        <v>515.22900000000004</v>
      </c>
      <c r="I299" s="33">
        <f t="shared" si="550"/>
        <v>573.60844499999996</v>
      </c>
      <c r="J299" s="33">
        <f t="shared" si="550"/>
        <v>632.27978722499984</v>
      </c>
      <c r="K299" s="33">
        <f t="shared" si="550"/>
        <v>691.24448616112477</v>
      </c>
      <c r="L299" s="33">
        <f t="shared" ref="L299" si="551">SUM(L293:L298)</f>
        <v>750.5040085919303</v>
      </c>
      <c r="M299" s="33">
        <f t="shared" ref="M299" si="552">SUM(M293:M298)</f>
        <v>810.05982863488987</v>
      </c>
      <c r="N299" s="33">
        <f t="shared" ref="N299" si="553">SUM(N293:N298)</f>
        <v>869.91342777806426</v>
      </c>
      <c r="O299" s="33">
        <f t="shared" ref="O299" si="554">SUM(O293:O298)</f>
        <v>930.06629491695458</v>
      </c>
      <c r="P299" s="33">
        <f t="shared" ref="P299" si="555">SUM(P293:P298)</f>
        <v>990.51992639153934</v>
      </c>
      <c r="Q299" s="33">
        <f t="shared" ref="Q299" si="556">SUM(Q293:Q298)</f>
        <v>1051.2758260234968</v>
      </c>
    </row>
    <row r="300" spans="2:17" x14ac:dyDescent="0.25">
      <c r="B300" s="56" t="s">
        <v>120</v>
      </c>
      <c r="C300" s="51">
        <v>0</v>
      </c>
      <c r="D300" s="51">
        <v>0</v>
      </c>
      <c r="E300" s="51">
        <v>0</v>
      </c>
      <c r="F300" s="51">
        <v>0</v>
      </c>
      <c r="G300" s="51">
        <v>0</v>
      </c>
      <c r="H300" s="19">
        <f>SUM(G300:G304)</f>
        <v>61.87</v>
      </c>
      <c r="I300" s="19">
        <f t="shared" ref="I300:Q300" si="557">SUM(H300:H304)</f>
        <v>124.04934999999999</v>
      </c>
      <c r="J300" s="19">
        <f t="shared" si="557"/>
        <v>186.53959674999999</v>
      </c>
      <c r="K300" s="19">
        <f t="shared" si="557"/>
        <v>249.34229473374995</v>
      </c>
      <c r="L300" s="19">
        <f t="shared" si="557"/>
        <v>312.45900620741867</v>
      </c>
      <c r="M300" s="19">
        <f t="shared" si="557"/>
        <v>375.89130123845575</v>
      </c>
      <c r="N300" s="19">
        <f t="shared" si="557"/>
        <v>439.640757744648</v>
      </c>
      <c r="O300" s="19">
        <f t="shared" si="557"/>
        <v>503.70896153337117</v>
      </c>
      <c r="P300" s="19">
        <f t="shared" si="557"/>
        <v>568.09750634103796</v>
      </c>
      <c r="Q300" s="19">
        <f t="shared" si="557"/>
        <v>632.80799387274305</v>
      </c>
    </row>
    <row r="301" spans="2:17" x14ac:dyDescent="0.25">
      <c r="B301" s="56" t="s">
        <v>121</v>
      </c>
      <c r="C301" s="51">
        <v>39.17</v>
      </c>
      <c r="D301" s="51">
        <v>47.39</v>
      </c>
      <c r="E301" s="51">
        <v>49.96</v>
      </c>
      <c r="F301" s="51">
        <v>61.02</v>
      </c>
      <c r="G301" s="51">
        <v>61.87</v>
      </c>
      <c r="H301" s="19">
        <f t="shared" ref="H301:Q301" si="558">G301*(1+0.5%)</f>
        <v>62.179349999999992</v>
      </c>
      <c r="I301" s="19">
        <f t="shared" si="558"/>
        <v>62.490246749999983</v>
      </c>
      <c r="J301" s="19">
        <f t="shared" si="558"/>
        <v>62.802697983749979</v>
      </c>
      <c r="K301" s="19">
        <f t="shared" si="558"/>
        <v>63.116711473668722</v>
      </c>
      <c r="L301" s="19">
        <f t="shared" si="558"/>
        <v>63.432295031037057</v>
      </c>
      <c r="M301" s="19">
        <f t="shared" si="558"/>
        <v>63.749456506192239</v>
      </c>
      <c r="N301" s="19">
        <f t="shared" si="558"/>
        <v>64.068203788723196</v>
      </c>
      <c r="O301" s="19">
        <f t="shared" si="558"/>
        <v>64.388544807666804</v>
      </c>
      <c r="P301" s="19">
        <f t="shared" si="558"/>
        <v>64.710487531705127</v>
      </c>
      <c r="Q301" s="19">
        <f t="shared" si="558"/>
        <v>65.034039969363647</v>
      </c>
    </row>
    <row r="302" spans="2:17" x14ac:dyDescent="0.25">
      <c r="B302" s="56" t="s">
        <v>115</v>
      </c>
      <c r="C302" s="51">
        <v>0.25</v>
      </c>
      <c r="D302" s="51">
        <v>0</v>
      </c>
      <c r="E302" s="51">
        <v>0</v>
      </c>
      <c r="F302" s="51">
        <v>0</v>
      </c>
      <c r="G302" s="51">
        <v>0</v>
      </c>
      <c r="H302" s="19">
        <f t="shared" ref="H302:Q302" si="559">G302*(1+0.5%)</f>
        <v>0</v>
      </c>
      <c r="I302" s="19">
        <f t="shared" si="559"/>
        <v>0</v>
      </c>
      <c r="J302" s="19">
        <f t="shared" si="559"/>
        <v>0</v>
      </c>
      <c r="K302" s="19">
        <f t="shared" si="559"/>
        <v>0</v>
      </c>
      <c r="L302" s="19">
        <f t="shared" si="559"/>
        <v>0</v>
      </c>
      <c r="M302" s="19">
        <f t="shared" si="559"/>
        <v>0</v>
      </c>
      <c r="N302" s="19">
        <f t="shared" si="559"/>
        <v>0</v>
      </c>
      <c r="O302" s="19">
        <f t="shared" si="559"/>
        <v>0</v>
      </c>
      <c r="P302" s="19">
        <f t="shared" si="559"/>
        <v>0</v>
      </c>
      <c r="Q302" s="19">
        <f t="shared" si="559"/>
        <v>0</v>
      </c>
    </row>
    <row r="303" spans="2:17" x14ac:dyDescent="0.25">
      <c r="B303" s="56" t="s">
        <v>117</v>
      </c>
      <c r="C303" s="51">
        <v>0</v>
      </c>
      <c r="D303" s="51">
        <v>0</v>
      </c>
      <c r="E303" s="51">
        <v>0</v>
      </c>
      <c r="F303" s="51">
        <v>0</v>
      </c>
      <c r="G303" s="51">
        <v>0</v>
      </c>
      <c r="H303" s="19">
        <f t="shared" ref="H303:Q303" si="560">G303*(1+0.5%)</f>
        <v>0</v>
      </c>
      <c r="I303" s="19">
        <f t="shared" si="560"/>
        <v>0</v>
      </c>
      <c r="J303" s="19">
        <f t="shared" si="560"/>
        <v>0</v>
      </c>
      <c r="K303" s="19">
        <f t="shared" si="560"/>
        <v>0</v>
      </c>
      <c r="L303" s="19">
        <f t="shared" si="560"/>
        <v>0</v>
      </c>
      <c r="M303" s="19">
        <f t="shared" si="560"/>
        <v>0</v>
      </c>
      <c r="N303" s="19">
        <f t="shared" si="560"/>
        <v>0</v>
      </c>
      <c r="O303" s="19">
        <f t="shared" si="560"/>
        <v>0</v>
      </c>
      <c r="P303" s="19">
        <f t="shared" si="560"/>
        <v>0</v>
      </c>
      <c r="Q303" s="19">
        <f t="shared" si="560"/>
        <v>0</v>
      </c>
    </row>
    <row r="304" spans="2:17" x14ac:dyDescent="0.25">
      <c r="B304" s="56" t="s">
        <v>136</v>
      </c>
      <c r="C304" s="51">
        <v>0</v>
      </c>
      <c r="D304" s="51">
        <v>0</v>
      </c>
      <c r="E304" s="51">
        <v>5.87</v>
      </c>
      <c r="F304" s="51">
        <v>0</v>
      </c>
      <c r="G304" s="51">
        <v>0</v>
      </c>
      <c r="H304" s="19">
        <f t="shared" ref="H304:Q304" si="561">G304*(1+0.5%)</f>
        <v>0</v>
      </c>
      <c r="I304" s="19">
        <f t="shared" si="561"/>
        <v>0</v>
      </c>
      <c r="J304" s="19">
        <f t="shared" si="561"/>
        <v>0</v>
      </c>
      <c r="K304" s="19">
        <f t="shared" si="561"/>
        <v>0</v>
      </c>
      <c r="L304" s="19">
        <f t="shared" si="561"/>
        <v>0</v>
      </c>
      <c r="M304" s="19">
        <f t="shared" si="561"/>
        <v>0</v>
      </c>
      <c r="N304" s="19">
        <f t="shared" si="561"/>
        <v>0</v>
      </c>
      <c r="O304" s="19">
        <f t="shared" si="561"/>
        <v>0</v>
      </c>
      <c r="P304" s="19">
        <f t="shared" si="561"/>
        <v>0</v>
      </c>
      <c r="Q304" s="19">
        <f t="shared" si="561"/>
        <v>0</v>
      </c>
    </row>
    <row r="305" spans="2:17" ht="15.75" thickBot="1" x14ac:dyDescent="0.3">
      <c r="B305" s="55" t="s">
        <v>122</v>
      </c>
      <c r="C305" s="53">
        <f t="shared" ref="C305:H305" si="562">C299-SUM(C300:C304)</f>
        <v>521.45000000000016</v>
      </c>
      <c r="D305" s="53">
        <f t="shared" si="562"/>
        <v>417.16000000000008</v>
      </c>
      <c r="E305" s="53">
        <f t="shared" si="562"/>
        <v>427.29000000000008</v>
      </c>
      <c r="F305" s="53">
        <f t="shared" si="562"/>
        <v>399.34000000000009</v>
      </c>
      <c r="G305" s="53">
        <f t="shared" si="562"/>
        <v>395.27</v>
      </c>
      <c r="H305" s="54">
        <f t="shared" si="562"/>
        <v>391.17965000000004</v>
      </c>
      <c r="I305" s="54">
        <f t="shared" ref="I305:K305" si="563">I299-SUM(I300:I304)</f>
        <v>387.06884824999997</v>
      </c>
      <c r="J305" s="54">
        <f t="shared" si="563"/>
        <v>382.93749249124988</v>
      </c>
      <c r="K305" s="54">
        <f t="shared" si="563"/>
        <v>378.7854799537061</v>
      </c>
      <c r="L305" s="54">
        <f t="shared" ref="L305" si="564">L299-SUM(L300:L304)</f>
        <v>374.61270735347455</v>
      </c>
      <c r="M305" s="54">
        <f t="shared" ref="M305" si="565">M299-SUM(M300:M304)</f>
        <v>370.41907089024187</v>
      </c>
      <c r="N305" s="54">
        <f t="shared" ref="N305" si="566">N299-SUM(N300:N304)</f>
        <v>366.20446624469309</v>
      </c>
      <c r="O305" s="54">
        <f t="shared" ref="O305" si="567">O299-SUM(O300:O304)</f>
        <v>361.96878857591662</v>
      </c>
      <c r="P305" s="54">
        <f t="shared" ref="P305" si="568">P299-SUM(P300:P304)</f>
        <v>357.71193251879629</v>
      </c>
      <c r="Q305" s="54">
        <f t="shared" ref="Q305" si="569">Q299-SUM(Q300:Q304)</f>
        <v>353.43379218139012</v>
      </c>
    </row>
    <row r="306" spans="2:17" ht="15.75" thickTop="1" x14ac:dyDescent="0.25">
      <c r="B306" s="56"/>
      <c r="C306" s="51"/>
      <c r="D306" s="51"/>
      <c r="E306" s="51"/>
      <c r="F306" s="51"/>
      <c r="G306" s="51"/>
      <c r="H306" s="19"/>
      <c r="I306" s="19"/>
      <c r="J306" s="19"/>
      <c r="K306" s="19"/>
      <c r="L306" s="19"/>
      <c r="M306" s="19"/>
      <c r="N306" s="19"/>
      <c r="O306" s="19"/>
      <c r="P306" s="19"/>
      <c r="Q306" s="19"/>
    </row>
    <row r="307" spans="2:17" x14ac:dyDescent="0.25">
      <c r="B307" s="56"/>
      <c r="C307" s="51"/>
      <c r="D307" s="51"/>
      <c r="E307" s="51"/>
      <c r="F307" s="51"/>
      <c r="G307" s="51"/>
      <c r="H307" s="19"/>
      <c r="I307" s="19"/>
      <c r="J307" s="19"/>
      <c r="K307" s="19"/>
      <c r="L307" s="19"/>
      <c r="M307" s="19"/>
      <c r="N307" s="19"/>
      <c r="O307" s="19"/>
      <c r="P307" s="19"/>
      <c r="Q307" s="19"/>
    </row>
    <row r="308" spans="2:17" ht="15.75" thickBot="1" x14ac:dyDescent="0.3">
      <c r="B308" s="55" t="s">
        <v>141</v>
      </c>
      <c r="C308" s="53">
        <f>SUM(C189,C287,C305)</f>
        <v>6915.37</v>
      </c>
      <c r="D308" s="53">
        <f t="shared" ref="D308:Q308" si="570">SUM(D189,D287,D305)</f>
        <v>7243.4500000000007</v>
      </c>
      <c r="E308" s="53">
        <f t="shared" si="570"/>
        <v>6862.7500000000009</v>
      </c>
      <c r="F308" s="53">
        <f t="shared" si="570"/>
        <v>6953.72</v>
      </c>
      <c r="G308" s="53">
        <f t="shared" si="570"/>
        <v>6959.5300000000025</v>
      </c>
      <c r="H308" s="54">
        <f t="shared" si="570"/>
        <v>6979.2370500000025</v>
      </c>
      <c r="I308" s="54">
        <f t="shared" si="570"/>
        <v>6999.0426352500026</v>
      </c>
      <c r="J308" s="54">
        <f t="shared" si="570"/>
        <v>7018.9472484262524</v>
      </c>
      <c r="K308" s="54">
        <f t="shared" si="570"/>
        <v>7038.9513846683813</v>
      </c>
      <c r="L308" s="54">
        <f t="shared" si="570"/>
        <v>7059.0555415917252</v>
      </c>
      <c r="M308" s="54">
        <f t="shared" si="570"/>
        <v>7079.2602192996828</v>
      </c>
      <c r="N308" s="54">
        <f t="shared" si="570"/>
        <v>7099.5659203961814</v>
      </c>
      <c r="O308" s="54">
        <f t="shared" si="570"/>
        <v>7119.9731499981617</v>
      </c>
      <c r="P308" s="54">
        <f t="shared" si="570"/>
        <v>7140.4824157481526</v>
      </c>
      <c r="Q308" s="54">
        <f t="shared" si="570"/>
        <v>7161.0942278268922</v>
      </c>
    </row>
    <row r="309" spans="2:17" ht="15.75" thickTop="1" x14ac:dyDescent="0.25">
      <c r="B309" s="56"/>
      <c r="C309" s="51"/>
      <c r="D309" s="163"/>
      <c r="E309" s="163"/>
      <c r="F309" s="163"/>
      <c r="G309" s="163"/>
      <c r="H309" s="190"/>
      <c r="I309" s="190"/>
      <c r="J309" s="190"/>
      <c r="K309" s="190"/>
      <c r="L309" s="190"/>
      <c r="M309" s="190"/>
      <c r="N309" s="190"/>
      <c r="O309" s="190"/>
      <c r="P309" s="190"/>
      <c r="Q309" s="190"/>
    </row>
    <row r="310" spans="2:17" x14ac:dyDescent="0.25">
      <c r="B310" s="55"/>
      <c r="C310" s="51"/>
      <c r="D310" s="51"/>
      <c r="E310" s="51"/>
      <c r="F310" s="51"/>
      <c r="G310" s="51"/>
      <c r="H310" s="19"/>
      <c r="I310" s="19"/>
      <c r="J310" s="19"/>
      <c r="K310" s="19"/>
      <c r="L310" s="19"/>
      <c r="M310" s="19"/>
      <c r="N310" s="19"/>
      <c r="O310" s="19"/>
      <c r="P310" s="19"/>
      <c r="Q310" s="19"/>
    </row>
    <row r="311" spans="2:17" ht="15.75" thickBot="1" x14ac:dyDescent="0.3">
      <c r="B311" s="55" t="s">
        <v>121</v>
      </c>
      <c r="C311" s="53">
        <f>SUM(C301,C289,C190)</f>
        <v>749.94</v>
      </c>
      <c r="D311" s="53">
        <f t="shared" ref="D311:Q311" si="571">SUM(D301,D289,D190)</f>
        <v>835.62000000000012</v>
      </c>
      <c r="E311" s="53">
        <f t="shared" si="571"/>
        <v>865.96</v>
      </c>
      <c r="F311" s="53">
        <f t="shared" si="571"/>
        <v>900.21999999999991</v>
      </c>
      <c r="G311" s="53">
        <f t="shared" si="571"/>
        <v>927.29</v>
      </c>
      <c r="H311" s="54">
        <f t="shared" si="571"/>
        <v>931.92644999999993</v>
      </c>
      <c r="I311" s="54">
        <f t="shared" si="571"/>
        <v>936.58608224999978</v>
      </c>
      <c r="J311" s="54">
        <f t="shared" si="571"/>
        <v>941.26901266124969</v>
      </c>
      <c r="K311" s="54">
        <f t="shared" si="571"/>
        <v>945.97535772455581</v>
      </c>
      <c r="L311" s="54">
        <f t="shared" si="571"/>
        <v>950.70523451317854</v>
      </c>
      <c r="M311" s="54">
        <f t="shared" si="571"/>
        <v>955.45876068574444</v>
      </c>
      <c r="N311" s="54">
        <f t="shared" si="571"/>
        <v>960.23605448917306</v>
      </c>
      <c r="O311" s="54">
        <f t="shared" si="571"/>
        <v>965.03723476161872</v>
      </c>
      <c r="P311" s="54">
        <f t="shared" si="571"/>
        <v>969.86242093542683</v>
      </c>
      <c r="Q311" s="54">
        <f t="shared" si="571"/>
        <v>974.71173304010381</v>
      </c>
    </row>
    <row r="312" spans="2:17" ht="15.75" thickTop="1" x14ac:dyDescent="0.25">
      <c r="B312" s="56"/>
      <c r="C312" s="51"/>
      <c r="D312" s="163"/>
      <c r="E312" s="163"/>
      <c r="F312" s="163"/>
      <c r="G312" s="163"/>
      <c r="H312" s="190"/>
      <c r="I312" s="190"/>
      <c r="J312" s="190"/>
      <c r="K312" s="190"/>
      <c r="L312" s="190"/>
      <c r="M312" s="190"/>
      <c r="N312" s="190"/>
      <c r="O312" s="190"/>
      <c r="P312" s="190"/>
      <c r="Q312" s="190"/>
    </row>
    <row r="313" spans="2:17" x14ac:dyDescent="0.25">
      <c r="B313" s="57" t="s">
        <v>144</v>
      </c>
      <c r="C313" s="193" t="s">
        <v>98</v>
      </c>
      <c r="D313" s="193">
        <f>D308+D311-C308</f>
        <v>1163.7000000000007</v>
      </c>
      <c r="E313" s="193">
        <f t="shared" ref="E313:Q313" si="572">E308+E311-D308</f>
        <v>485.26000000000022</v>
      </c>
      <c r="F313" s="193">
        <f t="shared" si="572"/>
        <v>991.1899999999996</v>
      </c>
      <c r="G313" s="193">
        <f t="shared" si="572"/>
        <v>933.10000000000218</v>
      </c>
      <c r="H313" s="194">
        <f t="shared" si="572"/>
        <v>951.63349999999991</v>
      </c>
      <c r="I313" s="194">
        <f t="shared" si="572"/>
        <v>956.39166750000004</v>
      </c>
      <c r="J313" s="194">
        <f t="shared" si="572"/>
        <v>961.17362583749946</v>
      </c>
      <c r="K313" s="194">
        <f t="shared" si="572"/>
        <v>965.97949396668446</v>
      </c>
      <c r="L313" s="194">
        <f t="shared" si="572"/>
        <v>970.80939143652267</v>
      </c>
      <c r="M313" s="194">
        <f t="shared" si="572"/>
        <v>975.66343839370256</v>
      </c>
      <c r="N313" s="194">
        <f t="shared" si="572"/>
        <v>980.54175558567204</v>
      </c>
      <c r="O313" s="194">
        <f t="shared" si="572"/>
        <v>985.44446436359885</v>
      </c>
      <c r="P313" s="194">
        <f t="shared" si="572"/>
        <v>990.37168668541744</v>
      </c>
      <c r="Q313" s="194">
        <f t="shared" si="572"/>
        <v>995.32354511884296</v>
      </c>
    </row>
    <row r="314" spans="2:17" x14ac:dyDescent="0.25">
      <c r="B314" s="56"/>
      <c r="C314" s="51"/>
      <c r="D314" s="51"/>
      <c r="E314" s="163"/>
      <c r="F314" s="163"/>
      <c r="G314" s="163"/>
      <c r="H314" s="190"/>
      <c r="I314" s="190"/>
      <c r="J314" s="190"/>
      <c r="K314" s="190"/>
      <c r="L314" s="190"/>
      <c r="M314" s="190"/>
      <c r="N314" s="190"/>
      <c r="O314" s="190"/>
      <c r="P314" s="190"/>
      <c r="Q314" s="190"/>
    </row>
    <row r="315" spans="2:17" ht="15.75" thickBot="1" x14ac:dyDescent="0.3">
      <c r="B315" s="55" t="s">
        <v>145</v>
      </c>
      <c r="C315" s="53">
        <f>BS_Input!C14</f>
        <v>442.12</v>
      </c>
      <c r="D315" s="53">
        <f>BS_Input!D14</f>
        <v>233.27</v>
      </c>
      <c r="E315" s="53">
        <f>BS_Input!E14</f>
        <v>139.38</v>
      </c>
      <c r="F315" s="53">
        <f>BS_Input!F14</f>
        <v>139.15</v>
      </c>
      <c r="G315" s="53">
        <f>BS_Input!G14</f>
        <v>170.18</v>
      </c>
      <c r="H315" s="54">
        <f>G315+H316</f>
        <v>201.36515</v>
      </c>
      <c r="I315" s="54">
        <f t="shared" ref="I315:Q315" si="573">H315+I316</f>
        <v>232.70622574999999</v>
      </c>
      <c r="J315" s="54">
        <f t="shared" si="573"/>
        <v>264.20400687874996</v>
      </c>
      <c r="K315" s="54">
        <f t="shared" si="573"/>
        <v>295.85927691314373</v>
      </c>
      <c r="L315" s="54">
        <f t="shared" si="573"/>
        <v>327.67282329770944</v>
      </c>
      <c r="M315" s="54">
        <f t="shared" si="573"/>
        <v>359.645437414198</v>
      </c>
      <c r="N315" s="54">
        <f t="shared" si="573"/>
        <v>391.77791460126895</v>
      </c>
      <c r="O315" s="54">
        <f t="shared" si="573"/>
        <v>424.07105417427528</v>
      </c>
      <c r="P315" s="54">
        <f t="shared" si="573"/>
        <v>456.52565944514663</v>
      </c>
      <c r="Q315" s="54">
        <f t="shared" si="573"/>
        <v>489.14253774237233</v>
      </c>
    </row>
    <row r="316" spans="2:17" ht="15.75" thickTop="1" x14ac:dyDescent="0.25">
      <c r="B316" s="57" t="s">
        <v>146</v>
      </c>
      <c r="C316" s="51"/>
      <c r="D316" s="193">
        <f>D315-C315</f>
        <v>-208.85</v>
      </c>
      <c r="E316" s="193">
        <f t="shared" ref="E316:G316" si="574">E315-D315</f>
        <v>-93.890000000000015</v>
      </c>
      <c r="F316" s="193">
        <f t="shared" si="574"/>
        <v>-0.22999999999998977</v>
      </c>
      <c r="G316" s="193">
        <f t="shared" si="574"/>
        <v>31.03</v>
      </c>
      <c r="H316" s="194">
        <f>G316*(1+0.5%)</f>
        <v>31.185149999999997</v>
      </c>
      <c r="I316" s="194">
        <f t="shared" ref="I316:Q316" si="575">H316*(1+0.5%)</f>
        <v>31.341075749999995</v>
      </c>
      <c r="J316" s="194">
        <f t="shared" si="575"/>
        <v>31.497781128749992</v>
      </c>
      <c r="K316" s="194">
        <f t="shared" si="575"/>
        <v>31.655270034393737</v>
      </c>
      <c r="L316" s="194">
        <f t="shared" si="575"/>
        <v>31.813546384565704</v>
      </c>
      <c r="M316" s="194">
        <f t="shared" si="575"/>
        <v>31.972614116488529</v>
      </c>
      <c r="N316" s="194">
        <f t="shared" si="575"/>
        <v>32.132477187070968</v>
      </c>
      <c r="O316" s="194">
        <f t="shared" si="575"/>
        <v>32.293139573006322</v>
      </c>
      <c r="P316" s="194">
        <f t="shared" si="575"/>
        <v>32.454605270871347</v>
      </c>
      <c r="Q316" s="194">
        <f t="shared" si="575"/>
        <v>32.616878297225703</v>
      </c>
    </row>
    <row r="317" spans="2:17" x14ac:dyDescent="0.25">
      <c r="B317" s="56"/>
      <c r="C317" s="51"/>
      <c r="D317" s="51"/>
      <c r="E317" s="163"/>
      <c r="F317" s="163"/>
      <c r="G317" s="163"/>
      <c r="H317" s="190"/>
      <c r="I317" s="190"/>
      <c r="J317" s="190"/>
      <c r="K317" s="190"/>
      <c r="L317" s="190"/>
      <c r="M317" s="190"/>
      <c r="N317" s="190"/>
      <c r="O317" s="190"/>
      <c r="P317" s="190"/>
      <c r="Q317" s="190"/>
    </row>
    <row r="318" spans="2:17" ht="15.75" thickBot="1" x14ac:dyDescent="0.3">
      <c r="B318" s="55" t="s">
        <v>147</v>
      </c>
      <c r="C318" s="53"/>
      <c r="D318" s="53">
        <f>D313+D316</f>
        <v>954.8500000000007</v>
      </c>
      <c r="E318" s="53">
        <f t="shared" ref="E318:Q318" si="576">E313+E316</f>
        <v>391.37000000000023</v>
      </c>
      <c r="F318" s="53">
        <f t="shared" si="576"/>
        <v>990.95999999999958</v>
      </c>
      <c r="G318" s="53">
        <f t="shared" si="576"/>
        <v>964.13000000000216</v>
      </c>
      <c r="H318" s="54">
        <f t="shared" si="576"/>
        <v>982.81864999999993</v>
      </c>
      <c r="I318" s="54">
        <f t="shared" si="576"/>
        <v>987.73274325</v>
      </c>
      <c r="J318" s="54">
        <f t="shared" si="576"/>
        <v>992.67140696624949</v>
      </c>
      <c r="K318" s="54">
        <f t="shared" si="576"/>
        <v>997.63476400107822</v>
      </c>
      <c r="L318" s="54">
        <f t="shared" si="576"/>
        <v>1002.6229378210884</v>
      </c>
      <c r="M318" s="54">
        <f t="shared" si="576"/>
        <v>1007.6360525101911</v>
      </c>
      <c r="N318" s="54">
        <f t="shared" si="576"/>
        <v>1012.674232772743</v>
      </c>
      <c r="O318" s="54">
        <f t="shared" si="576"/>
        <v>1017.7376039366052</v>
      </c>
      <c r="P318" s="54">
        <f t="shared" si="576"/>
        <v>1022.8262919562887</v>
      </c>
      <c r="Q318" s="54">
        <f t="shared" si="576"/>
        <v>1027.9404234160686</v>
      </c>
    </row>
    <row r="319" spans="2:17" ht="15.75" thickTop="1" x14ac:dyDescent="0.25">
      <c r="E319" s="7"/>
      <c r="F319" s="7"/>
      <c r="G319" s="7"/>
      <c r="H319" s="160"/>
      <c r="I319" s="160"/>
      <c r="J319" s="160"/>
      <c r="K319" s="160"/>
      <c r="L319" s="160"/>
      <c r="M319" s="160"/>
      <c r="N319" s="160"/>
      <c r="O319" s="160"/>
      <c r="P319" s="160"/>
      <c r="Q319" s="160"/>
    </row>
    <row r="320" spans="2:17" x14ac:dyDescent="0.25">
      <c r="F320" s="166"/>
      <c r="G320" s="166"/>
      <c r="H320" s="166"/>
      <c r="I320" s="166"/>
      <c r="J320" s="166"/>
      <c r="K320" s="166"/>
      <c r="L320" s="166"/>
      <c r="M320" s="166"/>
      <c r="N320" s="166"/>
      <c r="O320" s="166"/>
      <c r="P320" s="166"/>
      <c r="Q320" s="166"/>
    </row>
  </sheetData>
  <mergeCells count="5">
    <mergeCell ref="B8:B9"/>
    <mergeCell ref="B292:Q292"/>
    <mergeCell ref="B193:Q193"/>
    <mergeCell ref="B95:Q95"/>
    <mergeCell ref="B7:Q7"/>
  </mergeCells>
  <pageMargins left="0.7" right="0.7" top="0.75" bottom="0.75" header="0.3" footer="0.3"/>
  <pageSetup orientation="portrait" horizontalDpi="300" verticalDpi="0" copies="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6C9C1-E12F-4A19-894F-F6195474E429}">
  <dimension ref="B6:R71"/>
  <sheetViews>
    <sheetView showGridLines="0" topLeftCell="A64" zoomScaleNormal="100" workbookViewId="0">
      <selection activeCell="Q9" sqref="Q9"/>
    </sheetView>
  </sheetViews>
  <sheetFormatPr defaultRowHeight="15" x14ac:dyDescent="0.25"/>
  <cols>
    <col min="1" max="1" width="0.85546875" customWidth="1"/>
    <col min="2" max="2" width="46.5703125" customWidth="1"/>
    <col min="3" max="10" width="12.42578125" bestFit="1" customWidth="1"/>
    <col min="11" max="17" width="13.7109375" bestFit="1" customWidth="1"/>
  </cols>
  <sheetData>
    <row r="6" spans="2:18" x14ac:dyDescent="0.25">
      <c r="Q6" t="s">
        <v>274</v>
      </c>
    </row>
    <row r="7" spans="2:18" ht="18" x14ac:dyDescent="0.25">
      <c r="B7" s="248" t="s">
        <v>279</v>
      </c>
      <c r="C7" s="248"/>
      <c r="D7" s="248"/>
      <c r="E7" s="248"/>
      <c r="F7" s="248"/>
      <c r="G7" s="248"/>
      <c r="H7" s="248"/>
      <c r="I7" s="248"/>
      <c r="J7" s="248"/>
      <c r="K7" s="248"/>
      <c r="L7" s="248"/>
      <c r="M7" s="248"/>
      <c r="N7" s="248"/>
      <c r="O7" s="248"/>
      <c r="P7" s="248"/>
      <c r="Q7" s="248"/>
      <c r="R7" s="66"/>
    </row>
    <row r="8" spans="2:18" x14ac:dyDescent="0.25">
      <c r="B8" s="238" t="s">
        <v>0</v>
      </c>
      <c r="C8" s="37">
        <v>2020</v>
      </c>
      <c r="D8" s="38">
        <v>2021</v>
      </c>
      <c r="E8" s="38">
        <v>2022</v>
      </c>
      <c r="F8" s="38">
        <v>2023</v>
      </c>
      <c r="G8" s="38">
        <v>2024</v>
      </c>
      <c r="H8" s="39">
        <f>G8+1</f>
        <v>2025</v>
      </c>
      <c r="I8" s="39">
        <f t="shared" ref="I8:Q8" si="0">H8+1</f>
        <v>2026</v>
      </c>
      <c r="J8" s="39">
        <f t="shared" si="0"/>
        <v>2027</v>
      </c>
      <c r="K8" s="39">
        <f t="shared" si="0"/>
        <v>2028</v>
      </c>
      <c r="L8" s="39">
        <f t="shared" si="0"/>
        <v>2029</v>
      </c>
      <c r="M8" s="39">
        <f t="shared" si="0"/>
        <v>2030</v>
      </c>
      <c r="N8" s="39">
        <f t="shared" si="0"/>
        <v>2031</v>
      </c>
      <c r="O8" s="39">
        <f t="shared" si="0"/>
        <v>2032</v>
      </c>
      <c r="P8" s="39">
        <f t="shared" si="0"/>
        <v>2033</v>
      </c>
      <c r="Q8" s="39">
        <f t="shared" si="0"/>
        <v>2034</v>
      </c>
    </row>
    <row r="9" spans="2:18" x14ac:dyDescent="0.25">
      <c r="B9" s="239"/>
      <c r="C9" s="40" t="s">
        <v>1</v>
      </c>
      <c r="D9" s="41" t="s">
        <v>1</v>
      </c>
      <c r="E9" s="41" t="s">
        <v>1</v>
      </c>
      <c r="F9" s="41" t="s">
        <v>1</v>
      </c>
      <c r="G9" s="41" t="s">
        <v>1</v>
      </c>
      <c r="H9" s="42" t="s">
        <v>315</v>
      </c>
      <c r="I9" s="42" t="s">
        <v>315</v>
      </c>
      <c r="J9" s="42" t="s">
        <v>315</v>
      </c>
      <c r="K9" s="42" t="s">
        <v>315</v>
      </c>
      <c r="L9" s="42" t="s">
        <v>315</v>
      </c>
      <c r="M9" s="42" t="s">
        <v>315</v>
      </c>
      <c r="N9" s="42" t="s">
        <v>315</v>
      </c>
      <c r="O9" s="42" t="s">
        <v>315</v>
      </c>
      <c r="P9" s="42" t="s">
        <v>315</v>
      </c>
      <c r="Q9" s="42" t="s">
        <v>315</v>
      </c>
    </row>
    <row r="10" spans="2:18" x14ac:dyDescent="0.25">
      <c r="B10" s="64"/>
      <c r="H10" s="60"/>
      <c r="I10" s="60"/>
      <c r="J10" s="60"/>
      <c r="K10" s="60"/>
      <c r="L10" s="60"/>
      <c r="M10" s="60"/>
      <c r="N10" s="60"/>
      <c r="O10" s="60"/>
      <c r="P10" s="60"/>
      <c r="Q10" s="60"/>
    </row>
    <row r="11" spans="2:18" x14ac:dyDescent="0.25">
      <c r="B11" s="44" t="s">
        <v>2</v>
      </c>
      <c r="C11" s="17">
        <f>'Revenue Build Up'!C15</f>
        <v>21951.27</v>
      </c>
      <c r="D11" s="17">
        <f>'Revenue Build Up'!D15</f>
        <v>19454.100000000002</v>
      </c>
      <c r="E11" s="17">
        <f>'Revenue Build Up'!E15</f>
        <v>26237.15</v>
      </c>
      <c r="F11" s="17">
        <f>'Revenue Build Up'!F15</f>
        <v>41672.600000000006</v>
      </c>
      <c r="G11" s="17">
        <f>'Revenue Build Up'!G15</f>
        <v>45790.64</v>
      </c>
      <c r="H11" s="61">
        <f>'Revenue Build Up'!H15</f>
        <v>56642.794208691434</v>
      </c>
      <c r="I11" s="61">
        <f>'Revenue Build Up'!I15</f>
        <v>70122.297472604128</v>
      </c>
      <c r="J11" s="61">
        <f>'Revenue Build Up'!J15</f>
        <v>86872.699191201726</v>
      </c>
      <c r="K11" s="61">
        <f>'Revenue Build Up'!K15</f>
        <v>107696.16338916784</v>
      </c>
      <c r="L11" s="61">
        <f>'Revenue Build Up'!L15</f>
        <v>133592.69003155819</v>
      </c>
      <c r="M11" s="61">
        <f>'Revenue Build Up'!M15</f>
        <v>165809.05129306993</v>
      </c>
      <c r="N11" s="61">
        <f>'Revenue Build Up'!N15</f>
        <v>205899.85126593101</v>
      </c>
      <c r="O11" s="61">
        <f>'Revenue Build Up'!O15</f>
        <v>255803.71496507947</v>
      </c>
      <c r="P11" s="61">
        <f>'Revenue Build Up'!P15</f>
        <v>317938.35806490155</v>
      </c>
      <c r="Q11" s="61">
        <f>'Revenue Build Up'!Q15</f>
        <v>395319.21935037855</v>
      </c>
    </row>
    <row r="12" spans="2:18" x14ac:dyDescent="0.25">
      <c r="B12" s="44"/>
      <c r="H12" s="62"/>
      <c r="I12" s="62"/>
      <c r="J12" s="62"/>
      <c r="K12" s="62"/>
      <c r="L12" s="62"/>
      <c r="M12" s="62"/>
      <c r="N12" s="62"/>
      <c r="O12" s="62"/>
      <c r="P12" s="62"/>
      <c r="Q12" s="62"/>
    </row>
    <row r="13" spans="2:18" x14ac:dyDescent="0.25">
      <c r="B13" s="48" t="s">
        <v>21</v>
      </c>
      <c r="H13" s="62"/>
      <c r="I13" s="62"/>
      <c r="J13" s="62"/>
      <c r="K13" s="62"/>
      <c r="L13" s="62"/>
      <c r="M13" s="62"/>
      <c r="N13" s="62"/>
      <c r="O13" s="62"/>
      <c r="P13" s="62"/>
      <c r="Q13" s="62"/>
    </row>
    <row r="14" spans="2:18" x14ac:dyDescent="0.25">
      <c r="B14" s="44"/>
      <c r="H14" s="62"/>
      <c r="I14" s="62"/>
      <c r="J14" s="62"/>
      <c r="K14" s="62"/>
      <c r="L14" s="62"/>
      <c r="M14" s="62"/>
      <c r="N14" s="62"/>
      <c r="O14" s="62"/>
      <c r="P14" s="62"/>
      <c r="Q14" s="62"/>
    </row>
    <row r="15" spans="2:18" x14ac:dyDescent="0.25">
      <c r="B15" s="44" t="s">
        <v>28</v>
      </c>
      <c r="C15" s="17">
        <f>BS_Input!C19</f>
        <v>105.01</v>
      </c>
      <c r="D15" s="17">
        <f>BS_Input!D19</f>
        <v>41.28</v>
      </c>
      <c r="E15" s="17">
        <f>BS_Input!E19</f>
        <v>46.6</v>
      </c>
      <c r="F15" s="17">
        <f>BS_Input!F19</f>
        <v>55.27</v>
      </c>
      <c r="G15" s="17">
        <f>BS_Input!G19</f>
        <v>129.12</v>
      </c>
      <c r="H15" s="61">
        <f>H16*H$11</f>
        <v>145.32144499292775</v>
      </c>
      <c r="I15" s="61">
        <f t="shared" ref="I15:Q15" si="1">I16*I$11</f>
        <v>179.9041473377585</v>
      </c>
      <c r="J15" s="61">
        <f t="shared" si="1"/>
        <v>222.87859123595717</v>
      </c>
      <c r="K15" s="61">
        <f t="shared" si="1"/>
        <v>276.3027901880385</v>
      </c>
      <c r="L15" s="61">
        <f t="shared" si="1"/>
        <v>342.74232101529003</v>
      </c>
      <c r="M15" s="61">
        <f t="shared" si="1"/>
        <v>425.39587362231674</v>
      </c>
      <c r="N15" s="61">
        <f t="shared" si="1"/>
        <v>528.25190437379115</v>
      </c>
      <c r="O15" s="61">
        <f t="shared" si="1"/>
        <v>656.28410484700828</v>
      </c>
      <c r="P15" s="61">
        <f t="shared" si="1"/>
        <v>815.69531055339064</v>
      </c>
      <c r="Q15" s="61">
        <f t="shared" si="1"/>
        <v>1014.2218616160382</v>
      </c>
    </row>
    <row r="16" spans="2:18" x14ac:dyDescent="0.25">
      <c r="B16" s="44"/>
      <c r="C16" s="20">
        <f>C15/C$11</f>
        <v>4.7837778861997511E-3</v>
      </c>
      <c r="D16" s="20">
        <f t="shared" ref="D16:G16" si="2">D15/D$11</f>
        <v>2.1219177448455594E-3</v>
      </c>
      <c r="E16" s="20">
        <f t="shared" si="2"/>
        <v>1.7761075421682613E-3</v>
      </c>
      <c r="F16" s="20">
        <f t="shared" si="2"/>
        <v>1.3262911361422132E-3</v>
      </c>
      <c r="G16" s="20">
        <f t="shared" si="2"/>
        <v>2.8197902453427166E-3</v>
      </c>
      <c r="H16" s="65">
        <f>AVERAGE(C16:G16)</f>
        <v>2.5655769109397008E-3</v>
      </c>
      <c r="I16" s="65">
        <f>H16</f>
        <v>2.5655769109397008E-3</v>
      </c>
      <c r="J16" s="65">
        <f t="shared" ref="J16:Q28" si="3">I16</f>
        <v>2.5655769109397008E-3</v>
      </c>
      <c r="K16" s="65">
        <f t="shared" si="3"/>
        <v>2.5655769109397008E-3</v>
      </c>
      <c r="L16" s="65">
        <f t="shared" si="3"/>
        <v>2.5655769109397008E-3</v>
      </c>
      <c r="M16" s="65">
        <f t="shared" si="3"/>
        <v>2.5655769109397008E-3</v>
      </c>
      <c r="N16" s="65">
        <f t="shared" si="3"/>
        <v>2.5655769109397008E-3</v>
      </c>
      <c r="O16" s="63">
        <f t="shared" si="3"/>
        <v>2.5655769109397008E-3</v>
      </c>
      <c r="P16" s="63">
        <f t="shared" si="3"/>
        <v>2.5655769109397008E-3</v>
      </c>
      <c r="Q16" s="63">
        <f t="shared" si="3"/>
        <v>2.5655769109397008E-3</v>
      </c>
    </row>
    <row r="17" spans="2:17" x14ac:dyDescent="0.25">
      <c r="B17" s="44" t="s">
        <v>157</v>
      </c>
      <c r="C17" s="17">
        <f>BS_Input!C21</f>
        <v>672.09</v>
      </c>
      <c r="D17" s="17">
        <f>BS_Input!D21</f>
        <v>809.83</v>
      </c>
      <c r="E17" s="17">
        <f>BS_Input!E21</f>
        <v>951.89</v>
      </c>
      <c r="F17" s="17">
        <f>BS_Input!F21</f>
        <v>1285.74</v>
      </c>
      <c r="G17" s="17">
        <f>BS_Input!G21</f>
        <v>1176.3</v>
      </c>
      <c r="H17" s="61">
        <f>H18*H$11</f>
        <v>1869.9751930505868</v>
      </c>
      <c r="I17" s="61">
        <f t="shared" ref="I17" si="4">I18*I$11</f>
        <v>2314.9803710312563</v>
      </c>
      <c r="J17" s="61">
        <f t="shared" ref="J17" si="5">J18*J$11</f>
        <v>2867.969257349353</v>
      </c>
      <c r="K17" s="61">
        <f t="shared" ref="K17" si="6">K18*K$11</f>
        <v>3555.4240700499363</v>
      </c>
      <c r="L17" s="61">
        <f t="shared" ref="L17" si="7">L18*L$11</f>
        <v>4410.35827808046</v>
      </c>
      <c r="M17" s="61">
        <f t="shared" ref="M17" si="8">M18*M$11</f>
        <v>5473.9321573531552</v>
      </c>
      <c r="N17" s="61">
        <f t="shared" ref="N17" si="9">N18*N$11</f>
        <v>6797.4685835858127</v>
      </c>
      <c r="O17" s="61">
        <f t="shared" ref="O17" si="10">O18*O$11</f>
        <v>8444.9682957463083</v>
      </c>
      <c r="P17" s="61">
        <f t="shared" ref="P17" si="11">P18*P$11</f>
        <v>10496.248477963918</v>
      </c>
      <c r="Q17" s="61">
        <f t="shared" ref="Q17" si="12">Q18*Q$11</f>
        <v>13050.859228408275</v>
      </c>
    </row>
    <row r="18" spans="2:17" x14ac:dyDescent="0.25">
      <c r="B18" s="44"/>
      <c r="C18" s="20">
        <f>C17/C$11</f>
        <v>3.0617362913398633E-2</v>
      </c>
      <c r="D18" s="20">
        <f t="shared" ref="D18" si="13">D17/D$11</f>
        <v>4.1627728859212197E-2</v>
      </c>
      <c r="E18" s="20">
        <f t="shared" ref="E18" si="14">E17/E$11</f>
        <v>3.6280236229925884E-2</v>
      </c>
      <c r="F18" s="20">
        <f t="shared" ref="F18" si="15">F17/F$11</f>
        <v>3.0853366480613157E-2</v>
      </c>
      <c r="G18" s="20">
        <f t="shared" ref="G18" si="16">G17/G$11</f>
        <v>2.5688656022278787E-2</v>
      </c>
      <c r="H18" s="65">
        <f>AVERAGE(C18:G18)</f>
        <v>3.3013470101085733E-2</v>
      </c>
      <c r="I18" s="65">
        <f>H18</f>
        <v>3.3013470101085733E-2</v>
      </c>
      <c r="J18" s="65">
        <f t="shared" si="3"/>
        <v>3.3013470101085733E-2</v>
      </c>
      <c r="K18" s="65">
        <f t="shared" si="3"/>
        <v>3.3013470101085733E-2</v>
      </c>
      <c r="L18" s="65">
        <f t="shared" si="3"/>
        <v>3.3013470101085733E-2</v>
      </c>
      <c r="M18" s="65">
        <f t="shared" si="3"/>
        <v>3.3013470101085733E-2</v>
      </c>
      <c r="N18" s="65">
        <f t="shared" si="3"/>
        <v>3.3013470101085733E-2</v>
      </c>
      <c r="O18" s="63">
        <f t="shared" si="3"/>
        <v>3.3013470101085733E-2</v>
      </c>
      <c r="P18" s="63">
        <f t="shared" si="3"/>
        <v>3.3013470101085733E-2</v>
      </c>
      <c r="Q18" s="63">
        <f t="shared" si="3"/>
        <v>3.3013470101085733E-2</v>
      </c>
    </row>
    <row r="19" spans="2:17" x14ac:dyDescent="0.25">
      <c r="B19" s="44" t="s">
        <v>158</v>
      </c>
      <c r="C19" s="17">
        <f>BS_Input!C23</f>
        <v>12022.12</v>
      </c>
      <c r="D19" s="17">
        <f>BS_Input!D23</f>
        <v>15462.72</v>
      </c>
      <c r="E19" s="17">
        <f>BS_Input!E23</f>
        <v>14890.73</v>
      </c>
      <c r="F19" s="17">
        <f>BS_Input!F23</f>
        <v>19646.38</v>
      </c>
      <c r="G19" s="17">
        <f>BS_Input!G23</f>
        <v>27393.24</v>
      </c>
      <c r="H19" s="61">
        <f>H20*H$11</f>
        <v>33755.952127877979</v>
      </c>
      <c r="I19" s="61">
        <f t="shared" ref="I19" si="17">I20*I$11</f>
        <v>41788.985689177702</v>
      </c>
      <c r="J19" s="61">
        <f t="shared" ref="J19" si="18">J20*J$11</f>
        <v>51771.292643394743</v>
      </c>
      <c r="K19" s="61">
        <f t="shared" ref="K19" si="19">K20*K$11</f>
        <v>64180.918093956781</v>
      </c>
      <c r="L19" s="61">
        <f t="shared" ref="L19" si="20">L20*L$11</f>
        <v>79613.806351519321</v>
      </c>
      <c r="M19" s="61">
        <f t="shared" ref="M19" si="21">M20*M$11</f>
        <v>98812.964226240554</v>
      </c>
      <c r="N19" s="61">
        <f t="shared" ref="N19" si="22">N20*N$11</f>
        <v>122704.84921457991</v>
      </c>
      <c r="O19" s="61">
        <f t="shared" ref="O19" si="23">O20*O$11</f>
        <v>152444.77390505574</v>
      </c>
      <c r="P19" s="61">
        <f t="shared" ref="P19" si="24">P20*P$11</f>
        <v>189473.56224894969</v>
      </c>
      <c r="Q19" s="61">
        <f t="shared" ref="Q19" si="25">Q20*Q$11</f>
        <v>235588.2478970974</v>
      </c>
    </row>
    <row r="20" spans="2:17" x14ac:dyDescent="0.25">
      <c r="B20" s="44"/>
      <c r="C20" s="20">
        <f>C19/C$11</f>
        <v>0.54767309590743496</v>
      </c>
      <c r="D20" s="20">
        <f t="shared" ref="D20" si="26">D19/D$11</f>
        <v>0.79483090967970749</v>
      </c>
      <c r="E20" s="20">
        <f t="shared" ref="E20" si="27">E19/E$11</f>
        <v>0.56754373093114152</v>
      </c>
      <c r="F20" s="20">
        <f t="shared" ref="F20" si="28">F19/F$11</f>
        <v>0.4714459860915805</v>
      </c>
      <c r="G20" s="20">
        <f t="shared" ref="G20" si="29">G19/G$11</f>
        <v>0.59822793479191383</v>
      </c>
      <c r="H20" s="65">
        <f>AVERAGE(C20:G20)</f>
        <v>0.59594433148035564</v>
      </c>
      <c r="I20" s="65">
        <f>H20</f>
        <v>0.59594433148035564</v>
      </c>
      <c r="J20" s="65">
        <f t="shared" si="3"/>
        <v>0.59594433148035564</v>
      </c>
      <c r="K20" s="65">
        <f t="shared" si="3"/>
        <v>0.59594433148035564</v>
      </c>
      <c r="L20" s="65">
        <f t="shared" si="3"/>
        <v>0.59594433148035564</v>
      </c>
      <c r="M20" s="65">
        <f t="shared" si="3"/>
        <v>0.59594433148035564</v>
      </c>
      <c r="N20" s="65">
        <f t="shared" si="3"/>
        <v>0.59594433148035564</v>
      </c>
      <c r="O20" s="63">
        <f t="shared" si="3"/>
        <v>0.59594433148035564</v>
      </c>
      <c r="P20" s="63">
        <f t="shared" si="3"/>
        <v>0.59594433148035564</v>
      </c>
      <c r="Q20" s="63">
        <f t="shared" si="3"/>
        <v>0.59594433148035564</v>
      </c>
    </row>
    <row r="21" spans="2:17" x14ac:dyDescent="0.25">
      <c r="B21" s="44" t="s">
        <v>156</v>
      </c>
      <c r="C21" s="17">
        <f>BS_Input!C24</f>
        <v>567.28</v>
      </c>
      <c r="D21" s="17">
        <f>BS_Input!D24</f>
        <v>479.09</v>
      </c>
      <c r="E21" s="17">
        <f>BS_Input!E24</f>
        <v>397.57</v>
      </c>
      <c r="F21" s="17">
        <f>BS_Input!F24</f>
        <v>496.21</v>
      </c>
      <c r="G21" s="17">
        <f>BS_Input!G24</f>
        <v>518.38</v>
      </c>
      <c r="H21" s="61">
        <f t="shared" ref="H21:Q21" si="30">H22*H$11</f>
        <v>1006.5460963692618</v>
      </c>
      <c r="I21" s="61">
        <f t="shared" si="30"/>
        <v>1246.0777363745171</v>
      </c>
      <c r="J21" s="61">
        <f t="shared" si="30"/>
        <v>1543.7334523046527</v>
      </c>
      <c r="K21" s="61">
        <f t="shared" si="30"/>
        <v>1913.7677504737169</v>
      </c>
      <c r="L21" s="61">
        <f t="shared" si="30"/>
        <v>2373.9506945810353</v>
      </c>
      <c r="M21" s="61">
        <f t="shared" si="30"/>
        <v>2946.4375063637217</v>
      </c>
      <c r="N21" s="61">
        <f t="shared" si="30"/>
        <v>3658.853600533248</v>
      </c>
      <c r="O21" s="61">
        <f t="shared" si="30"/>
        <v>4545.6484682979826</v>
      </c>
      <c r="P21" s="61">
        <f t="shared" si="30"/>
        <v>5649.7850726999359</v>
      </c>
      <c r="Q21" s="61">
        <f t="shared" si="30"/>
        <v>7024.8479549021167</v>
      </c>
    </row>
    <row r="22" spans="2:17" x14ac:dyDescent="0.25">
      <c r="B22" s="44"/>
      <c r="C22" s="20">
        <f>C21/C$11</f>
        <v>2.5842696117354486E-2</v>
      </c>
      <c r="D22" s="20">
        <f>D21/D$11</f>
        <v>2.462668537737546E-2</v>
      </c>
      <c r="E22" s="20">
        <f>E21/E$11</f>
        <v>1.5152941535189606E-2</v>
      </c>
      <c r="F22" s="20">
        <f>F21/F$11</f>
        <v>1.1907344394158271E-2</v>
      </c>
      <c r="G22" s="20">
        <f>G21/G$11</f>
        <v>1.1320654177360265E-2</v>
      </c>
      <c r="H22" s="65">
        <f>AVERAGE(C22:G22)</f>
        <v>1.7770064320287618E-2</v>
      </c>
      <c r="I22" s="65">
        <f>H22</f>
        <v>1.7770064320287618E-2</v>
      </c>
      <c r="J22" s="65">
        <f t="shared" si="3"/>
        <v>1.7770064320287618E-2</v>
      </c>
      <c r="K22" s="65">
        <f t="shared" si="3"/>
        <v>1.7770064320287618E-2</v>
      </c>
      <c r="L22" s="65">
        <f t="shared" si="3"/>
        <v>1.7770064320287618E-2</v>
      </c>
      <c r="M22" s="65">
        <f t="shared" si="3"/>
        <v>1.7770064320287618E-2</v>
      </c>
      <c r="N22" s="65">
        <f t="shared" si="3"/>
        <v>1.7770064320287618E-2</v>
      </c>
      <c r="O22" s="63">
        <f t="shared" si="3"/>
        <v>1.7770064320287618E-2</v>
      </c>
      <c r="P22" s="63">
        <f t="shared" si="3"/>
        <v>1.7770064320287618E-2</v>
      </c>
      <c r="Q22" s="63">
        <f t="shared" si="3"/>
        <v>1.7770064320287618E-2</v>
      </c>
    </row>
    <row r="23" spans="2:17" x14ac:dyDescent="0.25">
      <c r="B23" s="44" t="s">
        <v>34</v>
      </c>
      <c r="C23" s="17">
        <f>BS_Input!C25</f>
        <v>7.71</v>
      </c>
      <c r="D23" s="17">
        <f>BS_Input!D25</f>
        <v>8.91</v>
      </c>
      <c r="E23" s="17">
        <f>BS_Input!E25</f>
        <v>27.13</v>
      </c>
      <c r="F23" s="17">
        <f>BS_Input!F25</f>
        <v>49.08</v>
      </c>
      <c r="G23" s="17">
        <f>BS_Input!G25</f>
        <v>65.349999999999994</v>
      </c>
      <c r="H23" s="61">
        <f t="shared" ref="H23:Q23" si="31">H24*H$11</f>
        <v>50.391281985239097</v>
      </c>
      <c r="I23" s="61">
        <f t="shared" si="31"/>
        <v>62.383088877571915</v>
      </c>
      <c r="J23" s="61">
        <f t="shared" si="31"/>
        <v>77.284793995755649</v>
      </c>
      <c r="K23" s="61">
        <f t="shared" si="31"/>
        <v>95.810028687447996</v>
      </c>
      <c r="L23" s="61">
        <f t="shared" si="31"/>
        <v>118.84842562222903</v>
      </c>
      <c r="M23" s="61">
        <f t="shared" si="31"/>
        <v>147.50915409699181</v>
      </c>
      <c r="N23" s="61">
        <f t="shared" si="31"/>
        <v>183.17524074877406</v>
      </c>
      <c r="O23" s="61">
        <f t="shared" si="31"/>
        <v>227.57134978519693</v>
      </c>
      <c r="P23" s="61">
        <f t="shared" si="31"/>
        <v>282.84836013111112</v>
      </c>
      <c r="Q23" s="61">
        <f t="shared" si="31"/>
        <v>351.68890473649748</v>
      </c>
    </row>
    <row r="24" spans="2:17" x14ac:dyDescent="0.25">
      <c r="B24" s="44"/>
      <c r="C24" s="20">
        <f>C23/C$11</f>
        <v>3.5123252549852467E-4</v>
      </c>
      <c r="D24" s="20">
        <f t="shared" ref="D24:D28" si="32">D23/D$11</f>
        <v>4.5800114114762439E-4</v>
      </c>
      <c r="E24" s="20">
        <f t="shared" ref="E24:E28" si="33">E23/E$11</f>
        <v>1.0340299918245692E-3</v>
      </c>
      <c r="F24" s="20">
        <f t="shared" ref="F24:F28" si="34">F23/F$11</f>
        <v>1.177752288074178E-3</v>
      </c>
      <c r="G24" s="20">
        <f t="shared" ref="G24:G28" si="35">G23/G$11</f>
        <v>1.4271475567932659E-3</v>
      </c>
      <c r="H24" s="65">
        <f>AVERAGE(C24:G24)</f>
        <v>8.8963270066763254E-4</v>
      </c>
      <c r="I24" s="65">
        <f>H24</f>
        <v>8.8963270066763254E-4</v>
      </c>
      <c r="J24" s="65">
        <f t="shared" ref="J24" si="36">I24</f>
        <v>8.8963270066763254E-4</v>
      </c>
      <c r="K24" s="65">
        <f t="shared" ref="K24" si="37">J24</f>
        <v>8.8963270066763254E-4</v>
      </c>
      <c r="L24" s="65">
        <f t="shared" ref="L24" si="38">K24</f>
        <v>8.8963270066763254E-4</v>
      </c>
      <c r="M24" s="65">
        <f t="shared" ref="M24" si="39">L24</f>
        <v>8.8963270066763254E-4</v>
      </c>
      <c r="N24" s="65">
        <f t="shared" ref="N24" si="40">M24</f>
        <v>8.8963270066763254E-4</v>
      </c>
      <c r="O24" s="63">
        <f t="shared" ref="O24" si="41">N24</f>
        <v>8.8963270066763254E-4</v>
      </c>
      <c r="P24" s="63">
        <f t="shared" ref="P24" si="42">O24</f>
        <v>8.8963270066763254E-4</v>
      </c>
      <c r="Q24" s="63">
        <f t="shared" ref="Q24" si="43">P24</f>
        <v>8.8963270066763254E-4</v>
      </c>
    </row>
    <row r="25" spans="2:17" x14ac:dyDescent="0.25">
      <c r="B25" s="44" t="s">
        <v>35</v>
      </c>
      <c r="C25" s="17">
        <f>BS_Input!C26</f>
        <v>213.24</v>
      </c>
      <c r="D25" s="17">
        <f>BS_Input!D26</f>
        <v>175.22</v>
      </c>
      <c r="E25" s="17">
        <f>BS_Input!E26</f>
        <v>198.7</v>
      </c>
      <c r="F25" s="17">
        <f>BS_Input!F26</f>
        <v>222.1</v>
      </c>
      <c r="G25" s="17">
        <f>BS_Input!G26</f>
        <v>181.7</v>
      </c>
      <c r="H25" s="61">
        <f t="shared" ref="H25:Q25" si="44">H26*H$11</f>
        <v>403.20627092238868</v>
      </c>
      <c r="I25" s="61">
        <f t="shared" si="44"/>
        <v>499.15881565215489</v>
      </c>
      <c r="J25" s="61">
        <f t="shared" si="44"/>
        <v>618.39493575816789</v>
      </c>
      <c r="K25" s="61">
        <f t="shared" si="44"/>
        <v>766.62475853162584</v>
      </c>
      <c r="L25" s="61">
        <f t="shared" si="44"/>
        <v>950.96668733637227</v>
      </c>
      <c r="M25" s="61">
        <f t="shared" si="44"/>
        <v>1180.2957497248492</v>
      </c>
      <c r="N25" s="61">
        <f t="shared" si="44"/>
        <v>1465.6782450833202</v>
      </c>
      <c r="O25" s="61">
        <f t="shared" si="44"/>
        <v>1820.9140887215797</v>
      </c>
      <c r="P25" s="61">
        <f t="shared" si="44"/>
        <v>2263.2135566303955</v>
      </c>
      <c r="Q25" s="61">
        <f t="shared" si="44"/>
        <v>2814.041759150326</v>
      </c>
    </row>
    <row r="26" spans="2:17" x14ac:dyDescent="0.25">
      <c r="B26" s="44"/>
      <c r="C26" s="20">
        <f>C25/C$11</f>
        <v>9.7142443239047211E-3</v>
      </c>
      <c r="D26" s="20">
        <f t="shared" si="32"/>
        <v>9.0068417454418331E-3</v>
      </c>
      <c r="E26" s="20">
        <f t="shared" si="33"/>
        <v>7.5732310864556548E-3</v>
      </c>
      <c r="F26" s="20">
        <f t="shared" si="34"/>
        <v>5.3296410591131818E-3</v>
      </c>
      <c r="G26" s="20">
        <f t="shared" si="35"/>
        <v>3.9680598480388131E-3</v>
      </c>
      <c r="H26" s="65">
        <f>AVERAGE(C26:G26)</f>
        <v>7.1184036125908415E-3</v>
      </c>
      <c r="I26" s="65">
        <f>H26</f>
        <v>7.1184036125908415E-3</v>
      </c>
      <c r="J26" s="65">
        <f t="shared" ref="J26" si="45">I26</f>
        <v>7.1184036125908415E-3</v>
      </c>
      <c r="K26" s="65">
        <f t="shared" ref="K26" si="46">J26</f>
        <v>7.1184036125908415E-3</v>
      </c>
      <c r="L26" s="65">
        <f t="shared" ref="L26" si="47">K26</f>
        <v>7.1184036125908415E-3</v>
      </c>
      <c r="M26" s="65">
        <f t="shared" ref="M26" si="48">L26</f>
        <v>7.1184036125908415E-3</v>
      </c>
      <c r="N26" s="65">
        <f t="shared" ref="N26" si="49">M26</f>
        <v>7.1184036125908415E-3</v>
      </c>
      <c r="O26" s="63">
        <f t="shared" ref="O26" si="50">N26</f>
        <v>7.1184036125908415E-3</v>
      </c>
      <c r="P26" s="63">
        <f t="shared" ref="P26" si="51">O26</f>
        <v>7.1184036125908415E-3</v>
      </c>
      <c r="Q26" s="63">
        <f t="shared" ref="Q26" si="52">P26</f>
        <v>7.1184036125908415E-3</v>
      </c>
    </row>
    <row r="27" spans="2:17" x14ac:dyDescent="0.25">
      <c r="B27" s="44" t="s">
        <v>36</v>
      </c>
      <c r="C27" s="17">
        <f>BS_Input!C27</f>
        <v>624.52</v>
      </c>
      <c r="D27" s="17">
        <f>BS_Input!D27</f>
        <v>350.89</v>
      </c>
      <c r="E27" s="17">
        <f>BS_Input!E27</f>
        <v>339.29</v>
      </c>
      <c r="F27" s="17">
        <f>BS_Input!F27</f>
        <v>330.52</v>
      </c>
      <c r="G27" s="17">
        <f>BS_Input!G27</f>
        <v>495.95</v>
      </c>
      <c r="H27" s="61">
        <f>H28*H$11</f>
        <v>885.67732615705654</v>
      </c>
      <c r="I27" s="61">
        <f t="shared" ref="I27" si="53">I28*I$11</f>
        <v>1096.4453607409796</v>
      </c>
      <c r="J27" s="61">
        <f t="shared" ref="J27" si="54">J28*J$11</f>
        <v>1358.3577754344567</v>
      </c>
      <c r="K27" s="61">
        <f t="shared" ref="K27" si="55">K28*K$11</f>
        <v>1683.9573569846179</v>
      </c>
      <c r="L27" s="61">
        <f t="shared" ref="L27" si="56">L28*L$11</f>
        <v>2088.8802919105206</v>
      </c>
      <c r="M27" s="61">
        <f t="shared" ref="M27" si="57">M28*M$11</f>
        <v>2592.6213431637316</v>
      </c>
      <c r="N27" s="61">
        <f t="shared" ref="N27" si="58">N28*N$11</f>
        <v>3219.4885911430447</v>
      </c>
      <c r="O27" s="61">
        <f t="shared" ref="O27" si="59">O28*O$11</f>
        <v>3999.7947392317992</v>
      </c>
      <c r="P27" s="61">
        <f t="shared" ref="P27" si="60">P28*P$11</f>
        <v>4971.3436419857744</v>
      </c>
      <c r="Q27" s="61">
        <f t="shared" ref="Q27" si="61">Q28*Q$11</f>
        <v>6181.2852643313627</v>
      </c>
    </row>
    <row r="28" spans="2:17" x14ac:dyDescent="0.25">
      <c r="B28" s="44"/>
      <c r="C28" s="20">
        <f>C27/C$11</f>
        <v>2.8450290119888279E-2</v>
      </c>
      <c r="D28" s="20">
        <f t="shared" si="32"/>
        <v>1.8036814861648699E-2</v>
      </c>
      <c r="E28" s="20">
        <f t="shared" si="33"/>
        <v>1.2931663690606639E-2</v>
      </c>
      <c r="F28" s="20">
        <f t="shared" si="34"/>
        <v>7.9313505756780211E-3</v>
      </c>
      <c r="G28" s="20">
        <f t="shared" si="35"/>
        <v>1.083081607944331E-2</v>
      </c>
      <c r="H28" s="65">
        <f>AVERAGE(C28:G28)</f>
        <v>1.563618706545299E-2</v>
      </c>
      <c r="I28" s="65">
        <f>H28</f>
        <v>1.563618706545299E-2</v>
      </c>
      <c r="J28" s="65">
        <f t="shared" si="3"/>
        <v>1.563618706545299E-2</v>
      </c>
      <c r="K28" s="65">
        <f t="shared" si="3"/>
        <v>1.563618706545299E-2</v>
      </c>
      <c r="L28" s="65">
        <f t="shared" si="3"/>
        <v>1.563618706545299E-2</v>
      </c>
      <c r="M28" s="65">
        <f t="shared" si="3"/>
        <v>1.563618706545299E-2</v>
      </c>
      <c r="N28" s="65">
        <f t="shared" si="3"/>
        <v>1.563618706545299E-2</v>
      </c>
      <c r="O28" s="63">
        <f t="shared" si="3"/>
        <v>1.563618706545299E-2</v>
      </c>
      <c r="P28" s="63">
        <f t="shared" si="3"/>
        <v>1.563618706545299E-2</v>
      </c>
      <c r="Q28" s="63">
        <f t="shared" si="3"/>
        <v>1.563618706545299E-2</v>
      </c>
    </row>
    <row r="29" spans="2:17" x14ac:dyDescent="0.25">
      <c r="B29" s="44"/>
      <c r="C29" s="17"/>
      <c r="D29" s="17"/>
      <c r="E29" s="17"/>
      <c r="F29" s="17"/>
      <c r="G29" s="17"/>
      <c r="H29" s="61"/>
      <c r="I29" s="61"/>
      <c r="J29" s="61"/>
      <c r="K29" s="61"/>
      <c r="L29" s="61"/>
      <c r="M29" s="61"/>
      <c r="N29" s="61"/>
      <c r="O29" s="61"/>
      <c r="P29" s="61"/>
      <c r="Q29" s="61"/>
    </row>
    <row r="30" spans="2:17" x14ac:dyDescent="0.25">
      <c r="B30" s="48" t="s">
        <v>38</v>
      </c>
      <c r="C30" s="17"/>
      <c r="D30" s="17"/>
      <c r="E30" s="17"/>
      <c r="F30" s="17"/>
      <c r="G30" s="17"/>
      <c r="H30" s="61"/>
      <c r="I30" s="61"/>
      <c r="J30" s="61"/>
      <c r="K30" s="61"/>
      <c r="L30" s="61"/>
      <c r="M30" s="61"/>
      <c r="N30" s="61"/>
      <c r="O30" s="61"/>
      <c r="P30" s="61"/>
      <c r="Q30" s="61"/>
    </row>
    <row r="31" spans="2:17" x14ac:dyDescent="0.25">
      <c r="B31" s="44"/>
      <c r="C31" s="17"/>
      <c r="D31" s="17"/>
      <c r="E31" s="17"/>
      <c r="F31" s="17"/>
      <c r="G31" s="17"/>
      <c r="H31" s="61"/>
      <c r="I31" s="61"/>
      <c r="J31" s="61"/>
      <c r="K31" s="61"/>
      <c r="L31" s="61"/>
      <c r="M31" s="61"/>
      <c r="N31" s="61"/>
      <c r="O31" s="61"/>
      <c r="P31" s="61"/>
      <c r="Q31" s="61"/>
    </row>
    <row r="32" spans="2:17" x14ac:dyDescent="0.25">
      <c r="B32" s="44" t="s">
        <v>157</v>
      </c>
      <c r="C32" s="17">
        <f>BS_Input!C33</f>
        <v>183.24</v>
      </c>
      <c r="D32" s="17">
        <f>BS_Input!D33</f>
        <v>244.52</v>
      </c>
      <c r="E32" s="17">
        <f>BS_Input!E33</f>
        <v>1653.63</v>
      </c>
      <c r="F32" s="17">
        <f>BS_Input!F33</f>
        <v>3511.34</v>
      </c>
      <c r="G32" s="17">
        <f>BS_Input!G33</f>
        <v>1023.19</v>
      </c>
      <c r="H32" s="61">
        <f>H33*H$11</f>
        <v>2158.6348647438781</v>
      </c>
      <c r="I32" s="61">
        <f t="shared" ref="I32" si="62">I33*I$11</f>
        <v>2672.3334933409478</v>
      </c>
      <c r="J32" s="61">
        <f t="shared" ref="J32" si="63">J33*J$11</f>
        <v>3310.6847903305015</v>
      </c>
      <c r="K32" s="61">
        <f t="shared" ref="K32" si="64">K33*K$11</f>
        <v>4104.2589148142515</v>
      </c>
      <c r="L32" s="61">
        <f t="shared" ref="L32" si="65">L33*L$11</f>
        <v>5091.1654766634711</v>
      </c>
      <c r="M32" s="61">
        <f t="shared" ref="M32" si="66">M33*M$11</f>
        <v>6318.9184787145668</v>
      </c>
      <c r="N32" s="61">
        <f t="shared" ref="N32" si="67">N33*N$11</f>
        <v>7846.7632784969137</v>
      </c>
      <c r="O32" s="61">
        <f t="shared" ref="O32" si="68">O33*O$11</f>
        <v>9748.580121598181</v>
      </c>
      <c r="P32" s="61">
        <f t="shared" ref="P32" si="69">P33*P$11</f>
        <v>12116.507212368588</v>
      </c>
      <c r="Q32" s="61">
        <f t="shared" ref="Q32" si="70">Q33*Q$11</f>
        <v>15065.461750510172</v>
      </c>
    </row>
    <row r="33" spans="2:17" x14ac:dyDescent="0.25">
      <c r="B33" s="44"/>
      <c r="C33" s="20">
        <f>C32/C$11</f>
        <v>8.3475808005641586E-3</v>
      </c>
      <c r="D33" s="20">
        <f t="shared" ref="D33" si="71">D32/D$11</f>
        <v>1.2569072843256691E-2</v>
      </c>
      <c r="E33" s="20">
        <f t="shared" ref="E33" si="72">E32/E$11</f>
        <v>6.3026281436817641E-2</v>
      </c>
      <c r="F33" s="20">
        <f t="shared" ref="F33" si="73">F32/F$11</f>
        <v>8.4260161353023319E-2</v>
      </c>
      <c r="G33" s="20">
        <f t="shared" ref="G33" si="74">G32/G$11</f>
        <v>2.2344959581259403E-2</v>
      </c>
      <c r="H33" s="65">
        <f>AVERAGE(C33:G33)</f>
        <v>3.8109611202984242E-2</v>
      </c>
      <c r="I33" s="65">
        <f>H33</f>
        <v>3.8109611202984242E-2</v>
      </c>
      <c r="J33" s="65">
        <f t="shared" ref="J33:Q33" si="75">I33</f>
        <v>3.8109611202984242E-2</v>
      </c>
      <c r="K33" s="65">
        <f t="shared" si="75"/>
        <v>3.8109611202984242E-2</v>
      </c>
      <c r="L33" s="65">
        <f t="shared" si="75"/>
        <v>3.8109611202984242E-2</v>
      </c>
      <c r="M33" s="65">
        <f t="shared" si="75"/>
        <v>3.8109611202984242E-2</v>
      </c>
      <c r="N33" s="65">
        <f t="shared" si="75"/>
        <v>3.8109611202984242E-2</v>
      </c>
      <c r="O33" s="63">
        <f t="shared" si="75"/>
        <v>3.8109611202984242E-2</v>
      </c>
      <c r="P33" s="63">
        <f t="shared" si="75"/>
        <v>3.8109611202984242E-2</v>
      </c>
      <c r="Q33" s="63">
        <f t="shared" si="75"/>
        <v>3.8109611202984242E-2</v>
      </c>
    </row>
    <row r="34" spans="2:17" x14ac:dyDescent="0.25">
      <c r="B34" s="44" t="s">
        <v>158</v>
      </c>
      <c r="C34" s="17">
        <f>BS_Input!C37</f>
        <v>7888.95</v>
      </c>
      <c r="D34" s="17">
        <f>BS_Input!D37</f>
        <v>6258.96</v>
      </c>
      <c r="E34" s="17">
        <f>BS_Input!E37</f>
        <v>6818.03</v>
      </c>
      <c r="F34" s="17">
        <f>BS_Input!F37</f>
        <v>8681.43</v>
      </c>
      <c r="G34" s="17">
        <f>BS_Input!G37</f>
        <v>10945.97</v>
      </c>
      <c r="H34" s="61">
        <f>H35*H$11</f>
        <v>15727.941830054522</v>
      </c>
      <c r="I34" s="61">
        <f t="shared" ref="I34" si="76">I35*I$11</f>
        <v>19470.780547575247</v>
      </c>
      <c r="J34" s="61">
        <f t="shared" ref="J34" si="77">J35*J$11</f>
        <v>24121.846010368463</v>
      </c>
      <c r="K34" s="61">
        <f t="shared" ref="K34" si="78">K35*K$11</f>
        <v>29903.874213270567</v>
      </c>
      <c r="L34" s="61">
        <f t="shared" ref="L34" si="79">L35*L$11</f>
        <v>37094.534037207632</v>
      </c>
      <c r="M34" s="61">
        <f t="shared" ref="M34" si="80">M35*M$11</f>
        <v>46040.015328794929</v>
      </c>
      <c r="N34" s="61">
        <f t="shared" ref="N34" si="81">N35*N$11</f>
        <v>57171.983281688714</v>
      </c>
      <c r="O34" s="61">
        <f t="shared" ref="O34" si="82">O35*O$11</f>
        <v>71028.733753132459</v>
      </c>
      <c r="P34" s="61">
        <f t="shared" ref="P34" si="83">P35*P$11</f>
        <v>88281.59117228938</v>
      </c>
      <c r="Q34" s="61">
        <f t="shared" ref="Q34" si="84">Q35*Q$11</f>
        <v>109767.84908134489</v>
      </c>
    </row>
    <row r="35" spans="2:17" x14ac:dyDescent="0.25">
      <c r="B35" s="44"/>
      <c r="C35" s="20">
        <f>C34/C$11</f>
        <v>0.35938467341525115</v>
      </c>
      <c r="D35" s="20">
        <f t="shared" ref="D35" si="85">D34/D$11</f>
        <v>0.32172960969667058</v>
      </c>
      <c r="E35" s="20">
        <f t="shared" ref="E35" si="86">E34/E$11</f>
        <v>0.25986168467230625</v>
      </c>
      <c r="F35" s="20">
        <f t="shared" ref="F35" si="87">F34/F$11</f>
        <v>0.20832465456918933</v>
      </c>
      <c r="G35" s="20">
        <f t="shared" ref="G35" si="88">G34/G$11</f>
        <v>0.23904383079162028</v>
      </c>
      <c r="H35" s="65">
        <f>AVERAGE(C35:G35)</f>
        <v>0.27766889062900751</v>
      </c>
      <c r="I35" s="65">
        <f>H35</f>
        <v>0.27766889062900751</v>
      </c>
      <c r="J35" s="65">
        <f t="shared" ref="J35:Q35" si="89">I35</f>
        <v>0.27766889062900751</v>
      </c>
      <c r="K35" s="65">
        <f t="shared" si="89"/>
        <v>0.27766889062900751</v>
      </c>
      <c r="L35" s="65">
        <f t="shared" si="89"/>
        <v>0.27766889062900751</v>
      </c>
      <c r="M35" s="65">
        <f t="shared" si="89"/>
        <v>0.27766889062900751</v>
      </c>
      <c r="N35" s="65">
        <f t="shared" si="89"/>
        <v>0.27766889062900751</v>
      </c>
      <c r="O35" s="63">
        <f t="shared" si="89"/>
        <v>0.27766889062900751</v>
      </c>
      <c r="P35" s="63">
        <f t="shared" si="89"/>
        <v>0.27766889062900751</v>
      </c>
      <c r="Q35" s="63">
        <f t="shared" si="89"/>
        <v>0.27766889062900751</v>
      </c>
    </row>
    <row r="36" spans="2:17" x14ac:dyDescent="0.25">
      <c r="B36" s="44" t="s">
        <v>156</v>
      </c>
      <c r="C36" s="17">
        <f>BS_Input!C38</f>
        <v>1123.33</v>
      </c>
      <c r="D36" s="17">
        <f>BS_Input!D38</f>
        <v>1092.96</v>
      </c>
      <c r="E36" s="17">
        <f>BS_Input!E38</f>
        <v>922.45</v>
      </c>
      <c r="F36" s="17">
        <f>BS_Input!F38</f>
        <v>782.14</v>
      </c>
      <c r="G36" s="17">
        <f>BS_Input!G38</f>
        <v>789.83</v>
      </c>
      <c r="H36" s="61">
        <f>H37*H$11</f>
        <v>2022.4972380127399</v>
      </c>
      <c r="I36" s="61">
        <f t="shared" ref="I36" si="90">I37*I$11</f>
        <v>2503.7986727654757</v>
      </c>
      <c r="J36" s="61">
        <f t="shared" ref="J36" si="91">J37*J$11</f>
        <v>3101.891363720139</v>
      </c>
      <c r="K36" s="61">
        <f t="shared" ref="K36" si="92">K37*K$11</f>
        <v>3845.4175158918715</v>
      </c>
      <c r="L36" s="61">
        <f t="shared" ref="L36" si="93">L37*L$11</f>
        <v>4770.0832980103878</v>
      </c>
      <c r="M36" s="61">
        <f t="shared" ref="M36" si="94">M37*M$11</f>
        <v>5920.4061692685673</v>
      </c>
      <c r="N36" s="61">
        <f t="shared" ref="N36" si="95">N37*N$11</f>
        <v>7351.8950876311274</v>
      </c>
      <c r="O36" s="61">
        <f t="shared" ref="O36" si="96">O37*O$11</f>
        <v>9133.7709274039644</v>
      </c>
      <c r="P36" s="61">
        <f t="shared" ref="P36" si="97">P37*P$11</f>
        <v>11352.361055413834</v>
      </c>
      <c r="Q36" s="61">
        <f t="shared" ref="Q36" si="98">Q37*Q$11</f>
        <v>14115.335241473851</v>
      </c>
    </row>
    <row r="37" spans="2:17" x14ac:dyDescent="0.25">
      <c r="B37" s="44"/>
      <c r="C37" s="20">
        <f>C36/C$11</f>
        <v>5.1173804522471819E-2</v>
      </c>
      <c r="D37" s="20">
        <f t="shared" ref="D37" si="99">D36/D$11</f>
        <v>5.6181473314108589E-2</v>
      </c>
      <c r="E37" s="20">
        <f t="shared" ref="E37" si="100">E36/E$11</f>
        <v>3.5158163138907995E-2</v>
      </c>
      <c r="F37" s="20">
        <f t="shared" ref="F37" si="101">F36/F$11</f>
        <v>1.8768687338922934E-2</v>
      </c>
      <c r="G37" s="20">
        <f t="shared" ref="G37" si="102">G36/G$11</f>
        <v>1.7248721572793044E-2</v>
      </c>
      <c r="H37" s="65">
        <f>AVERAGE(C37:G37)</f>
        <v>3.5706169977440874E-2</v>
      </c>
      <c r="I37" s="65">
        <f>H37</f>
        <v>3.5706169977440874E-2</v>
      </c>
      <c r="J37" s="65">
        <f t="shared" ref="J37:Q37" si="103">I37</f>
        <v>3.5706169977440874E-2</v>
      </c>
      <c r="K37" s="65">
        <f t="shared" si="103"/>
        <v>3.5706169977440874E-2</v>
      </c>
      <c r="L37" s="65">
        <f t="shared" si="103"/>
        <v>3.5706169977440874E-2</v>
      </c>
      <c r="M37" s="65">
        <f t="shared" si="103"/>
        <v>3.5706169977440874E-2</v>
      </c>
      <c r="N37" s="65">
        <f t="shared" si="103"/>
        <v>3.5706169977440874E-2</v>
      </c>
      <c r="O37" s="63">
        <f t="shared" si="103"/>
        <v>3.5706169977440874E-2</v>
      </c>
      <c r="P37" s="63">
        <f t="shared" si="103"/>
        <v>3.5706169977440874E-2</v>
      </c>
      <c r="Q37" s="63">
        <f t="shared" si="103"/>
        <v>3.5706169977440874E-2</v>
      </c>
    </row>
    <row r="38" spans="2:17" x14ac:dyDescent="0.25">
      <c r="B38" s="44"/>
      <c r="C38" s="17"/>
      <c r="D38" s="17"/>
      <c r="E38" s="17"/>
      <c r="F38" s="17"/>
      <c r="G38" s="17"/>
      <c r="H38" s="61"/>
      <c r="I38" s="61"/>
      <c r="J38" s="61"/>
      <c r="K38" s="61"/>
      <c r="L38" s="61"/>
      <c r="M38" s="61"/>
      <c r="N38" s="61"/>
      <c r="O38" s="61"/>
      <c r="P38" s="61"/>
      <c r="Q38" s="61"/>
    </row>
    <row r="39" spans="2:17" x14ac:dyDescent="0.25">
      <c r="B39" s="44"/>
      <c r="C39" s="17"/>
      <c r="D39" s="17"/>
      <c r="E39" s="17"/>
      <c r="F39" s="17"/>
      <c r="G39" s="17"/>
      <c r="H39" s="61"/>
      <c r="I39" s="61"/>
      <c r="J39" s="61"/>
      <c r="K39" s="61"/>
      <c r="L39" s="61"/>
      <c r="M39" s="61"/>
      <c r="N39" s="61"/>
      <c r="O39" s="61"/>
      <c r="P39" s="61"/>
      <c r="Q39" s="61"/>
    </row>
    <row r="40" spans="2:17" x14ac:dyDescent="0.25">
      <c r="B40" s="44" t="s">
        <v>45</v>
      </c>
      <c r="C40" s="17">
        <f>BS_Input!C41</f>
        <v>835.41</v>
      </c>
      <c r="D40" s="17">
        <f>BS_Input!D41</f>
        <v>1007.41</v>
      </c>
      <c r="E40" s="17">
        <f>BS_Input!E41</f>
        <v>1215.92</v>
      </c>
      <c r="F40" s="17">
        <f>BS_Input!F41</f>
        <v>1347.42</v>
      </c>
      <c r="G40" s="17">
        <f>BS_Input!G41</f>
        <v>1190.97</v>
      </c>
      <c r="H40" s="61">
        <f>H41*H$11</f>
        <v>2203.7147898001094</v>
      </c>
      <c r="I40" s="61">
        <f t="shared" ref="I40" si="104">I41*I$11</f>
        <v>2728.1412612838417</v>
      </c>
      <c r="J40" s="61">
        <f t="shared" ref="J40" si="105">J41*J$11</f>
        <v>3379.8235894254617</v>
      </c>
      <c r="K40" s="61">
        <f t="shared" ref="K40" si="106">K41*K$11</f>
        <v>4189.9703462902498</v>
      </c>
      <c r="L40" s="61">
        <f t="shared" ref="L40" si="107">L41*L$11</f>
        <v>5197.4870050911577</v>
      </c>
      <c r="M40" s="61">
        <f t="shared" ref="M40" si="108">M41*M$11</f>
        <v>6450.8798289685319</v>
      </c>
      <c r="N40" s="61">
        <f t="shared" ref="N40" si="109">N41*N$11</f>
        <v>8010.6314279028102</v>
      </c>
      <c r="O40" s="61">
        <f t="shared" ref="O40" si="110">O41*O$11</f>
        <v>9952.1649281182272</v>
      </c>
      <c r="P40" s="61">
        <f t="shared" ref="P40" si="111">P41*P$11</f>
        <v>12369.542705308089</v>
      </c>
      <c r="Q40" s="61">
        <f t="shared" ref="Q40" si="112">Q41*Q$11</f>
        <v>15380.081836446334</v>
      </c>
    </row>
    <row r="41" spans="2:17" x14ac:dyDescent="0.25">
      <c r="B41" s="44"/>
      <c r="C41" s="20">
        <f>C40/C$11</f>
        <v>3.8057479134464653E-2</v>
      </c>
      <c r="D41" s="20">
        <f t="shared" ref="D41" si="113">D40/D$11</f>
        <v>5.1783942716445368E-2</v>
      </c>
      <c r="E41" s="20">
        <f t="shared" ref="E41" si="114">E40/E$11</f>
        <v>4.6343448126035032E-2</v>
      </c>
      <c r="F41" s="20">
        <f t="shared" ref="F41" si="115">F40/F$11</f>
        <v>3.233347571305846E-2</v>
      </c>
      <c r="G41" s="20">
        <f t="shared" ref="G41" si="116">G40/G$11</f>
        <v>2.6009027172365359E-2</v>
      </c>
      <c r="H41" s="65">
        <f>AVERAGE(C41:G41)</f>
        <v>3.8905474572473772E-2</v>
      </c>
      <c r="I41" s="65">
        <f>H41</f>
        <v>3.8905474572473772E-2</v>
      </c>
      <c r="J41" s="65">
        <f t="shared" ref="J41:Q41" si="117">I41</f>
        <v>3.8905474572473772E-2</v>
      </c>
      <c r="K41" s="65">
        <f t="shared" si="117"/>
        <v>3.8905474572473772E-2</v>
      </c>
      <c r="L41" s="65">
        <f t="shared" si="117"/>
        <v>3.8905474572473772E-2</v>
      </c>
      <c r="M41" s="65">
        <f t="shared" si="117"/>
        <v>3.8905474572473772E-2</v>
      </c>
      <c r="N41" s="65">
        <f t="shared" si="117"/>
        <v>3.8905474572473772E-2</v>
      </c>
      <c r="O41" s="63">
        <f t="shared" si="117"/>
        <v>3.8905474572473772E-2</v>
      </c>
      <c r="P41" s="63">
        <f t="shared" si="117"/>
        <v>3.8905474572473772E-2</v>
      </c>
      <c r="Q41" s="63">
        <f t="shared" si="117"/>
        <v>3.8905474572473772E-2</v>
      </c>
    </row>
    <row r="42" spans="2:17" x14ac:dyDescent="0.25">
      <c r="B42" s="44"/>
      <c r="C42" s="17"/>
      <c r="D42" s="17"/>
      <c r="E42" s="17"/>
      <c r="F42" s="17"/>
      <c r="G42" s="17"/>
      <c r="H42" s="61"/>
      <c r="I42" s="61"/>
      <c r="J42" s="61"/>
      <c r="K42" s="61"/>
      <c r="L42" s="61"/>
      <c r="M42" s="61"/>
      <c r="N42" s="61"/>
      <c r="O42" s="61"/>
      <c r="P42" s="61"/>
      <c r="Q42" s="61"/>
    </row>
    <row r="43" spans="2:17" x14ac:dyDescent="0.25">
      <c r="B43" s="44" t="s">
        <v>54</v>
      </c>
      <c r="C43" s="17"/>
      <c r="D43" s="17"/>
      <c r="E43" s="17"/>
      <c r="F43" s="17"/>
      <c r="G43" s="17"/>
      <c r="H43" s="61"/>
      <c r="I43" s="61"/>
      <c r="J43" s="61"/>
      <c r="K43" s="61"/>
      <c r="L43" s="61"/>
      <c r="M43" s="61"/>
      <c r="N43" s="61"/>
      <c r="O43" s="61"/>
      <c r="P43" s="61"/>
      <c r="Q43" s="61"/>
    </row>
    <row r="44" spans="2:17" x14ac:dyDescent="0.25">
      <c r="B44" s="44"/>
      <c r="C44" s="17"/>
      <c r="D44" s="17"/>
      <c r="E44" s="17"/>
      <c r="F44" s="17"/>
      <c r="G44" s="17"/>
      <c r="H44" s="61"/>
      <c r="I44" s="61"/>
      <c r="J44" s="61"/>
      <c r="K44" s="61"/>
      <c r="L44" s="61"/>
      <c r="M44" s="61"/>
      <c r="N44" s="61"/>
      <c r="O44" s="61"/>
      <c r="P44" s="61"/>
      <c r="Q44" s="61"/>
    </row>
    <row r="45" spans="2:17" x14ac:dyDescent="0.25">
      <c r="B45" s="44" t="s">
        <v>56</v>
      </c>
      <c r="C45" s="17">
        <f>BS_Input!C57</f>
        <v>13308.7</v>
      </c>
      <c r="D45" s="17">
        <f>BS_Input!D57</f>
        <v>15564.63</v>
      </c>
      <c r="E45" s="17">
        <f>BS_Input!E57</f>
        <v>15297.3</v>
      </c>
      <c r="F45" s="17">
        <f>BS_Input!F57</f>
        <v>19502.86</v>
      </c>
      <c r="G45" s="17">
        <f>BS_Input!G57</f>
        <v>26695.71</v>
      </c>
      <c r="H45" s="61">
        <f>H46*H$11</f>
        <v>34443.235033527933</v>
      </c>
      <c r="I45" s="61">
        <f t="shared" ref="I45" si="118">I46*I$11</f>
        <v>42639.823947266799</v>
      </c>
      <c r="J45" s="61">
        <f t="shared" ref="J45" si="119">J46*J$11</f>
        <v>52825.3741370055</v>
      </c>
      <c r="K45" s="61">
        <f t="shared" ref="K45" si="120">K46*K$11</f>
        <v>65487.663870458433</v>
      </c>
      <c r="L45" s="61">
        <f t="shared" ref="L45" si="121">L46*L$11</f>
        <v>81234.77109136252</v>
      </c>
      <c r="M45" s="61">
        <f t="shared" ref="M45" si="122">M46*M$11</f>
        <v>100824.83048650846</v>
      </c>
      <c r="N45" s="61">
        <f t="shared" ref="N45" si="123">N46*N$11</f>
        <v>125203.16254865674</v>
      </c>
      <c r="O45" s="61">
        <f t="shared" ref="O45" si="124">O46*O$11</f>
        <v>155548.60243176139</v>
      </c>
      <c r="P45" s="61">
        <f t="shared" ref="P45" si="125">P46*P$11</f>
        <v>193331.30976301731</v>
      </c>
      <c r="Q45" s="61">
        <f t="shared" ref="Q45" si="126">Q46*Q$11</f>
        <v>240384.90642233507</v>
      </c>
    </row>
    <row r="46" spans="2:17" x14ac:dyDescent="0.25">
      <c r="B46" s="44"/>
      <c r="C46" s="20">
        <f>C45/C$11</f>
        <v>0.60628382776941836</v>
      </c>
      <c r="D46" s="20">
        <f t="shared" ref="D46" si="127">D45/D$11</f>
        <v>0.80006939411229494</v>
      </c>
      <c r="E46" s="20">
        <f t="shared" ref="E46" si="128">E45/E$11</f>
        <v>0.58303969752812324</v>
      </c>
      <c r="F46" s="20">
        <f t="shared" ref="F46" si="129">F45/F$11</f>
        <v>0.46800199651569613</v>
      </c>
      <c r="G46" s="20">
        <f t="shared" ref="G46" si="130">G45/G$11</f>
        <v>0.58299490900323736</v>
      </c>
      <c r="H46" s="65">
        <f>AVERAGE(C46:G46)</f>
        <v>0.60807796498575395</v>
      </c>
      <c r="I46" s="65">
        <f>H46</f>
        <v>0.60807796498575395</v>
      </c>
      <c r="J46" s="65">
        <f t="shared" ref="J46:Q46" si="131">I46</f>
        <v>0.60807796498575395</v>
      </c>
      <c r="K46" s="65">
        <f t="shared" si="131"/>
        <v>0.60807796498575395</v>
      </c>
      <c r="L46" s="65">
        <f t="shared" si="131"/>
        <v>0.60807796498575395</v>
      </c>
      <c r="M46" s="65">
        <f t="shared" si="131"/>
        <v>0.60807796498575395</v>
      </c>
      <c r="N46" s="65">
        <f t="shared" si="131"/>
        <v>0.60807796498575395</v>
      </c>
      <c r="O46" s="63">
        <f t="shared" si="131"/>
        <v>0.60807796498575395</v>
      </c>
      <c r="P46" s="63">
        <f t="shared" si="131"/>
        <v>0.60807796498575395</v>
      </c>
      <c r="Q46" s="63">
        <f t="shared" si="131"/>
        <v>0.60807796498575395</v>
      </c>
    </row>
    <row r="47" spans="2:17" x14ac:dyDescent="0.25">
      <c r="B47" s="44" t="s">
        <v>57</v>
      </c>
      <c r="C47" s="17">
        <f>BS_Input!C58</f>
        <v>142.75</v>
      </c>
      <c r="D47" s="17">
        <f>BS_Input!D58</f>
        <v>145.44999999999999</v>
      </c>
      <c r="E47" s="17">
        <f>BS_Input!E58</f>
        <v>160.57</v>
      </c>
      <c r="F47" s="17">
        <f>BS_Input!F58</f>
        <v>188.97</v>
      </c>
      <c r="G47" s="17">
        <f>BS_Input!G58</f>
        <v>151.21</v>
      </c>
      <c r="H47" s="61">
        <f>H48*H$11</f>
        <v>316.47914459597655</v>
      </c>
      <c r="I47" s="61">
        <f t="shared" ref="I47" si="132">I48*I$11</f>
        <v>391.79290201451823</v>
      </c>
      <c r="J47" s="61">
        <f t="shared" ref="J47" si="133">J48*J$11</f>
        <v>485.3820845680745</v>
      </c>
      <c r="K47" s="61">
        <f t="shared" ref="K47" si="134">K48*K$11</f>
        <v>601.72860717458184</v>
      </c>
      <c r="L47" s="61">
        <f t="shared" ref="L47" si="135">L48*L$11</f>
        <v>746.41974952174098</v>
      </c>
      <c r="M47" s="61">
        <f t="shared" ref="M47" si="136">M48*M$11</f>
        <v>926.42157669985215</v>
      </c>
      <c r="N47" s="61">
        <f t="shared" ref="N47" si="137">N48*N$11</f>
        <v>1150.4200968793634</v>
      </c>
      <c r="O47" s="61">
        <f t="shared" ref="O47" si="138">O48*O$11</f>
        <v>1429.246950606811</v>
      </c>
      <c r="P47" s="61">
        <f t="shared" ref="P47" si="139">P48*P$11</f>
        <v>1776.4105920323718</v>
      </c>
      <c r="Q47" s="61">
        <f t="shared" ref="Q47" si="140">Q48*Q$11</f>
        <v>2208.7591216176224</v>
      </c>
    </row>
    <row r="48" spans="2:17" x14ac:dyDescent="0.25">
      <c r="B48" s="44"/>
      <c r="C48" s="20">
        <f>C47/C$11</f>
        <v>6.5030405985621789E-3</v>
      </c>
      <c r="D48" s="20">
        <f t="shared" ref="D48" si="141">D47/D$11</f>
        <v>7.4765730617196357E-3</v>
      </c>
      <c r="E48" s="20">
        <f t="shared" ref="E48" si="142">E47/E$11</f>
        <v>6.1199482413295649E-3</v>
      </c>
      <c r="F48" s="20">
        <f t="shared" ref="F48" si="143">F47/F$11</f>
        <v>4.5346342680802247E-3</v>
      </c>
      <c r="G48" s="20">
        <f t="shared" ref="G48" si="144">G47/G$11</f>
        <v>3.302203245029989E-3</v>
      </c>
      <c r="H48" s="65">
        <f>AVERAGE(C48:G48)</f>
        <v>5.587279882944318E-3</v>
      </c>
      <c r="I48" s="65">
        <f>H48</f>
        <v>5.587279882944318E-3</v>
      </c>
      <c r="J48" s="65">
        <f t="shared" ref="J48:Q48" si="145">I48</f>
        <v>5.587279882944318E-3</v>
      </c>
      <c r="K48" s="65">
        <f t="shared" si="145"/>
        <v>5.587279882944318E-3</v>
      </c>
      <c r="L48" s="65">
        <f t="shared" si="145"/>
        <v>5.587279882944318E-3</v>
      </c>
      <c r="M48" s="65">
        <f t="shared" si="145"/>
        <v>5.587279882944318E-3</v>
      </c>
      <c r="N48" s="65">
        <f t="shared" si="145"/>
        <v>5.587279882944318E-3</v>
      </c>
      <c r="O48" s="63">
        <f t="shared" si="145"/>
        <v>5.587279882944318E-3</v>
      </c>
      <c r="P48" s="63">
        <f t="shared" si="145"/>
        <v>5.587279882944318E-3</v>
      </c>
      <c r="Q48" s="63">
        <f t="shared" si="145"/>
        <v>5.587279882944318E-3</v>
      </c>
    </row>
    <row r="49" spans="2:17" x14ac:dyDescent="0.25">
      <c r="B49" s="44" t="s">
        <v>58</v>
      </c>
      <c r="C49" s="17">
        <f>BS_Input!C59</f>
        <v>167.9</v>
      </c>
      <c r="D49" s="17">
        <f>BS_Input!D59</f>
        <v>171.55</v>
      </c>
      <c r="E49" s="17">
        <f>BS_Input!E59</f>
        <v>143.19999999999999</v>
      </c>
      <c r="F49" s="17">
        <f>BS_Input!F59</f>
        <v>164.01</v>
      </c>
      <c r="G49" s="17">
        <f>BS_Input!G59</f>
        <v>127.41</v>
      </c>
      <c r="H49" s="61">
        <f>H50*H$11</f>
        <v>324.48378121427982</v>
      </c>
      <c r="I49" s="61">
        <f t="shared" ref="I49" si="146">I50*I$11</f>
        <v>401.70243274919079</v>
      </c>
      <c r="J49" s="61">
        <f t="shared" ref="J49" si="147">J50*J$11</f>
        <v>497.65874568254395</v>
      </c>
      <c r="K49" s="61">
        <f t="shared" ref="K49" si="148">K50*K$11</f>
        <v>616.94799500950296</v>
      </c>
      <c r="L49" s="61">
        <f t="shared" ref="L49" si="149">L50*L$11</f>
        <v>765.29877824028108</v>
      </c>
      <c r="M49" s="61">
        <f t="shared" ref="M49" si="150">M50*M$11</f>
        <v>949.8533516002326</v>
      </c>
      <c r="N49" s="61">
        <f t="shared" ref="N49" si="151">N50*N$11</f>
        <v>1179.5174165326648</v>
      </c>
      <c r="O49" s="61">
        <f t="shared" ref="O49" si="152">O50*O$11</f>
        <v>1465.3965758594663</v>
      </c>
      <c r="P49" s="61">
        <f t="shared" ref="P49" si="153">P50*P$11</f>
        <v>1821.3409500573121</v>
      </c>
      <c r="Q49" s="61">
        <f t="shared" ref="Q49" si="154">Q50*Q$11</f>
        <v>2264.6247748456817</v>
      </c>
    </row>
    <row r="50" spans="2:17" x14ac:dyDescent="0.25">
      <c r="B50" s="44"/>
      <c r="C50" s="20">
        <f>C49/C$11</f>
        <v>7.6487601856293505E-3</v>
      </c>
      <c r="D50" s="20">
        <f t="shared" ref="D50" si="155">D49/D$11</f>
        <v>8.8181925660914661E-3</v>
      </c>
      <c r="E50" s="20">
        <f t="shared" ref="E50" si="156">E49/E$11</f>
        <v>5.4579098720707086E-3</v>
      </c>
      <c r="F50" s="20">
        <f t="shared" ref="F50" si="157">F49/F$11</f>
        <v>3.9356795592307651E-3</v>
      </c>
      <c r="G50" s="20">
        <f t="shared" ref="G50" si="158">G49/G$11</f>
        <v>2.7824463689522573E-3</v>
      </c>
      <c r="H50" s="65">
        <f>AVERAGE(C50:G50)</f>
        <v>5.7285977103949098E-3</v>
      </c>
      <c r="I50" s="65">
        <f>H50</f>
        <v>5.7285977103949098E-3</v>
      </c>
      <c r="J50" s="65">
        <f t="shared" ref="J50:Q50" si="159">I50</f>
        <v>5.7285977103949098E-3</v>
      </c>
      <c r="K50" s="65">
        <f t="shared" si="159"/>
        <v>5.7285977103949098E-3</v>
      </c>
      <c r="L50" s="65">
        <f t="shared" si="159"/>
        <v>5.7285977103949098E-3</v>
      </c>
      <c r="M50" s="65">
        <f t="shared" si="159"/>
        <v>5.7285977103949098E-3</v>
      </c>
      <c r="N50" s="65">
        <f t="shared" si="159"/>
        <v>5.7285977103949098E-3</v>
      </c>
      <c r="O50" s="63">
        <f t="shared" si="159"/>
        <v>5.7285977103949098E-3</v>
      </c>
      <c r="P50" s="63">
        <f t="shared" si="159"/>
        <v>5.7285977103949098E-3</v>
      </c>
      <c r="Q50" s="63">
        <f t="shared" si="159"/>
        <v>5.7285977103949098E-3</v>
      </c>
    </row>
    <row r="51" spans="2:17" x14ac:dyDescent="0.25">
      <c r="B51" s="44" t="s">
        <v>59</v>
      </c>
      <c r="C51" s="17">
        <f>BS_Input!C60</f>
        <v>228.54</v>
      </c>
      <c r="D51" s="17">
        <f>BS_Input!D60</f>
        <v>229.38</v>
      </c>
      <c r="E51" s="17">
        <f>BS_Input!E60</f>
        <v>283.99</v>
      </c>
      <c r="F51" s="17">
        <f>BS_Input!F60</f>
        <v>633.28</v>
      </c>
      <c r="G51" s="17">
        <f>BS_Input!G60</f>
        <v>857.51</v>
      </c>
      <c r="H51" s="61">
        <f>H52*H$11</f>
        <v>758.43962372771352</v>
      </c>
      <c r="I51" s="61">
        <f t="shared" ref="I51:I53" si="160">I52*I$11</f>
        <v>938.92841363189746</v>
      </c>
      <c r="J51" s="61">
        <f t="shared" ref="J51:J53" si="161">J52*J$11</f>
        <v>1163.2141070589325</v>
      </c>
      <c r="K51" s="61">
        <f t="shared" ref="K51:K53" si="162">K52*K$11</f>
        <v>1442.0375756333262</v>
      </c>
      <c r="L51" s="61">
        <f t="shared" ref="L51:L53" si="163">L52*L$11</f>
        <v>1788.7886884076231</v>
      </c>
      <c r="M51" s="61">
        <f t="shared" ref="M51:M53" si="164">M52*M$11</f>
        <v>2220.1615621227375</v>
      </c>
      <c r="N51" s="61">
        <f t="shared" ref="N51:N53" si="165">N52*N$11</f>
        <v>2756.972142729549</v>
      </c>
      <c r="O51" s="61">
        <f t="shared" ref="O51:O53" si="166">O52*O$11</f>
        <v>3425.1783662271459</v>
      </c>
      <c r="P51" s="61">
        <f t="shared" ref="P51:P53" si="167">P52*P$11</f>
        <v>4257.1531300330917</v>
      </c>
      <c r="Q51" s="61">
        <f t="shared" ref="Q51:Q53" si="168">Q52*Q$11</f>
        <v>5293.2727660251694</v>
      </c>
    </row>
    <row r="52" spans="2:17" x14ac:dyDescent="0.25">
      <c r="B52" s="44"/>
      <c r="C52" s="20">
        <f>C51/C$11</f>
        <v>1.0411242720808409E-2</v>
      </c>
      <c r="D52" s="20">
        <f t="shared" ref="D52:D54" si="169">D51/D$11</f>
        <v>1.1790830724628739E-2</v>
      </c>
      <c r="E52" s="20">
        <f t="shared" ref="E52:E54" si="170">E51/E$11</f>
        <v>1.0823965255372629E-2</v>
      </c>
      <c r="F52" s="20">
        <f t="shared" ref="F52:F54" si="171">F51/F$11</f>
        <v>1.5196556010424113E-2</v>
      </c>
      <c r="G52" s="20">
        <f t="shared" ref="G52:G54" si="172">G51/G$11</f>
        <v>1.8726752890983835E-2</v>
      </c>
      <c r="H52" s="65">
        <f>AVERAGE(C52:G52)</f>
        <v>1.3389869520443545E-2</v>
      </c>
      <c r="I52" s="65">
        <f>H52</f>
        <v>1.3389869520443545E-2</v>
      </c>
      <c r="J52" s="65">
        <f t="shared" ref="J52:Q52" si="173">I52</f>
        <v>1.3389869520443545E-2</v>
      </c>
      <c r="K52" s="65">
        <f t="shared" si="173"/>
        <v>1.3389869520443545E-2</v>
      </c>
      <c r="L52" s="65">
        <f t="shared" si="173"/>
        <v>1.3389869520443545E-2</v>
      </c>
      <c r="M52" s="65">
        <f t="shared" si="173"/>
        <v>1.3389869520443545E-2</v>
      </c>
      <c r="N52" s="65">
        <f t="shared" si="173"/>
        <v>1.3389869520443545E-2</v>
      </c>
      <c r="O52" s="63">
        <f t="shared" si="173"/>
        <v>1.3389869520443545E-2</v>
      </c>
      <c r="P52" s="63">
        <f t="shared" si="173"/>
        <v>1.3389869520443545E-2</v>
      </c>
      <c r="Q52" s="63">
        <f t="shared" si="173"/>
        <v>1.3389869520443545E-2</v>
      </c>
    </row>
    <row r="53" spans="2:17" x14ac:dyDescent="0.25">
      <c r="B53" s="44" t="s">
        <v>60</v>
      </c>
      <c r="C53" s="17">
        <f>BS_Input!C61</f>
        <v>338.57</v>
      </c>
      <c r="D53" s="17">
        <f>BS_Input!D61</f>
        <v>386.09</v>
      </c>
      <c r="E53" s="17">
        <f>BS_Input!E61</f>
        <v>315.83</v>
      </c>
      <c r="F53" s="17">
        <f>BS_Input!F61</f>
        <v>722</v>
      </c>
      <c r="G53" s="17">
        <f>BS_Input!G61</f>
        <v>1046.83</v>
      </c>
      <c r="H53" s="61">
        <f>H54*H$11</f>
        <v>991.18294253228692</v>
      </c>
      <c r="I53" s="61">
        <f t="shared" si="160"/>
        <v>1227.0585538196349</v>
      </c>
      <c r="J53" s="61">
        <f t="shared" si="161"/>
        <v>1520.1710793576119</v>
      </c>
      <c r="K53" s="61">
        <f t="shared" si="162"/>
        <v>1884.5574555206852</v>
      </c>
      <c r="L53" s="61">
        <f t="shared" si="163"/>
        <v>2337.716517275298</v>
      </c>
      <c r="M53" s="61">
        <f t="shared" si="164"/>
        <v>2901.4653259096117</v>
      </c>
      <c r="N53" s="61">
        <f t="shared" si="165"/>
        <v>3603.007642822296</v>
      </c>
      <c r="O53" s="61">
        <f t="shared" si="166"/>
        <v>4476.2671483970098</v>
      </c>
      <c r="P53" s="61">
        <f t="shared" si="167"/>
        <v>5563.5510516940167</v>
      </c>
      <c r="Q53" s="61">
        <f t="shared" si="168"/>
        <v>6917.6260202070098</v>
      </c>
    </row>
    <row r="54" spans="2:17" x14ac:dyDescent="0.25">
      <c r="B54" s="44"/>
      <c r="C54" s="20">
        <f>C53/C$11</f>
        <v>1.5423708969913814E-2</v>
      </c>
      <c r="D54" s="20">
        <f t="shared" si="169"/>
        <v>1.984620208593561E-2</v>
      </c>
      <c r="E54" s="20">
        <f t="shared" si="170"/>
        <v>1.2037511696201758E-2</v>
      </c>
      <c r="F54" s="20">
        <f t="shared" si="171"/>
        <v>1.7325532844122995E-2</v>
      </c>
      <c r="G54" s="20">
        <f t="shared" si="172"/>
        <v>2.286122229346434E-2</v>
      </c>
      <c r="H54" s="65">
        <f>AVERAGE(C54:G54)</f>
        <v>1.7498835577927703E-2</v>
      </c>
      <c r="I54" s="65">
        <f>H54</f>
        <v>1.7498835577927703E-2</v>
      </c>
      <c r="J54" s="65">
        <f t="shared" ref="J54" si="174">I54</f>
        <v>1.7498835577927703E-2</v>
      </c>
      <c r="K54" s="65">
        <f t="shared" ref="K54" si="175">J54</f>
        <v>1.7498835577927703E-2</v>
      </c>
      <c r="L54" s="65">
        <f t="shared" ref="L54" si="176">K54</f>
        <v>1.7498835577927703E-2</v>
      </c>
      <c r="M54" s="65">
        <f t="shared" ref="M54" si="177">L54</f>
        <v>1.7498835577927703E-2</v>
      </c>
      <c r="N54" s="65">
        <f t="shared" ref="N54" si="178">M54</f>
        <v>1.7498835577927703E-2</v>
      </c>
      <c r="O54" s="63">
        <f t="shared" ref="O54" si="179">N54</f>
        <v>1.7498835577927703E-2</v>
      </c>
      <c r="P54" s="63">
        <f t="shared" ref="P54" si="180">O54</f>
        <v>1.7498835577927703E-2</v>
      </c>
      <c r="Q54" s="63">
        <f t="shared" ref="Q54" si="181">P54</f>
        <v>1.7498835577927703E-2</v>
      </c>
    </row>
    <row r="55" spans="2:17" x14ac:dyDescent="0.25">
      <c r="B55" s="44" t="s">
        <v>62</v>
      </c>
      <c r="C55" s="17">
        <f>BS_Input!C63</f>
        <v>0</v>
      </c>
      <c r="D55" s="17">
        <f>BS_Input!D63</f>
        <v>0</v>
      </c>
      <c r="E55" s="17">
        <f>BS_Input!E63</f>
        <v>0</v>
      </c>
      <c r="F55" s="17">
        <f>BS_Input!F63</f>
        <v>13.68</v>
      </c>
      <c r="G55" s="17">
        <f>BS_Input!G63</f>
        <v>3.82</v>
      </c>
      <c r="H55" s="61">
        <f>H56*H$11</f>
        <v>4.663927077571234</v>
      </c>
      <c r="I55" s="61">
        <f t="shared" ref="I55" si="182">I56*I$11</f>
        <v>5.77381971516159</v>
      </c>
      <c r="J55" s="61">
        <f t="shared" ref="J55" si="183">J56*J$11</f>
        <v>7.1530357871606594</v>
      </c>
      <c r="K55" s="61">
        <f t="shared" ref="K55" si="184">K56*K$11</f>
        <v>8.8676249044261191</v>
      </c>
      <c r="L55" s="61">
        <f t="shared" ref="L55" si="185">L56*L$11</f>
        <v>10.999926347350989</v>
      </c>
      <c r="M55" s="61">
        <f t="shared" ref="M55" si="186">M56*M$11</f>
        <v>13.652598443201198</v>
      </c>
      <c r="N55" s="61">
        <f t="shared" ref="N55" si="187">N56*N$11</f>
        <v>16.953646178699884</v>
      </c>
      <c r="O55" s="61">
        <f t="shared" ref="O55" si="188">O56*O$11</f>
        <v>21.062694548106933</v>
      </c>
      <c r="P55" s="61">
        <f t="shared" ref="P55" si="189">P56*P$11</f>
        <v>26.178816527202706</v>
      </c>
      <c r="Q55" s="61">
        <f t="shared" ref="Q55" si="190">Q56*Q$11</f>
        <v>32.550301184288045</v>
      </c>
    </row>
    <row r="56" spans="2:17" x14ac:dyDescent="0.25">
      <c r="B56" s="44"/>
      <c r="C56" s="20">
        <f>C55/C$11</f>
        <v>0</v>
      </c>
      <c r="D56" s="20">
        <f t="shared" ref="D56" si="191">D55/D$11</f>
        <v>0</v>
      </c>
      <c r="E56" s="20">
        <f t="shared" ref="E56" si="192">E55/E$11</f>
        <v>0</v>
      </c>
      <c r="F56" s="20">
        <f t="shared" ref="F56" si="193">F55/F$11</f>
        <v>3.2827325388864618E-4</v>
      </c>
      <c r="G56" s="20">
        <f t="shared" ref="G56" si="194">G55/G$11</f>
        <v>8.3423162462896344E-5</v>
      </c>
      <c r="H56" s="65">
        <f>AVERAGE(C56:G56)</f>
        <v>8.2339283270308508E-5</v>
      </c>
      <c r="I56" s="65">
        <f>H56</f>
        <v>8.2339283270308508E-5</v>
      </c>
      <c r="J56" s="65">
        <f t="shared" ref="J56:Q56" si="195">I56</f>
        <v>8.2339283270308508E-5</v>
      </c>
      <c r="K56" s="65">
        <f t="shared" si="195"/>
        <v>8.2339283270308508E-5</v>
      </c>
      <c r="L56" s="65">
        <f t="shared" si="195"/>
        <v>8.2339283270308508E-5</v>
      </c>
      <c r="M56" s="65">
        <f t="shared" si="195"/>
        <v>8.2339283270308508E-5</v>
      </c>
      <c r="N56" s="65">
        <f t="shared" si="195"/>
        <v>8.2339283270308508E-5</v>
      </c>
      <c r="O56" s="63">
        <f t="shared" si="195"/>
        <v>8.2339283270308508E-5</v>
      </c>
      <c r="P56" s="63">
        <f t="shared" si="195"/>
        <v>8.2339283270308508E-5</v>
      </c>
      <c r="Q56" s="63">
        <f t="shared" si="195"/>
        <v>8.2339283270308508E-5</v>
      </c>
    </row>
    <row r="57" spans="2:17" x14ac:dyDescent="0.25">
      <c r="B57" s="44"/>
      <c r="C57" s="17"/>
      <c r="D57" s="17"/>
      <c r="E57" s="17"/>
      <c r="F57" s="17"/>
      <c r="G57" s="17"/>
      <c r="H57" s="61"/>
      <c r="I57" s="61"/>
      <c r="J57" s="61"/>
      <c r="K57" s="61"/>
      <c r="L57" s="61"/>
      <c r="M57" s="61"/>
      <c r="N57" s="61"/>
      <c r="O57" s="61"/>
      <c r="P57" s="61"/>
      <c r="Q57" s="61"/>
    </row>
    <row r="58" spans="2:17" x14ac:dyDescent="0.25">
      <c r="B58" s="44" t="s">
        <v>64</v>
      </c>
      <c r="C58" s="17"/>
      <c r="D58" s="17"/>
      <c r="E58" s="17"/>
      <c r="F58" s="17"/>
      <c r="G58" s="17"/>
      <c r="H58" s="61"/>
      <c r="I58" s="61"/>
      <c r="J58" s="61"/>
      <c r="K58" s="61"/>
      <c r="L58" s="61"/>
      <c r="M58" s="61"/>
      <c r="N58" s="61"/>
      <c r="O58" s="61"/>
      <c r="P58" s="61"/>
      <c r="Q58" s="61"/>
    </row>
    <row r="59" spans="2:17" x14ac:dyDescent="0.25">
      <c r="B59" s="44"/>
      <c r="C59" s="17"/>
      <c r="D59" s="17"/>
      <c r="E59" s="17"/>
      <c r="F59" s="17"/>
      <c r="G59" s="17"/>
      <c r="H59" s="61"/>
      <c r="I59" s="61"/>
      <c r="J59" s="61"/>
      <c r="K59" s="61"/>
      <c r="L59" s="61"/>
      <c r="M59" s="61"/>
      <c r="N59" s="61"/>
      <c r="O59" s="61"/>
      <c r="P59" s="61"/>
      <c r="Q59" s="61"/>
    </row>
    <row r="60" spans="2:17" x14ac:dyDescent="0.25">
      <c r="B60" s="44" t="s">
        <v>56</v>
      </c>
      <c r="C60" s="17">
        <f>BS_Input!C69</f>
        <v>2842.68</v>
      </c>
      <c r="D60" s="17">
        <f>BS_Input!D69</f>
        <v>2599.73</v>
      </c>
      <c r="E60" s="17">
        <f>BS_Input!E69</f>
        <v>8642.0499999999993</v>
      </c>
      <c r="F60" s="17">
        <f>BS_Input!F69</f>
        <v>11417.58</v>
      </c>
      <c r="G60" s="17">
        <f>BS_Input!G69</f>
        <v>13868.63</v>
      </c>
      <c r="H60" s="61">
        <f>H61*H$11</f>
        <v>13247.266878607537</v>
      </c>
      <c r="I60" s="61">
        <f t="shared" ref="I60" si="196">I61*I$11</f>
        <v>16399.769851363657</v>
      </c>
      <c r="J60" s="61">
        <f t="shared" ref="J60" si="197">J61*J$11</f>
        <v>20317.250353342497</v>
      </c>
      <c r="K60" s="61">
        <f t="shared" ref="K60" si="198">K61*K$11</f>
        <v>25187.313552400898</v>
      </c>
      <c r="L60" s="61">
        <f t="shared" ref="L60" si="199">L61*L$11</f>
        <v>31243.833264277604</v>
      </c>
      <c r="M60" s="61">
        <f t="shared" ref="M60" si="200">M61*M$11</f>
        <v>38778.396865015246</v>
      </c>
      <c r="N60" s="61">
        <f t="shared" ref="N60" si="201">N61*N$11</f>
        <v>48154.585558331331</v>
      </c>
      <c r="O60" s="61">
        <f t="shared" ref="O60" si="202">O61*O$11</f>
        <v>59825.792989599526</v>
      </c>
      <c r="P60" s="61">
        <f t="shared" ref="P60" si="203">P61*P$11</f>
        <v>74357.459568718827</v>
      </c>
      <c r="Q60" s="61">
        <f t="shared" ref="Q60" si="204">Q61*Q$11</f>
        <v>92454.817495103256</v>
      </c>
    </row>
    <row r="61" spans="2:17" x14ac:dyDescent="0.25">
      <c r="B61" s="44"/>
      <c r="C61" s="20">
        <f>C60/C$11</f>
        <v>0.12949956881765837</v>
      </c>
      <c r="D61" s="20">
        <f t="shared" ref="D61" si="205">D60/D$11</f>
        <v>0.13363404115327873</v>
      </c>
      <c r="E61" s="20">
        <f t="shared" ref="E61" si="206">E60/E$11</f>
        <v>0.3293821928067644</v>
      </c>
      <c r="F61" s="20">
        <f t="shared" ref="F61" si="207">F60/F$11</f>
        <v>0.27398290483435156</v>
      </c>
      <c r="G61" s="20">
        <f t="shared" ref="G61" si="208">G60/G$11</f>
        <v>0.30287041194444975</v>
      </c>
      <c r="H61" s="65">
        <f>AVERAGE(C61:G61)</f>
        <v>0.2338738239113006</v>
      </c>
      <c r="I61" s="65">
        <f>H61</f>
        <v>0.2338738239113006</v>
      </c>
      <c r="J61" s="65">
        <f t="shared" ref="J61:Q61" si="209">I61</f>
        <v>0.2338738239113006</v>
      </c>
      <c r="K61" s="65">
        <f t="shared" si="209"/>
        <v>0.2338738239113006</v>
      </c>
      <c r="L61" s="65">
        <f t="shared" si="209"/>
        <v>0.2338738239113006</v>
      </c>
      <c r="M61" s="65">
        <f t="shared" si="209"/>
        <v>0.2338738239113006</v>
      </c>
      <c r="N61" s="65">
        <f t="shared" si="209"/>
        <v>0.2338738239113006</v>
      </c>
      <c r="O61" s="63">
        <f t="shared" si="209"/>
        <v>0.2338738239113006</v>
      </c>
      <c r="P61" s="63">
        <f t="shared" si="209"/>
        <v>0.2338738239113006</v>
      </c>
      <c r="Q61" s="63">
        <f t="shared" si="209"/>
        <v>0.2338738239113006</v>
      </c>
    </row>
    <row r="62" spans="2:17" x14ac:dyDescent="0.25">
      <c r="B62" s="44" t="s">
        <v>68</v>
      </c>
      <c r="C62" s="17">
        <f>BS_Input!C73</f>
        <v>36.770000000000003</v>
      </c>
      <c r="D62" s="17">
        <f>BS_Input!D73</f>
        <v>41.61</v>
      </c>
      <c r="E62" s="17">
        <f>BS_Input!E73</f>
        <v>45.1</v>
      </c>
      <c r="F62" s="17">
        <f>BS_Input!F73</f>
        <v>51.52</v>
      </c>
      <c r="G62" s="17">
        <f>BS_Input!G73</f>
        <v>86.63</v>
      </c>
      <c r="H62" s="61">
        <f>H63*H$11</f>
        <v>98.117403470256448</v>
      </c>
      <c r="I62" s="61">
        <f t="shared" ref="I62" si="210">I63*I$11</f>
        <v>121.46677877563327</v>
      </c>
      <c r="J62" s="61">
        <f t="shared" ref="J62" si="211">J63*J$11</f>
        <v>150.48204800224096</v>
      </c>
      <c r="K62" s="61">
        <f t="shared" ref="K62" si="212">K63*K$11</f>
        <v>186.55273037063967</v>
      </c>
      <c r="L62" s="61">
        <f t="shared" ref="L62" si="213">L63*L$11</f>
        <v>231.41103915548024</v>
      </c>
      <c r="M62" s="61">
        <f t="shared" ref="M62" si="214">M63*M$11</f>
        <v>287.2166497437068</v>
      </c>
      <c r="N62" s="61">
        <f t="shared" ref="N62" si="215">N63*N$11</f>
        <v>356.66246807480479</v>
      </c>
      <c r="O62" s="61">
        <f t="shared" ref="O62" si="216">O63*O$11</f>
        <v>443.10660625156714</v>
      </c>
      <c r="P62" s="61">
        <f t="shared" ref="P62" si="217">P63*P$11</f>
        <v>550.73706360584367</v>
      </c>
      <c r="Q62" s="61">
        <f t="shared" ref="Q62" si="218">Q63*Q$11</f>
        <v>684.77722341240383</v>
      </c>
    </row>
    <row r="63" spans="2:17" x14ac:dyDescent="0.25">
      <c r="B63" s="44"/>
      <c r="C63" s="20">
        <f>C62/C$11</f>
        <v>1.6750739251077502E-3</v>
      </c>
      <c r="D63" s="20">
        <f t="shared" ref="D63" si="219">D62/D$11</f>
        <v>2.1388807500732489E-3</v>
      </c>
      <c r="E63" s="20">
        <f t="shared" ref="E63" si="220">E62/E$11</f>
        <v>1.7189366985362357E-3</v>
      </c>
      <c r="F63" s="20">
        <f t="shared" ref="F63" si="221">F62/F$11</f>
        <v>1.2363039503174747E-3</v>
      </c>
      <c r="G63" s="20">
        <f t="shared" ref="G63" si="222">G62/G$11</f>
        <v>1.8918713518745315E-3</v>
      </c>
      <c r="H63" s="65">
        <f>AVERAGE(C63:G63)</f>
        <v>1.732213335181848E-3</v>
      </c>
      <c r="I63" s="65">
        <f>H63</f>
        <v>1.732213335181848E-3</v>
      </c>
      <c r="J63" s="65">
        <f t="shared" ref="J63:Q63" si="223">I63</f>
        <v>1.732213335181848E-3</v>
      </c>
      <c r="K63" s="65">
        <f t="shared" si="223"/>
        <v>1.732213335181848E-3</v>
      </c>
      <c r="L63" s="65">
        <f t="shared" si="223"/>
        <v>1.732213335181848E-3</v>
      </c>
      <c r="M63" s="65">
        <f t="shared" si="223"/>
        <v>1.732213335181848E-3</v>
      </c>
      <c r="N63" s="65">
        <f t="shared" si="223"/>
        <v>1.732213335181848E-3</v>
      </c>
      <c r="O63" s="63">
        <f t="shared" si="223"/>
        <v>1.732213335181848E-3</v>
      </c>
      <c r="P63" s="63">
        <f t="shared" si="223"/>
        <v>1.732213335181848E-3</v>
      </c>
      <c r="Q63" s="63">
        <f t="shared" si="223"/>
        <v>1.732213335181848E-3</v>
      </c>
    </row>
    <row r="64" spans="2:17" x14ac:dyDescent="0.25">
      <c r="B64" s="44" t="s">
        <v>69</v>
      </c>
      <c r="C64" s="17">
        <f>BS_Input!C74</f>
        <v>7674.26</v>
      </c>
      <c r="D64" s="17">
        <f>BS_Input!D74</f>
        <v>6926.91</v>
      </c>
      <c r="E64" s="17">
        <f>BS_Input!E74</f>
        <v>1188.06</v>
      </c>
      <c r="F64" s="17">
        <f>BS_Input!F74</f>
        <v>1601.76</v>
      </c>
      <c r="G64" s="17">
        <f>BS_Input!G74</f>
        <v>3433.81</v>
      </c>
      <c r="H64" s="61">
        <f>H65*H$11</f>
        <v>9792.1383701545001</v>
      </c>
      <c r="I64" s="61">
        <f t="shared" ref="I64" si="224">I65*I$11</f>
        <v>12122.411142978424</v>
      </c>
      <c r="J64" s="61">
        <f t="shared" ref="J64" si="225">J65*J$11</f>
        <v>15018.141370902338</v>
      </c>
      <c r="K64" s="61">
        <f t="shared" ref="K64" si="226">K65*K$11</f>
        <v>18618.003376671018</v>
      </c>
      <c r="L64" s="61">
        <f t="shared" ref="L64" si="227">L65*L$11</f>
        <v>23094.87242473377</v>
      </c>
      <c r="M64" s="61">
        <f t="shared" ref="M64" si="228">M65*M$11</f>
        <v>28664.284592031159</v>
      </c>
      <c r="N64" s="61">
        <f t="shared" ref="N64" si="229">N65*N$11</f>
        <v>35594.992481512432</v>
      </c>
      <c r="O64" s="61">
        <f t="shared" ref="O64" si="230">O65*O$11</f>
        <v>44222.136417014292</v>
      </c>
      <c r="P64" s="61">
        <f t="shared" ref="P64" si="231">P65*P$11</f>
        <v>54963.679649714912</v>
      </c>
      <c r="Q64" s="61">
        <f t="shared" ref="Q64" si="232">Q65*Q$11</f>
        <v>68340.916975214917</v>
      </c>
    </row>
    <row r="65" spans="2:17" x14ac:dyDescent="0.25">
      <c r="B65" s="44"/>
      <c r="C65" s="20">
        <f>C64/C$11</f>
        <v>0.3496043736877183</v>
      </c>
      <c r="D65" s="20">
        <f t="shared" ref="D65" si="233">D64/D$11</f>
        <v>0.35606427436889904</v>
      </c>
      <c r="E65" s="20">
        <f t="shared" ref="E65" si="234">E64/E$11</f>
        <v>4.5281594990309537E-2</v>
      </c>
      <c r="F65" s="20">
        <f t="shared" ref="F65" si="235">F64/F$11</f>
        <v>3.843676660443552E-2</v>
      </c>
      <c r="G65" s="20">
        <f t="shared" ref="G65" si="236">G64/G$11</f>
        <v>7.4989342800187986E-2</v>
      </c>
      <c r="H65" s="65">
        <f>AVERAGE(C65:G65)</f>
        <v>0.17287527049031007</v>
      </c>
      <c r="I65" s="65">
        <f>H65</f>
        <v>0.17287527049031007</v>
      </c>
      <c r="J65" s="65">
        <f t="shared" ref="J65:Q65" si="237">I65</f>
        <v>0.17287527049031007</v>
      </c>
      <c r="K65" s="65">
        <f t="shared" si="237"/>
        <v>0.17287527049031007</v>
      </c>
      <c r="L65" s="65">
        <f t="shared" si="237"/>
        <v>0.17287527049031007</v>
      </c>
      <c r="M65" s="65">
        <f t="shared" si="237"/>
        <v>0.17287527049031007</v>
      </c>
      <c r="N65" s="65">
        <f t="shared" si="237"/>
        <v>0.17287527049031007</v>
      </c>
      <c r="O65" s="63">
        <f t="shared" si="237"/>
        <v>0.17287527049031007</v>
      </c>
      <c r="P65" s="63">
        <f t="shared" si="237"/>
        <v>0.17287527049031007</v>
      </c>
      <c r="Q65" s="63">
        <f t="shared" si="237"/>
        <v>0.17287527049031007</v>
      </c>
    </row>
    <row r="66" spans="2:17" x14ac:dyDescent="0.25">
      <c r="B66" s="44" t="s">
        <v>70</v>
      </c>
      <c r="C66" s="17">
        <f>BS_Input!C76</f>
        <v>92.84</v>
      </c>
      <c r="D66" s="17">
        <f>BS_Input!D76</f>
        <v>579.48</v>
      </c>
      <c r="E66" s="17">
        <f>BS_Input!E76</f>
        <v>323.75</v>
      </c>
      <c r="F66" s="17">
        <f>BS_Input!F76</f>
        <v>618.17999999999995</v>
      </c>
      <c r="G66" s="17">
        <f>BS_Input!G76</f>
        <v>589.04999999999995</v>
      </c>
      <c r="H66" s="61">
        <f>H67*H$11</f>
        <v>838.92474836659153</v>
      </c>
      <c r="I66" s="61">
        <f t="shared" ref="I66" si="238">I67*I$11</f>
        <v>1038.5668924691759</v>
      </c>
      <c r="J66" s="61">
        <f t="shared" ref="J66" si="239">J67*J$11</f>
        <v>1286.6536393030315</v>
      </c>
      <c r="K66" s="61">
        <f t="shared" ref="K66" si="240">K67*K$11</f>
        <v>1595.0656748752263</v>
      </c>
      <c r="L66" s="61">
        <f t="shared" ref="L66" si="241">L67*L$11</f>
        <v>1978.6137925226865</v>
      </c>
      <c r="M66" s="61">
        <f t="shared" ref="M66" si="242">M67*M$11</f>
        <v>2455.7636779083518</v>
      </c>
      <c r="N66" s="61">
        <f t="shared" ref="N66" si="243">N67*N$11</f>
        <v>3049.5402517675393</v>
      </c>
      <c r="O66" s="61">
        <f t="shared" ref="O66" si="244">O67*O$11</f>
        <v>3788.6560895576326</v>
      </c>
      <c r="P66" s="61">
        <f t="shared" ref="P66" si="245">P67*P$11</f>
        <v>4708.9194797307082</v>
      </c>
      <c r="Q66" s="61">
        <f t="shared" ref="Q66" si="246">Q67*Q$11</f>
        <v>5854.9914645119234</v>
      </c>
    </row>
    <row r="67" spans="2:17" x14ac:dyDescent="0.25">
      <c r="B67" s="44"/>
      <c r="C67" s="20">
        <f>C66/C$11</f>
        <v>4.2293680502312626E-3</v>
      </c>
      <c r="D67" s="20">
        <f t="shared" ref="D67" si="247">D66/D$11</f>
        <v>2.9787037179823273E-2</v>
      </c>
      <c r="E67" s="20">
        <f t="shared" ref="E67" si="248">E66/E$11</f>
        <v>1.2339373750578853E-2</v>
      </c>
      <c r="F67" s="20">
        <f t="shared" ref="F67" si="249">F66/F$11</f>
        <v>1.4834207608836499E-2</v>
      </c>
      <c r="G67" s="20">
        <f t="shared" ref="G67" si="250">G66/G$11</f>
        <v>1.2863982682923845E-2</v>
      </c>
      <c r="H67" s="65">
        <f>AVERAGE(C67:G67)</f>
        <v>1.4810793854478749E-2</v>
      </c>
      <c r="I67" s="65">
        <f>H67</f>
        <v>1.4810793854478749E-2</v>
      </c>
      <c r="J67" s="65">
        <f t="shared" ref="J67:Q67" si="251">I67</f>
        <v>1.4810793854478749E-2</v>
      </c>
      <c r="K67" s="65">
        <f t="shared" si="251"/>
        <v>1.4810793854478749E-2</v>
      </c>
      <c r="L67" s="65">
        <f t="shared" si="251"/>
        <v>1.4810793854478749E-2</v>
      </c>
      <c r="M67" s="65">
        <f t="shared" si="251"/>
        <v>1.4810793854478749E-2</v>
      </c>
      <c r="N67" s="65">
        <f t="shared" si="251"/>
        <v>1.4810793854478749E-2</v>
      </c>
      <c r="O67" s="63">
        <f t="shared" si="251"/>
        <v>1.4810793854478749E-2</v>
      </c>
      <c r="P67" s="63">
        <f t="shared" si="251"/>
        <v>1.4810793854478749E-2</v>
      </c>
      <c r="Q67" s="63">
        <f t="shared" si="251"/>
        <v>1.4810793854478749E-2</v>
      </c>
    </row>
    <row r="68" spans="2:17" x14ac:dyDescent="0.25">
      <c r="B68" s="44" t="s">
        <v>59</v>
      </c>
      <c r="C68" s="17">
        <f>BS_Input!C77</f>
        <v>715.98</v>
      </c>
      <c r="D68" s="17">
        <f>BS_Input!D77</f>
        <v>202.25</v>
      </c>
      <c r="E68" s="17">
        <f>BS_Input!E77</f>
        <v>532.67999999999995</v>
      </c>
      <c r="F68" s="17">
        <f>BS_Input!F77</f>
        <v>586.52</v>
      </c>
      <c r="G68" s="17">
        <f>BS_Input!G77</f>
        <v>802.99</v>
      </c>
      <c r="H68" s="61">
        <f>H69*H$11</f>
        <v>1075.3765899433079</v>
      </c>
      <c r="I68" s="61">
        <f t="shared" ref="I68" si="252">I69*I$11</f>
        <v>1331.2880868350321</v>
      </c>
      <c r="J68" s="61">
        <f t="shared" ref="J68" si="253">J69*J$11</f>
        <v>1649.2983497814537</v>
      </c>
      <c r="K68" s="61">
        <f t="shared" ref="K68" si="254">K69*K$11</f>
        <v>2044.6366489040506</v>
      </c>
      <c r="L68" s="61">
        <f t="shared" ref="L68" si="255">L69*L$11</f>
        <v>2536.2882155528687</v>
      </c>
      <c r="M68" s="61">
        <f t="shared" ref="M68" si="256">M69*M$11</f>
        <v>3147.9233087324742</v>
      </c>
      <c r="N68" s="61">
        <f t="shared" ref="N68" si="257">N69*N$11</f>
        <v>3909.0564478229048</v>
      </c>
      <c r="O68" s="61">
        <f t="shared" ref="O68" si="258">O69*O$11</f>
        <v>4856.4928785198799</v>
      </c>
      <c r="P68" s="61">
        <f t="shared" ref="P68" si="259">P69*P$11</f>
        <v>6036.1334938442278</v>
      </c>
      <c r="Q68" s="61">
        <f t="shared" ref="Q68" si="260">Q69*Q$11</f>
        <v>7505.2270987512375</v>
      </c>
    </row>
    <row r="69" spans="2:17" x14ac:dyDescent="0.25">
      <c r="B69" s="44"/>
      <c r="C69" s="20">
        <f>C68/C$11</f>
        <v>3.2616791648045873E-2</v>
      </c>
      <c r="D69" s="20">
        <f t="shared" ref="D69" si="261">D68/D$11</f>
        <v>1.0396266082728062E-2</v>
      </c>
      <c r="E69" s="20">
        <f t="shared" ref="E69" si="262">E68/E$11</f>
        <v>2.0302509990604921E-2</v>
      </c>
      <c r="F69" s="20">
        <f t="shared" ref="F69" si="263">F68/F$11</f>
        <v>1.4074475794646839E-2</v>
      </c>
      <c r="G69" s="20">
        <f t="shared" ref="G69" si="264">G68/G$11</f>
        <v>1.7536116551330142E-2</v>
      </c>
      <c r="H69" s="65">
        <f>AVERAGE(C69:G69)</f>
        <v>1.8985232013471166E-2</v>
      </c>
      <c r="I69" s="65">
        <f>H69</f>
        <v>1.8985232013471166E-2</v>
      </c>
      <c r="J69" s="65">
        <f t="shared" ref="J69:Q69" si="265">I69</f>
        <v>1.8985232013471166E-2</v>
      </c>
      <c r="K69" s="65">
        <f t="shared" si="265"/>
        <v>1.8985232013471166E-2</v>
      </c>
      <c r="L69" s="65">
        <f t="shared" si="265"/>
        <v>1.8985232013471166E-2</v>
      </c>
      <c r="M69" s="65">
        <f t="shared" si="265"/>
        <v>1.8985232013471166E-2</v>
      </c>
      <c r="N69" s="65">
        <f t="shared" si="265"/>
        <v>1.8985232013471166E-2</v>
      </c>
      <c r="O69" s="63">
        <f t="shared" si="265"/>
        <v>1.8985232013471166E-2</v>
      </c>
      <c r="P69" s="63">
        <f t="shared" si="265"/>
        <v>1.8985232013471166E-2</v>
      </c>
      <c r="Q69" s="63">
        <f t="shared" si="265"/>
        <v>1.8985232013471166E-2</v>
      </c>
    </row>
    <row r="70" spans="2:17" x14ac:dyDescent="0.25">
      <c r="B70" s="44" t="s">
        <v>71</v>
      </c>
      <c r="C70" s="17">
        <f>BS_Input!C78</f>
        <v>0.01</v>
      </c>
      <c r="D70" s="17">
        <f>BS_Input!D78</f>
        <v>53.8</v>
      </c>
      <c r="E70" s="17">
        <f>BS_Input!E78</f>
        <v>123.82</v>
      </c>
      <c r="F70" s="17">
        <f>BS_Input!F78</f>
        <v>128.30000000000001</v>
      </c>
      <c r="G70" s="17">
        <f>BS_Input!G78</f>
        <v>527.38</v>
      </c>
      <c r="H70" s="61">
        <f>H71*H$11</f>
        <v>250.14777120754323</v>
      </c>
      <c r="I70" s="61">
        <f t="shared" ref="I70" si="266">I71*I$11</f>
        <v>309.67639696759051</v>
      </c>
      <c r="J70" s="61">
        <f t="shared" ref="J70" si="267">J71*J$11</f>
        <v>383.65007208856917</v>
      </c>
      <c r="K70" s="61">
        <f t="shared" ref="K70" si="268">K71*K$11</f>
        <v>475.61133972571582</v>
      </c>
      <c r="L70" s="61">
        <f t="shared" ref="L70" si="269">L71*L$11</f>
        <v>589.97643262250506</v>
      </c>
      <c r="M70" s="61">
        <f t="shared" ref="M70" si="270">M71*M$11</f>
        <v>732.2513870728917</v>
      </c>
      <c r="N70" s="61">
        <f t="shared" ref="N70" si="271">N71*N$11</f>
        <v>909.30169681202199</v>
      </c>
      <c r="O70" s="61">
        <f t="shared" ref="O70" si="272">O71*O$11</f>
        <v>1129.6887814073566</v>
      </c>
      <c r="P70" s="61">
        <f t="shared" ref="P70" si="273">P71*P$11</f>
        <v>1404.0898363576387</v>
      </c>
      <c r="Q70" s="61">
        <f t="shared" ref="Q70" si="274">Q71*Q$11</f>
        <v>1745.821741626394</v>
      </c>
    </row>
    <row r="71" spans="2:17" x14ac:dyDescent="0.25">
      <c r="B71" s="11"/>
      <c r="C71" s="20">
        <f>C70/C$11</f>
        <v>4.5555450778018766E-7</v>
      </c>
      <c r="D71" s="20">
        <f t="shared" ref="D71" si="275">D70/D$11</f>
        <v>2.7654838825748808E-3</v>
      </c>
      <c r="E71" s="20">
        <f t="shared" ref="E71" si="276">E70/E$11</f>
        <v>4.719262572344938E-3</v>
      </c>
      <c r="F71" s="20">
        <f t="shared" ref="F71" si="277">F70/F$11</f>
        <v>3.0787615843503886E-3</v>
      </c>
      <c r="G71" s="20">
        <f t="shared" ref="G71" si="278">G70/G$11</f>
        <v>1.1517200895204784E-2</v>
      </c>
      <c r="H71" s="65">
        <f>AVERAGE(C71:G71)</f>
        <v>4.4162328977965541E-3</v>
      </c>
      <c r="I71" s="65">
        <f>H71</f>
        <v>4.4162328977965541E-3</v>
      </c>
      <c r="J71" s="65">
        <f t="shared" ref="J71:Q71" si="279">I71</f>
        <v>4.4162328977965541E-3</v>
      </c>
      <c r="K71" s="65">
        <f t="shared" si="279"/>
        <v>4.4162328977965541E-3</v>
      </c>
      <c r="L71" s="65">
        <f t="shared" si="279"/>
        <v>4.4162328977965541E-3</v>
      </c>
      <c r="M71" s="65">
        <f t="shared" si="279"/>
        <v>4.4162328977965541E-3</v>
      </c>
      <c r="N71" s="65">
        <f t="shared" si="279"/>
        <v>4.4162328977965541E-3</v>
      </c>
      <c r="O71" s="63">
        <f t="shared" si="279"/>
        <v>4.4162328977965541E-3</v>
      </c>
      <c r="P71" s="63">
        <f t="shared" si="279"/>
        <v>4.4162328977965541E-3</v>
      </c>
      <c r="Q71" s="63">
        <f t="shared" si="279"/>
        <v>4.4162328977965541E-3</v>
      </c>
    </row>
  </sheetData>
  <mergeCells count="2">
    <mergeCell ref="B8:B9"/>
    <mergeCell ref="B7:Q7"/>
  </mergeCells>
  <pageMargins left="0.7" right="0.7" top="0.75" bottom="0.75" header="0.3" footer="0.3"/>
  <ignoredErrors>
    <ignoredError sqref="C17:G17 C19:G19 C21:G21 C27:G27 H16:Q16 H18:Q18 H20:Q20 H33:Q33 H35:Q35 C34:G34 C36:G36 C40:G40 H17:Q17 H19:Q19 H27:Q27 H34:Q34 H40 H37:Q37 H36:Q36 H41:Q41 I40:Q40 C47:Q52 H46:Q46 C55:G55 C62:Q71 H61:Q61 H55:Q55 H53:Q53 C53:G53 H22:Q22 H21:Q21 H23:Q25 C23:G25" formula="1"/>
  </ignoredErrors>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10AC0-4985-4188-A935-A4BE3773F112}">
  <dimension ref="B6:Q23"/>
  <sheetViews>
    <sheetView showGridLines="0" topLeftCell="A19" workbookViewId="0">
      <selection activeCell="H19" sqref="H19"/>
    </sheetView>
  </sheetViews>
  <sheetFormatPr defaultRowHeight="15" x14ac:dyDescent="0.25"/>
  <cols>
    <col min="1" max="1" width="0.85546875" customWidth="1"/>
    <col min="2" max="2" width="27" customWidth="1"/>
    <col min="3" max="4" width="10.42578125" bestFit="1" customWidth="1"/>
    <col min="5" max="5" width="11.28515625" bestFit="1" customWidth="1"/>
    <col min="6" max="7" width="10.42578125" bestFit="1" customWidth="1"/>
    <col min="8" max="8" width="15.5703125" customWidth="1"/>
    <col min="9" max="9" width="11.28515625" customWidth="1"/>
    <col min="10" max="16" width="11.5703125" bestFit="1" customWidth="1"/>
    <col min="17" max="17" width="11.28515625" customWidth="1"/>
  </cols>
  <sheetData>
    <row r="6" spans="2:17" x14ac:dyDescent="0.25">
      <c r="M6" s="6"/>
      <c r="Q6" t="s">
        <v>274</v>
      </c>
    </row>
    <row r="7" spans="2:17" ht="15.75" x14ac:dyDescent="0.25">
      <c r="B7" s="235" t="s">
        <v>271</v>
      </c>
      <c r="C7" s="235"/>
      <c r="D7" s="235"/>
      <c r="E7" s="235"/>
      <c r="F7" s="235"/>
      <c r="G7" s="235"/>
      <c r="H7" s="235"/>
      <c r="I7" s="235"/>
      <c r="J7" s="235"/>
      <c r="K7" s="235"/>
      <c r="L7" s="235"/>
      <c r="M7" s="235"/>
      <c r="N7" s="235"/>
      <c r="O7" s="235"/>
      <c r="P7" s="235"/>
      <c r="Q7" s="235"/>
    </row>
    <row r="8" spans="2:17" x14ac:dyDescent="0.25">
      <c r="B8" s="238" t="s">
        <v>0</v>
      </c>
      <c r="C8" s="37">
        <v>2020</v>
      </c>
      <c r="D8" s="38">
        <v>2021</v>
      </c>
      <c r="E8" s="38">
        <v>2022</v>
      </c>
      <c r="F8" s="38">
        <v>2023</v>
      </c>
      <c r="G8" s="38">
        <v>2024</v>
      </c>
      <c r="H8" s="75">
        <f>G8+1</f>
        <v>2025</v>
      </c>
      <c r="I8" s="75">
        <f t="shared" ref="I8:Q8" si="0">H8+1</f>
        <v>2026</v>
      </c>
      <c r="J8" s="75">
        <f t="shared" si="0"/>
        <v>2027</v>
      </c>
      <c r="K8" s="75">
        <f t="shared" si="0"/>
        <v>2028</v>
      </c>
      <c r="L8" s="75">
        <f t="shared" si="0"/>
        <v>2029</v>
      </c>
      <c r="M8" s="75">
        <f t="shared" si="0"/>
        <v>2030</v>
      </c>
      <c r="N8" s="75">
        <f t="shared" si="0"/>
        <v>2031</v>
      </c>
      <c r="O8" s="75">
        <f t="shared" si="0"/>
        <v>2032</v>
      </c>
      <c r="P8" s="75">
        <f t="shared" si="0"/>
        <v>2033</v>
      </c>
      <c r="Q8" s="75">
        <f t="shared" si="0"/>
        <v>2034</v>
      </c>
    </row>
    <row r="9" spans="2:17" x14ac:dyDescent="0.25">
      <c r="B9" s="249"/>
      <c r="C9" s="37" t="s">
        <v>1</v>
      </c>
      <c r="D9" s="38" t="s">
        <v>1</v>
      </c>
      <c r="E9" s="38" t="s">
        <v>1</v>
      </c>
      <c r="F9" s="38" t="s">
        <v>1</v>
      </c>
      <c r="G9" s="41" t="s">
        <v>1</v>
      </c>
      <c r="H9" s="42" t="s">
        <v>315</v>
      </c>
      <c r="I9" s="42" t="s">
        <v>315</v>
      </c>
      <c r="J9" s="42" t="s">
        <v>315</v>
      </c>
      <c r="K9" s="42" t="s">
        <v>315</v>
      </c>
      <c r="L9" s="42" t="s">
        <v>315</v>
      </c>
      <c r="M9" s="42" t="s">
        <v>315</v>
      </c>
      <c r="N9" s="42" t="s">
        <v>315</v>
      </c>
      <c r="O9" s="42" t="s">
        <v>315</v>
      </c>
      <c r="P9" s="42" t="s">
        <v>315</v>
      </c>
      <c r="Q9" s="42" t="s">
        <v>315</v>
      </c>
    </row>
    <row r="10" spans="2:17" x14ac:dyDescent="0.25">
      <c r="B10" s="44"/>
      <c r="C10" s="82"/>
      <c r="D10" s="83"/>
      <c r="E10" s="83"/>
      <c r="F10" s="83"/>
      <c r="G10" s="83"/>
      <c r="H10" s="84"/>
      <c r="I10" s="84"/>
      <c r="J10" s="84"/>
      <c r="K10" s="84"/>
      <c r="L10" s="84"/>
      <c r="M10" s="84"/>
      <c r="N10" s="84"/>
      <c r="O10" s="84"/>
      <c r="P10" s="84"/>
      <c r="Q10" s="84"/>
    </row>
    <row r="11" spans="2:17" x14ac:dyDescent="0.25">
      <c r="B11" s="44" t="s">
        <v>148</v>
      </c>
      <c r="C11" s="51">
        <f>BS_Input!C34</f>
        <v>1496.16</v>
      </c>
      <c r="D11" s="51">
        <f>BS_Input!D34</f>
        <v>3020.91</v>
      </c>
      <c r="E11" s="51">
        <f>BS_Input!E34</f>
        <v>3278.76</v>
      </c>
      <c r="F11" s="51">
        <f>BS_Input!F34</f>
        <v>4187.3599999999997</v>
      </c>
      <c r="G11" s="51">
        <f>BS_Input!G34</f>
        <v>3898.15</v>
      </c>
      <c r="H11" s="19">
        <f>H18*'Revenue Build Up'!H15/365</f>
        <v>5363.1767282598494</v>
      </c>
      <c r="I11" s="19">
        <f>I18*'Revenue Build Up'!I15/365</f>
        <v>6639.4724905622397</v>
      </c>
      <c r="J11" s="19">
        <f>J18*'Revenue Build Up'!J15/365</f>
        <v>8225.4706027881693</v>
      </c>
      <c r="K11" s="19">
        <f>K18*'Revenue Build Up'!K15/365</f>
        <v>10197.123310753404</v>
      </c>
      <c r="L11" s="19">
        <f>L18*'Revenue Build Up'!L15/365</f>
        <v>12649.114794780824</v>
      </c>
      <c r="M11" s="19">
        <f>M18*'Revenue Build Up'!M15/365</f>
        <v>15699.494660406164</v>
      </c>
      <c r="N11" s="19">
        <f>N18*'Revenue Build Up'!N15/365</f>
        <v>19495.459326972294</v>
      </c>
      <c r="O11" s="19">
        <f>O18*'Revenue Build Up'!O15/365</f>
        <v>24220.565921386315</v>
      </c>
      <c r="P11" s="19">
        <f>P18*'Revenue Build Up'!P15/365</f>
        <v>30103.733878530704</v>
      </c>
      <c r="Q11" s="19">
        <f>Q18*'Revenue Build Up'!Q15/365</f>
        <v>37430.477558052327</v>
      </c>
    </row>
    <row r="12" spans="2:17" x14ac:dyDescent="0.25">
      <c r="B12" s="44" t="s">
        <v>39</v>
      </c>
      <c r="C12" s="51">
        <f>BS_Input!C31</f>
        <v>1536.39</v>
      </c>
      <c r="D12" s="51">
        <f>BS_Input!D31</f>
        <v>2495.85</v>
      </c>
      <c r="E12" s="51">
        <f>BS_Input!E31</f>
        <v>2540.5500000000002</v>
      </c>
      <c r="F12" s="51">
        <f>BS_Input!F31</f>
        <v>3440.43</v>
      </c>
      <c r="G12" s="51">
        <f>BS_Input!G31</f>
        <v>4008.01</v>
      </c>
      <c r="H12" s="19">
        <f>H19*Cost_Buildup!H22/365</f>
        <v>4716.7597480382856</v>
      </c>
      <c r="I12" s="19">
        <f>I19*Cost_Buildup!I22/365</f>
        <v>5839.225179113686</v>
      </c>
      <c r="J12" s="19">
        <f>J19*Cost_Buildup!J22/365</f>
        <v>7234.0649234006896</v>
      </c>
      <c r="K12" s="19">
        <f>K19*Cost_Buildup!K22/365</f>
        <v>8968.0767975644085</v>
      </c>
      <c r="L12" s="19">
        <f>L19*Cost_Buildup!L22/365</f>
        <v>11124.532816149827</v>
      </c>
      <c r="M12" s="19">
        <f>M19*Cost_Buildup!M22/365</f>
        <v>13807.254213450558</v>
      </c>
      <c r="N12" s="19">
        <f>N19*Cost_Buildup!N22/365</f>
        <v>17145.696008570008</v>
      </c>
      <c r="O12" s="19">
        <f>O19*Cost_Buildup!O22/365</f>
        <v>21301.291417590535</v>
      </c>
      <c r="P12" s="19">
        <f>P19*Cost_Buildup!P22/365</f>
        <v>26475.368502350513</v>
      </c>
      <c r="Q12" s="19">
        <f>Q19*Cost_Buildup!Q22/365</f>
        <v>32919.028933986978</v>
      </c>
    </row>
    <row r="13" spans="2:17" x14ac:dyDescent="0.25">
      <c r="B13" s="44" t="s">
        <v>149</v>
      </c>
      <c r="C13" s="51">
        <f>SUM(BS_Input!C71:C72)</f>
        <v>2834.6000000000004</v>
      </c>
      <c r="D13" s="51">
        <f>SUM(BS_Input!D71:D72)</f>
        <v>5346.23</v>
      </c>
      <c r="E13" s="51">
        <f>SUM(BS_Input!E71:E72)</f>
        <v>7249.91</v>
      </c>
      <c r="F13" s="51">
        <f>SUM(BS_Input!F71:F72)</f>
        <v>7581.87</v>
      </c>
      <c r="G13" s="51">
        <f>SUM(BS_Input!G71:G72)</f>
        <v>6798.02</v>
      </c>
      <c r="H13" s="19">
        <f>H20*Cost_Buildup!H22/365</f>
        <v>10237.616941414895</v>
      </c>
      <c r="I13" s="19">
        <f>I20*Cost_Buildup!I22/365</f>
        <v>12673.901960618894</v>
      </c>
      <c r="J13" s="19">
        <f>J20*Cost_Buildup!J22/365</f>
        <v>15701.369069286124</v>
      </c>
      <c r="K13" s="19">
        <f>K20*Cost_Buildup!K22/365</f>
        <v>19465.001369391353</v>
      </c>
      <c r="L13" s="19">
        <f>L20*Cost_Buildup!L22/365</f>
        <v>24145.538824890984</v>
      </c>
      <c r="M13" s="19">
        <f>M20*Cost_Buildup!M22/365</f>
        <v>29968.323001576009</v>
      </c>
      <c r="N13" s="19">
        <f>N20*Cost_Buildup!N22/365</f>
        <v>37214.332996860816</v>
      </c>
      <c r="O13" s="19">
        <f>O20*Cost_Buildup!O22/365</f>
        <v>46233.955838314301</v>
      </c>
      <c r="P13" s="19">
        <f>P20*Cost_Buildup!P22/365</f>
        <v>57464.169385051726</v>
      </c>
      <c r="Q13" s="19">
        <f>Q20*Cost_Buildup!Q22/365</f>
        <v>71449.983953428353</v>
      </c>
    </row>
    <row r="14" spans="2:17" x14ac:dyDescent="0.25">
      <c r="B14" s="44"/>
      <c r="C14" s="51"/>
      <c r="D14" s="51"/>
      <c r="E14" s="51"/>
      <c r="F14" s="51"/>
      <c r="G14" s="51"/>
      <c r="H14" s="19"/>
      <c r="I14" s="19"/>
      <c r="J14" s="19"/>
      <c r="K14" s="19"/>
      <c r="L14" s="19"/>
      <c r="M14" s="19"/>
      <c r="N14" s="19"/>
      <c r="O14" s="19"/>
      <c r="P14" s="19"/>
      <c r="Q14" s="19"/>
    </row>
    <row r="15" spans="2:17" x14ac:dyDescent="0.25">
      <c r="B15" s="48" t="s">
        <v>150</v>
      </c>
      <c r="C15" s="80">
        <f>C11+C12-C13</f>
        <v>197.94999999999982</v>
      </c>
      <c r="D15" s="80">
        <f t="shared" ref="D15:Q15" si="1">D11+D12-D13</f>
        <v>170.53000000000065</v>
      </c>
      <c r="E15" s="80">
        <f t="shared" si="1"/>
        <v>-1430.5999999999995</v>
      </c>
      <c r="F15" s="80">
        <f t="shared" si="1"/>
        <v>45.919999999999163</v>
      </c>
      <c r="G15" s="80">
        <f t="shared" si="1"/>
        <v>1108.1399999999994</v>
      </c>
      <c r="H15" s="36">
        <f t="shared" si="1"/>
        <v>-157.68046511676039</v>
      </c>
      <c r="I15" s="36">
        <f t="shared" si="1"/>
        <v>-195.20429094296742</v>
      </c>
      <c r="J15" s="36">
        <f t="shared" si="1"/>
        <v>-241.83354309726565</v>
      </c>
      <c r="K15" s="36">
        <f t="shared" si="1"/>
        <v>-299.80126107354226</v>
      </c>
      <c r="L15" s="36">
        <f t="shared" si="1"/>
        <v>-371.89121396033079</v>
      </c>
      <c r="M15" s="36">
        <f t="shared" si="1"/>
        <v>-461.57412771928648</v>
      </c>
      <c r="N15" s="36">
        <f t="shared" si="1"/>
        <v>-573.17766131851386</v>
      </c>
      <c r="O15" s="36">
        <f t="shared" si="1"/>
        <v>-712.09849933745136</v>
      </c>
      <c r="P15" s="36">
        <f t="shared" si="1"/>
        <v>-885.06700417050888</v>
      </c>
      <c r="Q15" s="36">
        <f t="shared" si="1"/>
        <v>-1100.4774613890477</v>
      </c>
    </row>
    <row r="16" spans="2:17" x14ac:dyDescent="0.25">
      <c r="B16" s="44"/>
      <c r="C16" s="51"/>
      <c r="D16" s="51"/>
      <c r="E16" s="51"/>
      <c r="F16" s="51"/>
      <c r="G16" s="51"/>
      <c r="H16" s="19"/>
      <c r="I16" s="19"/>
      <c r="J16" s="19"/>
      <c r="K16" s="19"/>
      <c r="L16" s="19"/>
      <c r="M16" s="19"/>
      <c r="N16" s="19"/>
      <c r="O16" s="19"/>
      <c r="P16" s="19"/>
      <c r="Q16" s="19"/>
    </row>
    <row r="17" spans="2:17" x14ac:dyDescent="0.25">
      <c r="B17" s="44"/>
      <c r="C17" s="51"/>
      <c r="D17" s="51"/>
      <c r="E17" s="51"/>
      <c r="F17" s="51"/>
      <c r="G17" s="51"/>
      <c r="H17" s="19"/>
      <c r="I17" s="19"/>
      <c r="J17" s="19"/>
      <c r="K17" s="19"/>
      <c r="L17" s="19"/>
      <c r="M17" s="19"/>
      <c r="N17" s="19"/>
      <c r="O17" s="19"/>
      <c r="P17" s="19"/>
      <c r="Q17" s="19"/>
    </row>
    <row r="18" spans="2:17" x14ac:dyDescent="0.25">
      <c r="B18" s="81" t="s">
        <v>151</v>
      </c>
      <c r="C18" s="76">
        <f>C11/Cost_Buildup!C11*365</f>
        <v>24.877758781154803</v>
      </c>
      <c r="D18" s="76">
        <f>D11/Cost_Buildup!D11*365</f>
        <v>56.678651286875251</v>
      </c>
      <c r="E18" s="76">
        <f>E11/Cost_Buildup!E11*365</f>
        <v>45.612705648288781</v>
      </c>
      <c r="F18" s="76">
        <f>F11/Cost_Buildup!F11*365</f>
        <v>36.676050930347515</v>
      </c>
      <c r="G18" s="76">
        <f>G11/Cost_Buildup!G11*365</f>
        <v>31.072392742272221</v>
      </c>
      <c r="H18" s="77">
        <f>AVERAGE(C18,E18:G18)</f>
        <v>34.559727025515834</v>
      </c>
      <c r="I18" s="77">
        <f>H18</f>
        <v>34.559727025515834</v>
      </c>
      <c r="J18" s="77">
        <f t="shared" ref="J18:Q18" si="2">I18</f>
        <v>34.559727025515834</v>
      </c>
      <c r="K18" s="77">
        <f t="shared" si="2"/>
        <v>34.559727025515834</v>
      </c>
      <c r="L18" s="77">
        <f t="shared" si="2"/>
        <v>34.559727025515834</v>
      </c>
      <c r="M18" s="77">
        <f t="shared" si="2"/>
        <v>34.559727025515834</v>
      </c>
      <c r="N18" s="77">
        <f t="shared" si="2"/>
        <v>34.559727025515834</v>
      </c>
      <c r="O18" s="77">
        <f t="shared" si="2"/>
        <v>34.559727025515834</v>
      </c>
      <c r="P18" s="77">
        <f t="shared" si="2"/>
        <v>34.559727025515834</v>
      </c>
      <c r="Q18" s="77">
        <f t="shared" si="2"/>
        <v>34.559727025515834</v>
      </c>
    </row>
    <row r="19" spans="2:17" x14ac:dyDescent="0.25">
      <c r="B19" s="81" t="s">
        <v>152</v>
      </c>
      <c r="C19" s="76">
        <f>C12/Cost_Buildup!C22*365</f>
        <v>42.019010304272776</v>
      </c>
      <c r="D19" s="76">
        <f>D12/Cost_Buildup!D22*365</f>
        <v>75.616876864513273</v>
      </c>
      <c r="E19" s="76">
        <f>E12/Cost_Buildup!E22*365</f>
        <v>52.647877224318506</v>
      </c>
      <c r="F19" s="76">
        <f>F12/Cost_Buildup!F22*365</f>
        <v>43.574076387370788</v>
      </c>
      <c r="G19" s="76">
        <f>G12/Cost_Buildup!G22*365</f>
        <v>50.049561230948186</v>
      </c>
      <c r="H19" s="77">
        <f t="shared" ref="H19:H20" si="3">AVERAGE(C19,E19:G19)</f>
        <v>47.072631286727557</v>
      </c>
      <c r="I19" s="77">
        <f>H19</f>
        <v>47.072631286727557</v>
      </c>
      <c r="J19" s="77">
        <f t="shared" ref="J19:Q19" si="4">I19</f>
        <v>47.072631286727557</v>
      </c>
      <c r="K19" s="77">
        <f t="shared" si="4"/>
        <v>47.072631286727557</v>
      </c>
      <c r="L19" s="77">
        <f t="shared" si="4"/>
        <v>47.072631286727557</v>
      </c>
      <c r="M19" s="77">
        <f t="shared" si="4"/>
        <v>47.072631286727557</v>
      </c>
      <c r="N19" s="77">
        <f t="shared" si="4"/>
        <v>47.072631286727557</v>
      </c>
      <c r="O19" s="77">
        <f t="shared" si="4"/>
        <v>47.072631286727557</v>
      </c>
      <c r="P19" s="77">
        <f t="shared" si="4"/>
        <v>47.072631286727557</v>
      </c>
      <c r="Q19" s="77">
        <f t="shared" si="4"/>
        <v>47.072631286727557</v>
      </c>
    </row>
    <row r="20" spans="2:17" x14ac:dyDescent="0.25">
      <c r="B20" s="81" t="s">
        <v>153</v>
      </c>
      <c r="C20" s="76">
        <f>C13/Cost_Buildup!C22*365</f>
        <v>77.523992351220471</v>
      </c>
      <c r="D20" s="76">
        <f>D13/Cost_Buildup!D22*365</f>
        <v>161.97496468111737</v>
      </c>
      <c r="E20" s="76">
        <f>E13/Cost_Buildup!E22*365</f>
        <v>150.24005493588353</v>
      </c>
      <c r="F20" s="76">
        <f>F13/Cost_Buildup!F22*365</f>
        <v>96.026654383061114</v>
      </c>
      <c r="G20" s="76">
        <f>G13/Cost_Buildup!G22*365</f>
        <v>84.889488359362971</v>
      </c>
      <c r="H20" s="77">
        <f t="shared" si="3"/>
        <v>102.17004750738202</v>
      </c>
      <c r="I20" s="77">
        <f>H20</f>
        <v>102.17004750738202</v>
      </c>
      <c r="J20" s="77">
        <f t="shared" ref="J20:Q20" si="5">I20</f>
        <v>102.17004750738202</v>
      </c>
      <c r="K20" s="77">
        <f t="shared" si="5"/>
        <v>102.17004750738202</v>
      </c>
      <c r="L20" s="77">
        <f t="shared" si="5"/>
        <v>102.17004750738202</v>
      </c>
      <c r="M20" s="77">
        <f t="shared" si="5"/>
        <v>102.17004750738202</v>
      </c>
      <c r="N20" s="77">
        <f t="shared" si="5"/>
        <v>102.17004750738202</v>
      </c>
      <c r="O20" s="77">
        <f t="shared" si="5"/>
        <v>102.17004750738202</v>
      </c>
      <c r="P20" s="77">
        <f t="shared" si="5"/>
        <v>102.17004750738202</v>
      </c>
      <c r="Q20" s="77">
        <f t="shared" si="5"/>
        <v>102.17004750738202</v>
      </c>
    </row>
    <row r="21" spans="2:17" x14ac:dyDescent="0.25">
      <c r="B21" s="44"/>
      <c r="C21" s="51"/>
      <c r="D21" s="51"/>
      <c r="E21" s="51"/>
      <c r="F21" s="51"/>
      <c r="G21" s="51"/>
      <c r="H21" s="19"/>
      <c r="I21" s="19"/>
      <c r="J21" s="19"/>
      <c r="K21" s="19"/>
      <c r="L21" s="19"/>
      <c r="M21" s="19"/>
      <c r="N21" s="19"/>
      <c r="O21" s="19"/>
      <c r="P21" s="19"/>
      <c r="Q21" s="19"/>
    </row>
    <row r="22" spans="2:17" ht="15.75" thickBot="1" x14ac:dyDescent="0.3">
      <c r="B22" s="48" t="s">
        <v>154</v>
      </c>
      <c r="C22" s="78">
        <f>C18+C19-C20</f>
        <v>-10.627223265792892</v>
      </c>
      <c r="D22" s="78">
        <f t="shared" ref="D22:Q22" si="6">D18+D19-D20</f>
        <v>-29.679436529728861</v>
      </c>
      <c r="E22" s="78">
        <f t="shared" si="6"/>
        <v>-51.979472063276248</v>
      </c>
      <c r="F22" s="78">
        <f t="shared" si="6"/>
        <v>-15.776527065342819</v>
      </c>
      <c r="G22" s="78">
        <f t="shared" si="6"/>
        <v>-3.7675343861425716</v>
      </c>
      <c r="H22" s="79">
        <f t="shared" si="6"/>
        <v>-20.53768919513864</v>
      </c>
      <c r="I22" s="79">
        <f t="shared" si="6"/>
        <v>-20.53768919513864</v>
      </c>
      <c r="J22" s="79">
        <f t="shared" si="6"/>
        <v>-20.53768919513864</v>
      </c>
      <c r="K22" s="79">
        <f t="shared" si="6"/>
        <v>-20.53768919513864</v>
      </c>
      <c r="L22" s="79">
        <f t="shared" si="6"/>
        <v>-20.53768919513864</v>
      </c>
      <c r="M22" s="79">
        <f t="shared" si="6"/>
        <v>-20.53768919513864</v>
      </c>
      <c r="N22" s="79">
        <f t="shared" si="6"/>
        <v>-20.53768919513864</v>
      </c>
      <c r="O22" s="79">
        <f t="shared" si="6"/>
        <v>-20.53768919513864</v>
      </c>
      <c r="P22" s="79">
        <f t="shared" si="6"/>
        <v>-20.53768919513864</v>
      </c>
      <c r="Q22" s="79">
        <f t="shared" si="6"/>
        <v>-20.53768919513864</v>
      </c>
    </row>
    <row r="23" spans="2:17" ht="15.75" thickTop="1" x14ac:dyDescent="0.25"/>
  </sheetData>
  <mergeCells count="2">
    <mergeCell ref="B8:B9"/>
    <mergeCell ref="B7:Q7"/>
  </mergeCells>
  <pageMargins left="0.7" right="0.7" top="0.75" bottom="0.75" header="0.3" footer="0.3"/>
  <pageSetup orientation="portrait" horizontalDpi="300" verticalDpi="0" copies="0" r:id="rId1"/>
  <ignoredErrors>
    <ignoredError sqref="C13 D13:G13" formulaRange="1"/>
  </ignoredErrors>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9DCF1-406A-4D1E-A850-AC3494B20605}">
  <dimension ref="B6:Q47"/>
  <sheetViews>
    <sheetView showGridLines="0" topLeftCell="A40" zoomScaleNormal="100" workbookViewId="0">
      <selection activeCell="H20" sqref="H20"/>
    </sheetView>
  </sheetViews>
  <sheetFormatPr defaultRowHeight="15" x14ac:dyDescent="0.25"/>
  <cols>
    <col min="1" max="1" width="0.85546875" customWidth="1"/>
    <col min="2" max="2" width="70.140625" customWidth="1"/>
    <col min="3" max="11" width="12.85546875" bestFit="1" customWidth="1"/>
    <col min="12" max="17" width="14.28515625" bestFit="1" customWidth="1"/>
  </cols>
  <sheetData>
    <row r="6" spans="2:17" x14ac:dyDescent="0.25">
      <c r="Q6" t="s">
        <v>274</v>
      </c>
    </row>
    <row r="7" spans="2:17" ht="15.75" x14ac:dyDescent="0.25">
      <c r="B7" s="235" t="s">
        <v>282</v>
      </c>
      <c r="C7" s="235"/>
      <c r="D7" s="235"/>
      <c r="E7" s="235"/>
      <c r="F7" s="235"/>
      <c r="G7" s="235"/>
      <c r="H7" s="235"/>
      <c r="I7" s="235"/>
      <c r="J7" s="235"/>
      <c r="K7" s="235"/>
      <c r="L7" s="235"/>
      <c r="M7" s="235"/>
      <c r="N7" s="235"/>
      <c r="O7" s="235"/>
      <c r="P7" s="235"/>
      <c r="Q7" s="235"/>
    </row>
    <row r="8" spans="2:17" x14ac:dyDescent="0.25">
      <c r="B8" s="250" t="s">
        <v>0</v>
      </c>
      <c r="C8" s="13">
        <v>2020</v>
      </c>
      <c r="D8" s="13">
        <v>2021</v>
      </c>
      <c r="E8" s="13">
        <v>2022</v>
      </c>
      <c r="F8" s="13">
        <v>2023</v>
      </c>
      <c r="G8" s="13">
        <v>2024</v>
      </c>
      <c r="H8" s="88">
        <f>G8+1</f>
        <v>2025</v>
      </c>
      <c r="I8" s="88">
        <f t="shared" ref="I8:Q8" si="0">H8+1</f>
        <v>2026</v>
      </c>
      <c r="J8" s="88">
        <f t="shared" si="0"/>
        <v>2027</v>
      </c>
      <c r="K8" s="88">
        <f t="shared" si="0"/>
        <v>2028</v>
      </c>
      <c r="L8" s="88">
        <f t="shared" si="0"/>
        <v>2029</v>
      </c>
      <c r="M8" s="88">
        <f t="shared" si="0"/>
        <v>2030</v>
      </c>
      <c r="N8" s="88">
        <f t="shared" si="0"/>
        <v>2031</v>
      </c>
      <c r="O8" s="88">
        <f t="shared" si="0"/>
        <v>2032</v>
      </c>
      <c r="P8" s="88">
        <f t="shared" si="0"/>
        <v>2033</v>
      </c>
      <c r="Q8" s="88">
        <f t="shared" si="0"/>
        <v>2034</v>
      </c>
    </row>
    <row r="9" spans="2:17" x14ac:dyDescent="0.25">
      <c r="B9" s="251"/>
      <c r="C9" s="41" t="s">
        <v>1</v>
      </c>
      <c r="D9" s="41" t="s">
        <v>1</v>
      </c>
      <c r="E9" s="41" t="s">
        <v>1</v>
      </c>
      <c r="F9" s="41" t="s">
        <v>1</v>
      </c>
      <c r="G9" s="41" t="s">
        <v>1</v>
      </c>
      <c r="H9" s="42" t="s">
        <v>315</v>
      </c>
      <c r="I9" s="42" t="s">
        <v>315</v>
      </c>
      <c r="J9" s="42" t="s">
        <v>315</v>
      </c>
      <c r="K9" s="42" t="s">
        <v>315</v>
      </c>
      <c r="L9" s="42" t="s">
        <v>315</v>
      </c>
      <c r="M9" s="42" t="s">
        <v>315</v>
      </c>
      <c r="N9" s="42" t="s">
        <v>315</v>
      </c>
      <c r="O9" s="42" t="s">
        <v>315</v>
      </c>
      <c r="P9" s="42" t="s">
        <v>315</v>
      </c>
      <c r="Q9" s="42" t="s">
        <v>315</v>
      </c>
    </row>
    <row r="10" spans="2:17" x14ac:dyDescent="0.25">
      <c r="B10" s="56"/>
      <c r="H10" s="60"/>
      <c r="I10" s="60"/>
      <c r="J10" s="60"/>
      <c r="K10" s="60"/>
      <c r="L10" s="60"/>
      <c r="M10" s="60"/>
      <c r="N10" s="60"/>
      <c r="O10" s="60"/>
      <c r="P10" s="60"/>
      <c r="Q10" s="60"/>
    </row>
    <row r="11" spans="2:17" x14ac:dyDescent="0.25">
      <c r="B11" s="56" t="s">
        <v>2</v>
      </c>
      <c r="C11" s="35">
        <f>'P&amp;L_Input'!C11</f>
        <v>21951.27</v>
      </c>
      <c r="D11" s="35">
        <f>'P&amp;L_Input'!D11</f>
        <v>19454.099999999999</v>
      </c>
      <c r="E11" s="35">
        <f>'P&amp;L_Input'!E11</f>
        <v>26237.15</v>
      </c>
      <c r="F11" s="35">
        <f>'P&amp;L_Input'!F11</f>
        <v>41672.6</v>
      </c>
      <c r="G11" s="35">
        <f>'P&amp;L_Input'!G11</f>
        <v>45790.64</v>
      </c>
      <c r="H11" s="36">
        <f>'Revenue Build Up'!H15</f>
        <v>56642.794208691434</v>
      </c>
      <c r="I11" s="36">
        <f>'Revenue Build Up'!I15</f>
        <v>70122.297472604128</v>
      </c>
      <c r="J11" s="36">
        <f>'Revenue Build Up'!J15</f>
        <v>86872.699191201726</v>
      </c>
      <c r="K11" s="36">
        <f>'Revenue Build Up'!K15</f>
        <v>107696.16338916784</v>
      </c>
      <c r="L11" s="36">
        <f>'Revenue Build Up'!L15</f>
        <v>133592.69003155819</v>
      </c>
      <c r="M11" s="36">
        <f>'Revenue Build Up'!M15</f>
        <v>165809.05129306993</v>
      </c>
      <c r="N11" s="36">
        <f>'Revenue Build Up'!N15</f>
        <v>205899.85126593101</v>
      </c>
      <c r="O11" s="36">
        <f>'Revenue Build Up'!O15</f>
        <v>255803.71496507947</v>
      </c>
      <c r="P11" s="36">
        <f>'Revenue Build Up'!P15</f>
        <v>317938.35806490155</v>
      </c>
      <c r="Q11" s="36">
        <f>'Revenue Build Up'!Q15</f>
        <v>395319.21935037855</v>
      </c>
    </row>
    <row r="12" spans="2:17" x14ac:dyDescent="0.25">
      <c r="B12" s="56"/>
      <c r="C12" s="17"/>
      <c r="D12" s="17"/>
      <c r="E12" s="17"/>
      <c r="F12" s="17"/>
      <c r="G12" s="17"/>
      <c r="H12" s="19"/>
      <c r="I12" s="19"/>
      <c r="J12" s="19"/>
      <c r="K12" s="19"/>
      <c r="L12" s="19"/>
      <c r="M12" s="19"/>
      <c r="N12" s="19"/>
      <c r="O12" s="19"/>
      <c r="P12" s="19"/>
      <c r="Q12" s="19"/>
    </row>
    <row r="13" spans="2:17" x14ac:dyDescent="0.25">
      <c r="B13" s="56" t="s">
        <v>159</v>
      </c>
      <c r="C13" s="17"/>
      <c r="D13" s="17"/>
      <c r="E13" s="17"/>
      <c r="F13" s="17"/>
      <c r="G13" s="17"/>
      <c r="H13" s="19"/>
      <c r="I13" s="19"/>
      <c r="J13" s="19"/>
      <c r="K13" s="19"/>
      <c r="L13" s="19"/>
      <c r="M13" s="19"/>
      <c r="N13" s="19"/>
      <c r="O13" s="19"/>
      <c r="P13" s="19"/>
      <c r="Q13" s="19"/>
    </row>
    <row r="14" spans="2:17" x14ac:dyDescent="0.25">
      <c r="B14" s="56" t="s">
        <v>4</v>
      </c>
      <c r="C14" s="17">
        <f>'P&amp;L_Input'!C15</f>
        <v>11164.38</v>
      </c>
      <c r="D14" s="17">
        <f>'P&amp;L_Input'!D15</f>
        <v>11768.86</v>
      </c>
      <c r="E14" s="17">
        <f>'P&amp;L_Input'!E15</f>
        <v>16619.599999999999</v>
      </c>
      <c r="F14" s="17">
        <f>'P&amp;L_Input'!F15</f>
        <v>28272.18</v>
      </c>
      <c r="G14" s="17">
        <f>'P&amp;L_Input'!G15</f>
        <v>28241.38</v>
      </c>
      <c r="H14" s="19">
        <f>Cost_Buildup!H13</f>
        <v>34463.482177350183</v>
      </c>
      <c r="I14" s="19">
        <f>Cost_Buildup!I13</f>
        <v>42664.889381659799</v>
      </c>
      <c r="J14" s="19">
        <f>Cost_Buildup!J13</f>
        <v>52856.427054844804</v>
      </c>
      <c r="K14" s="19">
        <f>Cost_Buildup!K13</f>
        <v>65526.160200657316</v>
      </c>
      <c r="L14" s="19">
        <f>Cost_Buildup!L13</f>
        <v>81282.524215947167</v>
      </c>
      <c r="M14" s="19">
        <f>Cost_Buildup!M13</f>
        <v>100884.09945011559</v>
      </c>
      <c r="N14" s="19">
        <f>Cost_Buildup!N13</f>
        <v>125276.76209401464</v>
      </c>
      <c r="O14" s="19">
        <f>Cost_Buildup!O13</f>
        <v>155640.04026916894</v>
      </c>
      <c r="P14" s="19">
        <f>Cost_Buildup!P13</f>
        <v>193444.95782279756</v>
      </c>
      <c r="Q14" s="19">
        <f>Cost_Buildup!Q13</f>
        <v>240526.21451282929</v>
      </c>
    </row>
    <row r="15" spans="2:17" x14ac:dyDescent="0.25">
      <c r="B15" s="56" t="s">
        <v>5</v>
      </c>
      <c r="C15" s="17">
        <f>'P&amp;L_Input'!C16</f>
        <v>874.38</v>
      </c>
      <c r="D15" s="17">
        <f>'P&amp;L_Input'!D16</f>
        <v>807.62</v>
      </c>
      <c r="E15" s="17">
        <f>'P&amp;L_Input'!E16</f>
        <v>945.42</v>
      </c>
      <c r="F15" s="17">
        <f>'P&amp;L_Input'!F16</f>
        <v>1176.21</v>
      </c>
      <c r="G15" s="17">
        <f>'P&amp;L_Input'!G16</f>
        <v>1557.01</v>
      </c>
      <c r="H15" s="19">
        <f>Cost_Buildup!H16</f>
        <v>2034.7039181425284</v>
      </c>
      <c r="I15" s="19">
        <f>Cost_Buildup!I16</f>
        <v>2518.9102234432248</v>
      </c>
      <c r="J15" s="19">
        <f>Cost_Buildup!J16</f>
        <v>3120.6126726854309</v>
      </c>
      <c r="K15" s="19">
        <f>Cost_Buildup!K16</f>
        <v>3868.6263394688572</v>
      </c>
      <c r="L15" s="19">
        <f>Cost_Buildup!L16</f>
        <v>4798.8728953047075</v>
      </c>
      <c r="M15" s="19">
        <f>Cost_Buildup!M16</f>
        <v>5956.1384822667787</v>
      </c>
      <c r="N15" s="19">
        <f>Cost_Buildup!N16</f>
        <v>7396.2670798374829</v>
      </c>
      <c r="O15" s="19">
        <f>Cost_Buildup!O16</f>
        <v>9188.8973414202974</v>
      </c>
      <c r="P15" s="19">
        <f>Cost_Buildup!P16</f>
        <v>11420.877658312866</v>
      </c>
      <c r="Q15" s="19">
        <f>Cost_Buildup!Q16</f>
        <v>14200.527635796576</v>
      </c>
    </row>
    <row r="16" spans="2:17" x14ac:dyDescent="0.25">
      <c r="B16" s="56" t="s">
        <v>6</v>
      </c>
      <c r="C16" s="17">
        <f>'P&amp;L_Input'!C17</f>
        <v>1307.1600000000001</v>
      </c>
      <c r="D16" s="17">
        <f>'P&amp;L_Input'!D17</f>
        <v>-529.1</v>
      </c>
      <c r="E16" s="17">
        <f>'P&amp;L_Input'!E17</f>
        <v>48.24</v>
      </c>
      <c r="F16" s="17">
        <f>'P&amp;L_Input'!F17</f>
        <v>-629.49</v>
      </c>
      <c r="G16" s="17">
        <f>'P&amp;L_Input'!G17</f>
        <v>-568.89</v>
      </c>
      <c r="H16" s="19">
        <f>Cost_Buildup!H19</f>
        <v>75.450452405040934</v>
      </c>
      <c r="I16" s="19">
        <f>Cost_Buildup!I19</f>
        <v>93.405686317236984</v>
      </c>
      <c r="J16" s="19">
        <f>Cost_Buildup!J19</f>
        <v>115.71788692969263</v>
      </c>
      <c r="K16" s="19">
        <f>Cost_Buildup!K19</f>
        <v>143.45556859469133</v>
      </c>
      <c r="L16" s="19">
        <f>Cost_Buildup!L19</f>
        <v>177.95077099746644</v>
      </c>
      <c r="M16" s="19">
        <f>Cost_Buildup!M19</f>
        <v>220.86424421119281</v>
      </c>
      <c r="N16" s="19">
        <f>Cost_Buildup!N19</f>
        <v>274.2667826539066</v>
      </c>
      <c r="O16" s="19">
        <f>Cost_Buildup!O19</f>
        <v>340.7407118705288</v>
      </c>
      <c r="P16" s="19">
        <f>Cost_Buildup!P19</f>
        <v>423.50652519949017</v>
      </c>
      <c r="Q16" s="19">
        <f>Cost_Buildup!Q19</f>
        <v>526.58090691113773</v>
      </c>
    </row>
    <row r="17" spans="2:17" x14ac:dyDescent="0.25">
      <c r="B17" s="56" t="s">
        <v>7</v>
      </c>
      <c r="C17" s="17">
        <f>'P&amp;L_Input'!C18</f>
        <v>2190.27</v>
      </c>
      <c r="D17" s="17">
        <f>'P&amp;L_Input'!D18</f>
        <v>2159.4299999999998</v>
      </c>
      <c r="E17" s="17">
        <f>'P&amp;L_Input'!E18</f>
        <v>2616.7600000000002</v>
      </c>
      <c r="F17" s="17">
        <f>'P&amp;L_Input'!F18</f>
        <v>3234.38</v>
      </c>
      <c r="G17" s="17">
        <f>'P&amp;L_Input'!G18</f>
        <v>3672.69</v>
      </c>
      <c r="H17" s="19">
        <f>Cost_Buildup!H26</f>
        <v>5305.5621026163008</v>
      </c>
      <c r="I17" s="19">
        <f>Cost_Buildup!I26</f>
        <v>6568.1470911960887</v>
      </c>
      <c r="J17" s="19">
        <f>Cost_Buildup!J26</f>
        <v>8137.1074118038923</v>
      </c>
      <c r="K17" s="19">
        <f>Cost_Buildup!K26</f>
        <v>10087.579383346636</v>
      </c>
      <c r="L17" s="19">
        <f>Cost_Buildup!L26</f>
        <v>12513.23002898829</v>
      </c>
      <c r="M17" s="19">
        <f>Cost_Buildup!M26</f>
        <v>15530.840790977238</v>
      </c>
      <c r="N17" s="19">
        <f>Cost_Buildup!N26</f>
        <v>19286.026811919412</v>
      </c>
      <c r="O17" s="19">
        <f>Cost_Buildup!O26</f>
        <v>23960.37333234062</v>
      </c>
      <c r="P17" s="19">
        <f>Cost_Buildup!P26</f>
        <v>29780.340590230971</v>
      </c>
      <c r="Q17" s="19">
        <f>Cost_Buildup!Q26</f>
        <v>37028.375769982747</v>
      </c>
    </row>
    <row r="18" spans="2:17" x14ac:dyDescent="0.25">
      <c r="B18" s="56" t="s">
        <v>8</v>
      </c>
      <c r="C18" s="17">
        <f>'P&amp;L_Input'!C19</f>
        <v>3181.73</v>
      </c>
      <c r="D18" s="17">
        <f>'P&amp;L_Input'!D19</f>
        <v>2784.85</v>
      </c>
      <c r="E18" s="17">
        <f>'P&amp;L_Input'!E19</f>
        <v>3241.89</v>
      </c>
      <c r="F18" s="17">
        <f>'P&amp;L_Input'!F19</f>
        <v>4526.42</v>
      </c>
      <c r="G18" s="17">
        <f>'P&amp;L_Input'!G19</f>
        <v>4945.58</v>
      </c>
      <c r="H18" s="19">
        <f>Cost_Buildup!H29</f>
        <v>7117.4928587923596</v>
      </c>
      <c r="I18" s="19">
        <f>Cost_Buildup!I29</f>
        <v>8811.2699678009685</v>
      </c>
      <c r="J18" s="19">
        <f>Cost_Buildup!J29</f>
        <v>10916.054279372378</v>
      </c>
      <c r="K18" s="19">
        <f>Cost_Buildup!K29</f>
        <v>13532.642316648269</v>
      </c>
      <c r="L18" s="19">
        <f>Cost_Buildup!L29</f>
        <v>16786.689826480633</v>
      </c>
      <c r="M18" s="19">
        <f>Cost_Buildup!M29</f>
        <v>20834.860903109835</v>
      </c>
      <c r="N18" s="19">
        <f>Cost_Buildup!N29</f>
        <v>25872.500491630122</v>
      </c>
      <c r="O18" s="19">
        <f>Cost_Buildup!O29</f>
        <v>32143.207974671892</v>
      </c>
      <c r="P18" s="19">
        <f>Cost_Buildup!P29</f>
        <v>39950.78323159198</v>
      </c>
      <c r="Q18" s="19">
        <f>Cost_Buildup!Q29</f>
        <v>49674.133488244304</v>
      </c>
    </row>
    <row r="19" spans="2:17" x14ac:dyDescent="0.25">
      <c r="B19" s="56"/>
      <c r="C19" s="17"/>
      <c r="D19" s="17"/>
      <c r="E19" s="17"/>
      <c r="F19" s="17"/>
      <c r="G19" s="17"/>
      <c r="H19" s="19"/>
      <c r="I19" s="19"/>
      <c r="J19" s="19"/>
      <c r="K19" s="19"/>
      <c r="L19" s="19"/>
      <c r="M19" s="19"/>
      <c r="N19" s="19"/>
      <c r="O19" s="19"/>
      <c r="P19" s="19"/>
      <c r="Q19" s="19"/>
    </row>
    <row r="20" spans="2:17" x14ac:dyDescent="0.25">
      <c r="B20" s="90" t="s">
        <v>9</v>
      </c>
      <c r="C20" s="85">
        <f>SUM(C14:C18)</f>
        <v>18717.919999999998</v>
      </c>
      <c r="D20" s="85">
        <f t="shared" ref="D20:Q20" si="1">SUM(D14:D18)</f>
        <v>16991.66</v>
      </c>
      <c r="E20" s="85">
        <f t="shared" si="1"/>
        <v>23471.909999999996</v>
      </c>
      <c r="F20" s="85">
        <f t="shared" si="1"/>
        <v>36579.699999999997</v>
      </c>
      <c r="G20" s="85">
        <f t="shared" si="1"/>
        <v>37847.770000000004</v>
      </c>
      <c r="H20" s="33">
        <f t="shared" si="1"/>
        <v>48996.691509306409</v>
      </c>
      <c r="I20" s="33">
        <f t="shared" si="1"/>
        <v>60656.62235041731</v>
      </c>
      <c r="J20" s="33">
        <f t="shared" si="1"/>
        <v>75145.919305636198</v>
      </c>
      <c r="K20" s="33">
        <f t="shared" si="1"/>
        <v>93158.463808715765</v>
      </c>
      <c r="L20" s="33">
        <f t="shared" si="1"/>
        <v>115559.26773771827</v>
      </c>
      <c r="M20" s="33">
        <f t="shared" si="1"/>
        <v>143426.80387068063</v>
      </c>
      <c r="N20" s="33">
        <f t="shared" si="1"/>
        <v>178105.82326005553</v>
      </c>
      <c r="O20" s="33">
        <f t="shared" si="1"/>
        <v>221273.25962947225</v>
      </c>
      <c r="P20" s="33">
        <f t="shared" si="1"/>
        <v>275020.46582813287</v>
      </c>
      <c r="Q20" s="33">
        <f t="shared" si="1"/>
        <v>341955.83231376408</v>
      </c>
    </row>
    <row r="21" spans="2:17" x14ac:dyDescent="0.25">
      <c r="B21" s="56"/>
      <c r="C21" s="17"/>
      <c r="D21" s="17"/>
      <c r="E21" s="17"/>
      <c r="F21" s="17"/>
      <c r="G21" s="17"/>
      <c r="H21" s="19"/>
      <c r="I21" s="19"/>
      <c r="J21" s="19"/>
      <c r="K21" s="19"/>
      <c r="L21" s="19"/>
      <c r="M21" s="19"/>
      <c r="N21" s="19"/>
      <c r="O21" s="19"/>
      <c r="P21" s="19"/>
      <c r="Q21" s="19"/>
    </row>
    <row r="22" spans="2:17" x14ac:dyDescent="0.25">
      <c r="B22" s="90" t="s">
        <v>10</v>
      </c>
      <c r="C22" s="85">
        <f>C11-C20</f>
        <v>3233.3500000000022</v>
      </c>
      <c r="D22" s="85">
        <f t="shared" ref="D22:Q22" si="2">D11-D20</f>
        <v>2462.4399999999987</v>
      </c>
      <c r="E22" s="85">
        <f t="shared" si="2"/>
        <v>2765.2400000000052</v>
      </c>
      <c r="F22" s="85">
        <f t="shared" si="2"/>
        <v>5092.9000000000015</v>
      </c>
      <c r="G22" s="85">
        <f t="shared" si="2"/>
        <v>7942.8699999999953</v>
      </c>
      <c r="H22" s="33">
        <f t="shared" si="2"/>
        <v>7646.1026993850246</v>
      </c>
      <c r="I22" s="33">
        <f t="shared" si="2"/>
        <v>9465.675122186818</v>
      </c>
      <c r="J22" s="33">
        <f t="shared" si="2"/>
        <v>11726.779885565527</v>
      </c>
      <c r="K22" s="33">
        <f t="shared" si="2"/>
        <v>14537.69958045207</v>
      </c>
      <c r="L22" s="33">
        <f t="shared" si="2"/>
        <v>18033.422293839918</v>
      </c>
      <c r="M22" s="33">
        <f t="shared" si="2"/>
        <v>22382.247422389308</v>
      </c>
      <c r="N22" s="33">
        <f t="shared" si="2"/>
        <v>27794.028005875472</v>
      </c>
      <c r="O22" s="33">
        <f t="shared" si="2"/>
        <v>34530.455335607228</v>
      </c>
      <c r="P22" s="33">
        <f t="shared" si="2"/>
        <v>42917.892236768676</v>
      </c>
      <c r="Q22" s="33">
        <f t="shared" si="2"/>
        <v>53363.387036614469</v>
      </c>
    </row>
    <row r="23" spans="2:17" x14ac:dyDescent="0.25">
      <c r="B23" s="56"/>
      <c r="C23" s="17"/>
      <c r="D23" s="17"/>
      <c r="E23" s="17"/>
      <c r="F23" s="17"/>
      <c r="G23" s="17"/>
      <c r="H23" s="19"/>
      <c r="I23" s="19"/>
      <c r="J23" s="19"/>
      <c r="K23" s="19"/>
      <c r="L23" s="19"/>
      <c r="M23" s="19"/>
      <c r="N23" s="19"/>
      <c r="O23" s="19"/>
      <c r="P23" s="19"/>
      <c r="Q23" s="19"/>
    </row>
    <row r="24" spans="2:17" x14ac:dyDescent="0.25">
      <c r="B24" s="56" t="s">
        <v>314</v>
      </c>
      <c r="C24" s="17">
        <f>'P&amp;L_Input'!C25</f>
        <v>749.99</v>
      </c>
      <c r="D24" s="17">
        <f>'P&amp;L_Input'!D25</f>
        <v>835.62</v>
      </c>
      <c r="E24" s="17">
        <f>'P&amp;L_Input'!E25</f>
        <v>865.96</v>
      </c>
      <c r="F24" s="17">
        <f>'P&amp;L_Input'!F25</f>
        <v>900.22</v>
      </c>
      <c r="G24" s="17">
        <f>'P&amp;L_Input'!G25</f>
        <v>927.29</v>
      </c>
      <c r="H24" s="19">
        <f>FAS!H311</f>
        <v>931.92644999999993</v>
      </c>
      <c r="I24" s="19">
        <f>FAS!I311</f>
        <v>936.58608224999978</v>
      </c>
      <c r="J24" s="19">
        <f>FAS!J311</f>
        <v>941.26901266124969</v>
      </c>
      <c r="K24" s="19">
        <f>FAS!K311</f>
        <v>945.97535772455581</v>
      </c>
      <c r="L24" s="19">
        <f>FAS!L311</f>
        <v>950.70523451317854</v>
      </c>
      <c r="M24" s="19">
        <f>FAS!M311</f>
        <v>955.45876068574444</v>
      </c>
      <c r="N24" s="19">
        <f>FAS!N311</f>
        <v>960.23605448917306</v>
      </c>
      <c r="O24" s="19">
        <f>FAS!O311</f>
        <v>965.03723476161872</v>
      </c>
      <c r="P24" s="19">
        <f>FAS!P311</f>
        <v>969.86242093542683</v>
      </c>
      <c r="Q24" s="19">
        <f>FAS!Q311</f>
        <v>974.71173304010381</v>
      </c>
    </row>
    <row r="25" spans="2:17" x14ac:dyDescent="0.25">
      <c r="B25" s="56"/>
      <c r="C25" s="17"/>
      <c r="D25" s="17"/>
      <c r="E25" s="17"/>
      <c r="F25" s="17"/>
      <c r="G25" s="17"/>
      <c r="H25" s="19"/>
      <c r="I25" s="19"/>
      <c r="J25" s="19"/>
      <c r="K25" s="19"/>
      <c r="L25" s="19"/>
      <c r="M25" s="19"/>
      <c r="N25" s="19"/>
      <c r="O25" s="19"/>
      <c r="P25" s="19"/>
      <c r="Q25" s="19"/>
    </row>
    <row r="26" spans="2:17" x14ac:dyDescent="0.25">
      <c r="B26" s="90" t="s">
        <v>11</v>
      </c>
      <c r="C26" s="85">
        <f>C22-C24</f>
        <v>2483.3600000000024</v>
      </c>
      <c r="D26" s="85">
        <f t="shared" ref="D26:Q26" si="3">D22-D24</f>
        <v>1626.8199999999988</v>
      </c>
      <c r="E26" s="85">
        <f t="shared" si="3"/>
        <v>1899.2800000000052</v>
      </c>
      <c r="F26" s="85">
        <f t="shared" si="3"/>
        <v>4192.6800000000012</v>
      </c>
      <c r="G26" s="85">
        <f t="shared" si="3"/>
        <v>7015.5799999999954</v>
      </c>
      <c r="H26" s="33">
        <f t="shared" si="3"/>
        <v>6714.1762493850247</v>
      </c>
      <c r="I26" s="33">
        <f t="shared" si="3"/>
        <v>8529.0890399368182</v>
      </c>
      <c r="J26" s="33">
        <f t="shared" si="3"/>
        <v>10785.510872904277</v>
      </c>
      <c r="K26" s="33">
        <f t="shared" si="3"/>
        <v>13591.724222727515</v>
      </c>
      <c r="L26" s="33">
        <f t="shared" si="3"/>
        <v>17082.71705932674</v>
      </c>
      <c r="M26" s="33">
        <f t="shared" si="3"/>
        <v>21426.788661703562</v>
      </c>
      <c r="N26" s="33">
        <f t="shared" si="3"/>
        <v>26833.791951386298</v>
      </c>
      <c r="O26" s="33">
        <f t="shared" si="3"/>
        <v>33565.418100845607</v>
      </c>
      <c r="P26" s="33">
        <f t="shared" si="3"/>
        <v>41948.029815833252</v>
      </c>
      <c r="Q26" s="19">
        <f t="shared" si="3"/>
        <v>52388.675303574368</v>
      </c>
    </row>
    <row r="27" spans="2:17" x14ac:dyDescent="0.25">
      <c r="B27" s="56"/>
      <c r="C27" s="17"/>
      <c r="D27" s="17"/>
      <c r="E27" s="17"/>
      <c r="F27" s="17"/>
      <c r="G27" s="17"/>
      <c r="H27" s="19"/>
      <c r="I27" s="19"/>
      <c r="J27" s="19"/>
      <c r="K27" s="19"/>
      <c r="L27" s="19"/>
      <c r="M27" s="19"/>
      <c r="N27" s="19"/>
      <c r="O27" s="19"/>
      <c r="P27" s="19"/>
      <c r="Q27" s="19"/>
    </row>
    <row r="28" spans="2:17" x14ac:dyDescent="0.25">
      <c r="B28" s="56" t="s">
        <v>12</v>
      </c>
      <c r="C28" s="17">
        <f>'P&amp;L_Input'!C29</f>
        <v>1801.65</v>
      </c>
      <c r="D28" s="17">
        <f>'P&amp;L_Input'!D29</f>
        <v>1900.64</v>
      </c>
      <c r="E28" s="17">
        <f>'P&amp;L_Input'!E29</f>
        <v>1869.05</v>
      </c>
      <c r="F28" s="17">
        <f>'P&amp;L_Input'!F29</f>
        <v>2093.5</v>
      </c>
      <c r="G28" s="17">
        <f>'P&amp;L_Input'!G29</f>
        <v>2982.25</v>
      </c>
      <c r="H28" s="19">
        <f>Cost_Buildup!H32</f>
        <v>4152.1811704347601</v>
      </c>
      <c r="I28" s="19">
        <f>Cost_Buildup!I32</f>
        <v>5140.2916692392864</v>
      </c>
      <c r="J28" s="19">
        <f>Cost_Buildup!J32</f>
        <v>6368.17429022953</v>
      </c>
      <c r="K28" s="19">
        <f>Cost_Buildup!K32</f>
        <v>7894.6314001570281</v>
      </c>
      <c r="L28" s="19">
        <f>Cost_Buildup!L32</f>
        <v>9792.9676635134747</v>
      </c>
      <c r="M28" s="19">
        <f>Cost_Buildup!M32</f>
        <v>12154.577299456312</v>
      </c>
      <c r="N28" s="19">
        <f>Cost_Buildup!N32</f>
        <v>15093.420043365957</v>
      </c>
      <c r="O28" s="19">
        <f>Cost_Buildup!O32</f>
        <v>18751.606156503578</v>
      </c>
      <c r="P28" s="19">
        <f>Cost_Buildup!P32</f>
        <v>23306.365481409521</v>
      </c>
      <c r="Q28" s="19">
        <f>Cost_Buildup!Q32</f>
        <v>28978.743754236333</v>
      </c>
    </row>
    <row r="29" spans="2:17" x14ac:dyDescent="0.25">
      <c r="B29" s="56"/>
      <c r="C29" s="17"/>
      <c r="D29" s="17"/>
      <c r="E29" s="17"/>
      <c r="F29" s="17"/>
      <c r="G29" s="17"/>
      <c r="H29" s="19"/>
      <c r="I29" s="19"/>
      <c r="J29" s="19"/>
      <c r="K29" s="19"/>
      <c r="L29" s="19"/>
      <c r="M29" s="19"/>
      <c r="N29" s="19"/>
      <c r="O29" s="19"/>
      <c r="P29" s="19"/>
      <c r="Q29" s="19"/>
    </row>
    <row r="30" spans="2:17" x14ac:dyDescent="0.25">
      <c r="B30" s="56" t="s">
        <v>13</v>
      </c>
      <c r="C30" s="17">
        <f>'P&amp;L_Input'!C31</f>
        <v>107.83</v>
      </c>
      <c r="D30" s="17">
        <f>'P&amp;L_Input'!D31</f>
        <v>131.16</v>
      </c>
      <c r="E30" s="17">
        <f>'P&amp;L_Input'!E31</f>
        <v>86.81</v>
      </c>
      <c r="F30" s="17">
        <f>'P&amp;L_Input'!F31</f>
        <v>110.77</v>
      </c>
      <c r="G30" s="17">
        <f>'P&amp;L_Input'!G31</f>
        <v>140.58000000000001</v>
      </c>
      <c r="H30" s="19">
        <f>'Revenue Build Up'!H18</f>
        <v>244.47744010236178</v>
      </c>
      <c r="I30" s="19">
        <f>'Revenue Build Up'!I18</f>
        <v>305.14490033999869</v>
      </c>
      <c r="J30" s="19">
        <f>'Revenue Build Up'!J18</f>
        <v>380.86708599583466</v>
      </c>
      <c r="K30" s="19">
        <f>'Revenue Build Up'!K18</f>
        <v>475.3798507965559</v>
      </c>
      <c r="L30" s="19">
        <f>'Revenue Build Up'!L18</f>
        <v>593.34610643101689</v>
      </c>
      <c r="M30" s="19">
        <f>'Revenue Build Up'!M18</f>
        <v>740.58587343769307</v>
      </c>
      <c r="N30" s="19">
        <f>'Revenue Build Up'!N18</f>
        <v>924.36341958070352</v>
      </c>
      <c r="O30" s="19">
        <f>'Revenue Build Up'!O18</f>
        <v>1153.745652064234</v>
      </c>
      <c r="P30" s="19">
        <f>'Revenue Build Up'!P18</f>
        <v>1440.04944533713</v>
      </c>
      <c r="Q30" s="19">
        <f>'Revenue Build Up'!Q18</f>
        <v>1797.3999739938531</v>
      </c>
    </row>
    <row r="31" spans="2:17" x14ac:dyDescent="0.25">
      <c r="B31" s="56"/>
      <c r="C31" s="17"/>
      <c r="D31" s="17"/>
      <c r="E31" s="17"/>
      <c r="F31" s="17"/>
      <c r="G31" s="17"/>
      <c r="H31" s="19"/>
      <c r="I31" s="19"/>
      <c r="J31" s="19"/>
      <c r="K31" s="19"/>
      <c r="L31" s="19"/>
      <c r="M31" s="19"/>
      <c r="N31" s="19"/>
      <c r="O31" s="19"/>
      <c r="P31" s="19"/>
      <c r="Q31" s="19"/>
    </row>
    <row r="32" spans="2:17" x14ac:dyDescent="0.25">
      <c r="B32" s="90" t="s">
        <v>14</v>
      </c>
      <c r="C32" s="85">
        <f>C26+C30-C28</f>
        <v>789.54000000000224</v>
      </c>
      <c r="D32" s="85">
        <f t="shared" ref="D32:Q32" si="4">D26+D30-D28</f>
        <v>-142.66000000000122</v>
      </c>
      <c r="E32" s="85">
        <f t="shared" si="4"/>
        <v>117.04000000000519</v>
      </c>
      <c r="F32" s="85">
        <f t="shared" si="4"/>
        <v>2209.9500000000016</v>
      </c>
      <c r="G32" s="85">
        <f t="shared" si="4"/>
        <v>4173.9099999999953</v>
      </c>
      <c r="H32" s="33">
        <f t="shared" si="4"/>
        <v>2806.472519052626</v>
      </c>
      <c r="I32" s="33">
        <f t="shared" si="4"/>
        <v>3693.9422710375311</v>
      </c>
      <c r="J32" s="33">
        <f t="shared" si="4"/>
        <v>4798.2036686705815</v>
      </c>
      <c r="K32" s="33">
        <f t="shared" si="4"/>
        <v>6172.4726733670432</v>
      </c>
      <c r="L32" s="33">
        <f t="shared" si="4"/>
        <v>7883.0955022442831</v>
      </c>
      <c r="M32" s="33">
        <f t="shared" si="4"/>
        <v>10012.797235684942</v>
      </c>
      <c r="N32" s="33">
        <f t="shared" si="4"/>
        <v>12664.735327601044</v>
      </c>
      <c r="O32" s="33">
        <f t="shared" si="4"/>
        <v>15967.557596406266</v>
      </c>
      <c r="P32" s="33">
        <f t="shared" si="4"/>
        <v>20081.713779760859</v>
      </c>
      <c r="Q32" s="33">
        <f t="shared" si="4"/>
        <v>25207.331523331886</v>
      </c>
    </row>
    <row r="33" spans="2:17" x14ac:dyDescent="0.25">
      <c r="B33" s="56"/>
      <c r="C33" s="17"/>
      <c r="D33" s="17"/>
      <c r="E33" s="17"/>
      <c r="F33" s="17"/>
      <c r="G33" s="17"/>
      <c r="H33" s="19"/>
      <c r="I33" s="19"/>
      <c r="J33" s="19"/>
      <c r="K33" s="19"/>
      <c r="L33" s="19"/>
      <c r="M33" s="19"/>
      <c r="N33" s="19"/>
      <c r="O33" s="19"/>
      <c r="P33" s="19"/>
      <c r="Q33" s="19"/>
    </row>
    <row r="34" spans="2:17" x14ac:dyDescent="0.25">
      <c r="B34" s="56" t="s">
        <v>16</v>
      </c>
      <c r="C34" s="17">
        <f>'P&amp;L_Input'!C35</f>
        <v>2.9</v>
      </c>
      <c r="D34" s="17">
        <f>'P&amp;L_Input'!D35</f>
        <v>-0.5</v>
      </c>
      <c r="E34" s="17">
        <f>'P&amp;L_Input'!E35</f>
        <v>7.52</v>
      </c>
      <c r="F34" s="17">
        <f>'P&amp;L_Input'!F35</f>
        <v>10.75</v>
      </c>
      <c r="G34" s="17">
        <f>'P&amp;L_Input'!G35</f>
        <v>16.38</v>
      </c>
      <c r="H34" s="19">
        <v>0</v>
      </c>
      <c r="I34" s="19">
        <v>0</v>
      </c>
      <c r="J34" s="19">
        <v>0</v>
      </c>
      <c r="K34" s="19">
        <v>0</v>
      </c>
      <c r="L34" s="19">
        <v>0</v>
      </c>
      <c r="M34" s="19">
        <v>0</v>
      </c>
      <c r="N34" s="19">
        <v>0</v>
      </c>
      <c r="O34" s="19">
        <v>0</v>
      </c>
      <c r="P34" s="19">
        <v>0</v>
      </c>
      <c r="Q34" s="19">
        <v>0</v>
      </c>
    </row>
    <row r="35" spans="2:17" x14ac:dyDescent="0.25">
      <c r="B35" s="56" t="s">
        <v>15</v>
      </c>
      <c r="C35" s="17">
        <f>'P&amp;L_Input'!C36</f>
        <v>-53.28</v>
      </c>
      <c r="D35" s="17">
        <f>'P&amp;L_Input'!D36</f>
        <v>76.08</v>
      </c>
      <c r="E35" s="17">
        <f>'P&amp;L_Input'!E36</f>
        <v>-324.14999999999998</v>
      </c>
      <c r="F35" s="17">
        <f>'P&amp;L_Input'!F36</f>
        <v>47.89</v>
      </c>
      <c r="G35" s="17">
        <f>'P&amp;L_Input'!G36</f>
        <v>-84.22</v>
      </c>
      <c r="H35" s="19">
        <v>0</v>
      </c>
      <c r="I35" s="19">
        <v>0</v>
      </c>
      <c r="J35" s="19">
        <v>0</v>
      </c>
      <c r="K35" s="19">
        <v>0</v>
      </c>
      <c r="L35" s="19">
        <v>0</v>
      </c>
      <c r="M35" s="19">
        <v>0</v>
      </c>
      <c r="N35" s="19">
        <v>0</v>
      </c>
      <c r="O35" s="19">
        <v>0</v>
      </c>
      <c r="P35" s="19">
        <v>0</v>
      </c>
      <c r="Q35" s="19">
        <v>0</v>
      </c>
    </row>
    <row r="36" spans="2:17" x14ac:dyDescent="0.25">
      <c r="B36" s="56"/>
      <c r="C36" s="17"/>
      <c r="D36" s="17"/>
      <c r="E36" s="17"/>
      <c r="F36" s="17"/>
      <c r="G36" s="17"/>
      <c r="H36" s="19"/>
      <c r="I36" s="19"/>
      <c r="J36" s="19"/>
      <c r="K36" s="19"/>
      <c r="L36" s="19"/>
      <c r="M36" s="19"/>
      <c r="N36" s="19"/>
      <c r="O36" s="19"/>
      <c r="P36" s="19"/>
      <c r="Q36" s="19"/>
    </row>
    <row r="37" spans="2:17" x14ac:dyDescent="0.25">
      <c r="B37" s="90" t="s">
        <v>217</v>
      </c>
      <c r="C37" s="85">
        <f>SUM(C32:C35)</f>
        <v>739.16000000000224</v>
      </c>
      <c r="D37" s="85">
        <f t="shared" ref="D37:Q37" si="5">SUM(D32:D35)</f>
        <v>-67.08000000000122</v>
      </c>
      <c r="E37" s="85">
        <f t="shared" si="5"/>
        <v>-199.5899999999948</v>
      </c>
      <c r="F37" s="85">
        <f t="shared" si="5"/>
        <v>2268.5900000000015</v>
      </c>
      <c r="G37" s="85">
        <f t="shared" si="5"/>
        <v>4106.0699999999952</v>
      </c>
      <c r="H37" s="33">
        <f t="shared" si="5"/>
        <v>2806.472519052626</v>
      </c>
      <c r="I37" s="33">
        <f t="shared" si="5"/>
        <v>3693.9422710375311</v>
      </c>
      <c r="J37" s="33">
        <f t="shared" si="5"/>
        <v>4798.2036686705815</v>
      </c>
      <c r="K37" s="33">
        <f t="shared" si="5"/>
        <v>6172.4726733670432</v>
      </c>
      <c r="L37" s="33">
        <f t="shared" si="5"/>
        <v>7883.0955022442831</v>
      </c>
      <c r="M37" s="33">
        <f t="shared" si="5"/>
        <v>10012.797235684942</v>
      </c>
      <c r="N37" s="33">
        <f t="shared" si="5"/>
        <v>12664.735327601044</v>
      </c>
      <c r="O37" s="33">
        <f t="shared" si="5"/>
        <v>15967.557596406266</v>
      </c>
      <c r="P37" s="33">
        <f t="shared" si="5"/>
        <v>20081.713779760859</v>
      </c>
      <c r="Q37" s="33">
        <f t="shared" si="5"/>
        <v>25207.331523331886</v>
      </c>
    </row>
    <row r="38" spans="2:17" x14ac:dyDescent="0.25">
      <c r="B38" s="56"/>
      <c r="C38" s="17"/>
      <c r="D38" s="17"/>
      <c r="E38" s="17"/>
      <c r="F38" s="17"/>
      <c r="G38" s="17"/>
      <c r="H38" s="19"/>
      <c r="I38" s="19"/>
      <c r="J38" s="19"/>
      <c r="K38" s="19"/>
      <c r="L38" s="19"/>
      <c r="M38" s="19"/>
      <c r="N38" s="19"/>
      <c r="O38" s="19"/>
      <c r="P38" s="19"/>
      <c r="Q38" s="19"/>
    </row>
    <row r="39" spans="2:17" x14ac:dyDescent="0.25">
      <c r="B39" s="56" t="s">
        <v>18</v>
      </c>
      <c r="C39" s="17">
        <f>'P&amp;L_Input'!C40</f>
        <v>279.36</v>
      </c>
      <c r="D39" s="17">
        <f>'P&amp;L_Input'!D40</f>
        <v>2.52</v>
      </c>
      <c r="E39" s="17">
        <f>'P&amp;L_Input'!E40</f>
        <v>85.86</v>
      </c>
      <c r="F39" s="17">
        <f>'P&amp;L_Input'!F40</f>
        <v>906.93</v>
      </c>
      <c r="G39" s="17">
        <f>'P&amp;L_Input'!G40</f>
        <v>1409.73</v>
      </c>
      <c r="H39" s="19">
        <f>Cost_Buildup!H35*'Income Statement'!H37</f>
        <v>841.94175571578774</v>
      </c>
      <c r="I39" s="19">
        <f>Cost_Buildup!I35*'Income Statement'!I37</f>
        <v>1108.1826813112593</v>
      </c>
      <c r="J39" s="19">
        <f>Cost_Buildup!J35*'Income Statement'!J37</f>
        <v>1439.4611006011744</v>
      </c>
      <c r="K39" s="19">
        <f>Cost_Buildup!K35*'Income Statement'!K37</f>
        <v>1851.7418020101129</v>
      </c>
      <c r="L39" s="19">
        <f>Cost_Buildup!L35*'Income Statement'!L37</f>
        <v>2364.9286506732847</v>
      </c>
      <c r="M39" s="19">
        <f>Cost_Buildup!M35*'Income Statement'!M37</f>
        <v>3003.8391707054825</v>
      </c>
      <c r="N39" s="19">
        <f>Cost_Buildup!N35*'Income Statement'!N37</f>
        <v>3799.4205982803128</v>
      </c>
      <c r="O39" s="19">
        <f>Cost_Buildup!O35*'Income Statement'!O37</f>
        <v>4790.2672789218796</v>
      </c>
      <c r="P39" s="19">
        <f>Cost_Buildup!P35*'Income Statement'!P37</f>
        <v>6024.5141339282573</v>
      </c>
      <c r="Q39" s="19">
        <f>Cost_Buildup!Q35*'Income Statement'!Q37</f>
        <v>7562.1994569995659</v>
      </c>
    </row>
    <row r="40" spans="2:17" x14ac:dyDescent="0.25">
      <c r="B40" s="56"/>
      <c r="C40" s="17"/>
      <c r="D40" s="17"/>
      <c r="E40" s="17"/>
      <c r="F40" s="17"/>
      <c r="G40" s="17"/>
      <c r="H40" s="19"/>
      <c r="I40" s="19"/>
      <c r="J40" s="19"/>
      <c r="K40" s="19"/>
      <c r="L40" s="19"/>
      <c r="M40" s="19"/>
      <c r="N40" s="19"/>
      <c r="O40" s="19"/>
      <c r="P40" s="19"/>
      <c r="Q40" s="19"/>
    </row>
    <row r="41" spans="2:17" ht="15.75" thickBot="1" x14ac:dyDescent="0.3">
      <c r="B41" s="90" t="s">
        <v>19</v>
      </c>
      <c r="C41" s="89">
        <f>C37-C39</f>
        <v>459.80000000000223</v>
      </c>
      <c r="D41" s="89">
        <f t="shared" ref="D41:Q41" si="6">D37-D39</f>
        <v>-69.600000000001216</v>
      </c>
      <c r="E41" s="89">
        <f t="shared" si="6"/>
        <v>-285.44999999999482</v>
      </c>
      <c r="F41" s="89">
        <f t="shared" si="6"/>
        <v>1361.6600000000017</v>
      </c>
      <c r="G41" s="89">
        <f t="shared" si="6"/>
        <v>2696.3399999999951</v>
      </c>
      <c r="H41" s="54">
        <f t="shared" si="6"/>
        <v>1964.5307633368384</v>
      </c>
      <c r="I41" s="54">
        <f t="shared" si="6"/>
        <v>2585.7595897262718</v>
      </c>
      <c r="J41" s="54">
        <f t="shared" si="6"/>
        <v>3358.7425680694068</v>
      </c>
      <c r="K41" s="54">
        <f t="shared" si="6"/>
        <v>4320.73087135693</v>
      </c>
      <c r="L41" s="54">
        <f t="shared" si="6"/>
        <v>5518.1668515709989</v>
      </c>
      <c r="M41" s="54">
        <f t="shared" si="6"/>
        <v>7008.9580649794598</v>
      </c>
      <c r="N41" s="54">
        <f t="shared" si="6"/>
        <v>8865.3147293207312</v>
      </c>
      <c r="O41" s="54">
        <f t="shared" si="6"/>
        <v>11177.290317484387</v>
      </c>
      <c r="P41" s="54">
        <f t="shared" si="6"/>
        <v>14057.199645832603</v>
      </c>
      <c r="Q41" s="54">
        <f t="shared" si="6"/>
        <v>17645.13206633232</v>
      </c>
    </row>
    <row r="42" spans="2:17" ht="15.75" thickTop="1" x14ac:dyDescent="0.25">
      <c r="B42" s="56"/>
      <c r="C42" s="17"/>
      <c r="D42" s="17"/>
      <c r="E42" s="17"/>
      <c r="F42" s="17"/>
      <c r="G42" s="17"/>
      <c r="H42" s="19"/>
      <c r="I42" s="19"/>
      <c r="J42" s="19"/>
      <c r="K42" s="19"/>
      <c r="L42" s="19"/>
      <c r="M42" s="19"/>
      <c r="N42" s="19"/>
      <c r="O42" s="19"/>
      <c r="P42" s="19"/>
      <c r="Q42" s="19"/>
    </row>
    <row r="43" spans="2:17" x14ac:dyDescent="0.25">
      <c r="B43" s="56"/>
      <c r="C43" s="17"/>
      <c r="D43" s="17"/>
      <c r="E43" s="17"/>
      <c r="F43" s="17"/>
      <c r="G43" s="17"/>
      <c r="H43" s="19"/>
      <c r="I43" s="19"/>
      <c r="J43" s="19"/>
      <c r="K43" s="19"/>
      <c r="L43" s="19"/>
      <c r="M43" s="19"/>
      <c r="N43" s="19"/>
      <c r="O43" s="19"/>
      <c r="P43" s="19"/>
      <c r="Q43" s="19"/>
    </row>
    <row r="44" spans="2:17" x14ac:dyDescent="0.25">
      <c r="B44" s="56"/>
      <c r="C44" s="17"/>
      <c r="D44" s="17"/>
      <c r="E44" s="17"/>
      <c r="F44" s="17"/>
      <c r="G44" s="17"/>
      <c r="H44" s="19"/>
      <c r="I44" s="19"/>
      <c r="J44" s="19"/>
      <c r="K44" s="19"/>
      <c r="L44" s="19"/>
      <c r="M44" s="19"/>
      <c r="N44" s="19"/>
      <c r="O44" s="19"/>
      <c r="P44" s="19"/>
      <c r="Q44" s="19"/>
    </row>
    <row r="45" spans="2:17" x14ac:dyDescent="0.25">
      <c r="B45" s="56"/>
      <c r="C45" s="17"/>
      <c r="D45" s="17"/>
      <c r="E45" s="17"/>
      <c r="F45" s="17"/>
      <c r="G45" s="17"/>
      <c r="H45" s="19"/>
      <c r="I45" s="19"/>
      <c r="J45" s="19"/>
      <c r="K45" s="19"/>
      <c r="L45" s="19"/>
      <c r="M45" s="19"/>
      <c r="N45" s="19"/>
      <c r="O45" s="19"/>
      <c r="P45" s="19"/>
      <c r="Q45" s="19"/>
    </row>
    <row r="46" spans="2:17" x14ac:dyDescent="0.25">
      <c r="B46" s="56" t="s">
        <v>160</v>
      </c>
      <c r="C46" s="17">
        <v>0</v>
      </c>
      <c r="D46" s="17">
        <v>0</v>
      </c>
      <c r="E46" s="17">
        <v>176.13</v>
      </c>
      <c r="F46" s="17">
        <v>293.55</v>
      </c>
      <c r="G46" s="17">
        <v>763.39</v>
      </c>
      <c r="H46" s="19">
        <f>H47*H41</f>
        <v>556.19956660647836</v>
      </c>
      <c r="I46" s="19">
        <f t="shared" ref="I46:Q46" si="7">I47*I41</f>
        <v>732.08238323102512</v>
      </c>
      <c r="J46" s="19">
        <f t="shared" si="7"/>
        <v>950.92996025668469</v>
      </c>
      <c r="K46" s="19">
        <f t="shared" si="7"/>
        <v>1223.2888804398456</v>
      </c>
      <c r="L46" s="19">
        <f t="shared" si="7"/>
        <v>1562.3079406976838</v>
      </c>
      <c r="M46" s="19">
        <f t="shared" si="7"/>
        <v>1984.3819760210804</v>
      </c>
      <c r="N46" s="19">
        <f t="shared" si="7"/>
        <v>2509.9552026881497</v>
      </c>
      <c r="O46" s="19">
        <f t="shared" si="7"/>
        <v>3164.5236340611427</v>
      </c>
      <c r="P46" s="19">
        <f t="shared" si="7"/>
        <v>3979.885933388286</v>
      </c>
      <c r="Q46" s="19">
        <f t="shared" si="7"/>
        <v>4995.7043132978242</v>
      </c>
    </row>
    <row r="47" spans="2:17" x14ac:dyDescent="0.25">
      <c r="B47" s="91"/>
      <c r="C47" s="17">
        <f t="shared" ref="C47:G47" si="8">C46/C41</f>
        <v>0</v>
      </c>
      <c r="D47" s="17">
        <f t="shared" si="8"/>
        <v>0</v>
      </c>
      <c r="E47" s="17">
        <f t="shared" si="8"/>
        <v>-0.61702574881766747</v>
      </c>
      <c r="F47" s="17">
        <f t="shared" si="8"/>
        <v>0.21558245083207236</v>
      </c>
      <c r="G47" s="17">
        <f t="shared" si="8"/>
        <v>0.28312082304160507</v>
      </c>
      <c r="H47" s="19">
        <f>G47</f>
        <v>0.28312082304160507</v>
      </c>
      <c r="I47" s="19">
        <f t="shared" ref="I47:Q47" si="9">H47</f>
        <v>0.28312082304160507</v>
      </c>
      <c r="J47" s="19">
        <f t="shared" si="9"/>
        <v>0.28312082304160507</v>
      </c>
      <c r="K47" s="19">
        <f t="shared" si="9"/>
        <v>0.28312082304160507</v>
      </c>
      <c r="L47" s="19">
        <f t="shared" si="9"/>
        <v>0.28312082304160507</v>
      </c>
      <c r="M47" s="19">
        <f t="shared" si="9"/>
        <v>0.28312082304160507</v>
      </c>
      <c r="N47" s="19">
        <f t="shared" si="9"/>
        <v>0.28312082304160507</v>
      </c>
      <c r="O47" s="19">
        <f t="shared" si="9"/>
        <v>0.28312082304160507</v>
      </c>
      <c r="P47" s="19">
        <f t="shared" si="9"/>
        <v>0.28312082304160507</v>
      </c>
      <c r="Q47" s="19">
        <f t="shared" si="9"/>
        <v>0.28312082304160507</v>
      </c>
    </row>
  </sheetData>
  <mergeCells count="2">
    <mergeCell ref="B8:B9"/>
    <mergeCell ref="B7:Q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D7937-0D7D-4D92-AE13-FDA4D0298923}">
  <dimension ref="B6:S85"/>
  <sheetViews>
    <sheetView showGridLines="0" topLeftCell="D73" workbookViewId="0">
      <selection activeCell="H17" sqref="H17"/>
    </sheetView>
  </sheetViews>
  <sheetFormatPr defaultRowHeight="15" x14ac:dyDescent="0.25"/>
  <cols>
    <col min="1" max="1" width="0.85546875" customWidth="1"/>
    <col min="2" max="2" width="57.85546875" customWidth="1"/>
    <col min="3" max="8" width="13.140625" bestFit="1" customWidth="1"/>
    <col min="9" max="12" width="14.28515625" bestFit="1" customWidth="1"/>
    <col min="13" max="13" width="14.42578125" bestFit="1" customWidth="1"/>
    <col min="14" max="14" width="14.28515625" bestFit="1" customWidth="1"/>
    <col min="15" max="17" width="14.5703125" bestFit="1" customWidth="1"/>
  </cols>
  <sheetData>
    <row r="6" spans="2:18" x14ac:dyDescent="0.25">
      <c r="Q6" t="s">
        <v>274</v>
      </c>
    </row>
    <row r="7" spans="2:18" ht="15.75" x14ac:dyDescent="0.25">
      <c r="B7" s="235" t="s">
        <v>272</v>
      </c>
      <c r="C7" s="235"/>
      <c r="D7" s="235"/>
      <c r="E7" s="235"/>
      <c r="F7" s="235"/>
      <c r="G7" s="235"/>
      <c r="H7" s="235"/>
      <c r="I7" s="235"/>
      <c r="J7" s="235"/>
      <c r="K7" s="235"/>
      <c r="L7" s="235"/>
      <c r="M7" s="235"/>
      <c r="N7" s="235"/>
      <c r="O7" s="235"/>
      <c r="P7" s="235"/>
      <c r="Q7" s="235"/>
      <c r="R7" s="87"/>
    </row>
    <row r="8" spans="2:18" x14ac:dyDescent="0.25">
      <c r="B8" s="240" t="s">
        <v>0</v>
      </c>
      <c r="C8" s="38">
        <v>2020</v>
      </c>
      <c r="D8" s="38">
        <v>2021</v>
      </c>
      <c r="E8" s="38">
        <v>2022</v>
      </c>
      <c r="F8" s="38">
        <v>2023</v>
      </c>
      <c r="G8" s="38">
        <v>2024</v>
      </c>
      <c r="H8" s="39">
        <f>G8+1</f>
        <v>2025</v>
      </c>
      <c r="I8" s="39">
        <f t="shared" ref="I8:Q8" si="0">H8+1</f>
        <v>2026</v>
      </c>
      <c r="J8" s="39">
        <f t="shared" si="0"/>
        <v>2027</v>
      </c>
      <c r="K8" s="39">
        <f t="shared" si="0"/>
        <v>2028</v>
      </c>
      <c r="L8" s="39">
        <f t="shared" si="0"/>
        <v>2029</v>
      </c>
      <c r="M8" s="39">
        <f t="shared" si="0"/>
        <v>2030</v>
      </c>
      <c r="N8" s="39">
        <f t="shared" si="0"/>
        <v>2031</v>
      </c>
      <c r="O8" s="39">
        <f t="shared" si="0"/>
        <v>2032</v>
      </c>
      <c r="P8" s="39">
        <f t="shared" si="0"/>
        <v>2033</v>
      </c>
      <c r="Q8" s="39">
        <f t="shared" si="0"/>
        <v>2034</v>
      </c>
    </row>
    <row r="9" spans="2:18" x14ac:dyDescent="0.25">
      <c r="B9" s="241"/>
      <c r="C9" s="41" t="s">
        <v>1</v>
      </c>
      <c r="D9" s="41" t="s">
        <v>1</v>
      </c>
      <c r="E9" s="41" t="s">
        <v>1</v>
      </c>
      <c r="F9" s="41" t="s">
        <v>1</v>
      </c>
      <c r="G9" s="41" t="s">
        <v>1</v>
      </c>
      <c r="H9" s="42" t="s">
        <v>315</v>
      </c>
      <c r="I9" s="42" t="s">
        <v>315</v>
      </c>
      <c r="J9" s="42" t="s">
        <v>315</v>
      </c>
      <c r="K9" s="42" t="s">
        <v>315</v>
      </c>
      <c r="L9" s="42" t="s">
        <v>315</v>
      </c>
      <c r="M9" s="42" t="s">
        <v>315</v>
      </c>
      <c r="N9" s="42" t="s">
        <v>315</v>
      </c>
      <c r="O9" s="42" t="s">
        <v>315</v>
      </c>
      <c r="P9" s="42" t="s">
        <v>315</v>
      </c>
      <c r="Q9" s="42" t="s">
        <v>315</v>
      </c>
    </row>
    <row r="10" spans="2:18" x14ac:dyDescent="0.25">
      <c r="B10" s="55" t="s">
        <v>20</v>
      </c>
      <c r="H10" s="60"/>
      <c r="I10" s="60"/>
      <c r="J10" s="60"/>
      <c r="K10" s="60"/>
      <c r="L10" s="60"/>
      <c r="M10" s="60"/>
      <c r="N10" s="60"/>
      <c r="O10" s="60"/>
      <c r="P10" s="60"/>
      <c r="Q10" s="60"/>
    </row>
    <row r="11" spans="2:18" x14ac:dyDescent="0.25">
      <c r="B11" s="55" t="s">
        <v>21</v>
      </c>
      <c r="H11" s="60"/>
      <c r="I11" s="60"/>
      <c r="J11" s="60"/>
      <c r="K11" s="60"/>
      <c r="L11" s="60"/>
      <c r="M11" s="60"/>
      <c r="N11" s="60"/>
      <c r="O11" s="60"/>
      <c r="P11" s="60"/>
      <c r="Q11" s="60"/>
    </row>
    <row r="12" spans="2:18" x14ac:dyDescent="0.25">
      <c r="B12" s="56" t="s">
        <v>22</v>
      </c>
      <c r="C12" s="17">
        <f>BS_Input!C13</f>
        <v>5314.21</v>
      </c>
      <c r="D12" s="17">
        <f>BS_Input!D13</f>
        <v>5630.26</v>
      </c>
      <c r="E12" s="17">
        <f>BS_Input!E13</f>
        <v>5317.15</v>
      </c>
      <c r="F12" s="17">
        <f>BS_Input!F13</f>
        <v>5363.61</v>
      </c>
      <c r="G12" s="17">
        <f>BS_Input!G13</f>
        <v>5471.9</v>
      </c>
      <c r="H12" s="61">
        <f>FAS!H189</f>
        <v>5594.5994500000024</v>
      </c>
      <c r="I12" s="61">
        <f>FAS!I189</f>
        <v>5717.912397250002</v>
      </c>
      <c r="J12" s="61">
        <f>FAS!J189</f>
        <v>5841.8419092362519</v>
      </c>
      <c r="K12" s="61">
        <f>FAS!K189</f>
        <v>5966.3910687824309</v>
      </c>
      <c r="L12" s="61">
        <f>FAS!L189</f>
        <v>6091.5629741263447</v>
      </c>
      <c r="M12" s="61">
        <f>FAS!M189</f>
        <v>6217.3607389969757</v>
      </c>
      <c r="N12" s="61">
        <f>FAS!N189</f>
        <v>6343.7874926919603</v>
      </c>
      <c r="O12" s="61">
        <f>FAS!O189</f>
        <v>6470.8463801554199</v>
      </c>
      <c r="P12" s="61">
        <f>FAS!P189</f>
        <v>6598.540562056196</v>
      </c>
      <c r="Q12" s="61">
        <f>FAS!Q189</f>
        <v>6726.8732148664767</v>
      </c>
    </row>
    <row r="13" spans="2:18" x14ac:dyDescent="0.25">
      <c r="B13" s="56" t="s">
        <v>23</v>
      </c>
      <c r="C13" s="17">
        <f>BS_Input!C14</f>
        <v>442.12</v>
      </c>
      <c r="D13" s="17">
        <f>BS_Input!D14</f>
        <v>233.27</v>
      </c>
      <c r="E13" s="17">
        <f>BS_Input!E14</f>
        <v>139.38</v>
      </c>
      <c r="F13" s="17">
        <f>BS_Input!F14</f>
        <v>139.15</v>
      </c>
      <c r="G13" s="17">
        <f>BS_Input!G14</f>
        <v>170.18</v>
      </c>
      <c r="H13" s="61">
        <f>FAS!H315</f>
        <v>201.36515</v>
      </c>
      <c r="I13" s="61">
        <f>FAS!I315</f>
        <v>232.70622574999999</v>
      </c>
      <c r="J13" s="61">
        <f>FAS!J315</f>
        <v>264.20400687874996</v>
      </c>
      <c r="K13" s="61">
        <f>FAS!K315</f>
        <v>295.85927691314373</v>
      </c>
      <c r="L13" s="61">
        <f>FAS!L315</f>
        <v>327.67282329770944</v>
      </c>
      <c r="M13" s="61">
        <f>FAS!M315</f>
        <v>359.645437414198</v>
      </c>
      <c r="N13" s="61">
        <f>FAS!N315</f>
        <v>391.77791460126895</v>
      </c>
      <c r="O13" s="61">
        <f>FAS!O315</f>
        <v>424.07105417427528</v>
      </c>
      <c r="P13" s="61">
        <f>FAS!P315</f>
        <v>456.52565944514663</v>
      </c>
      <c r="Q13" s="61">
        <f>FAS!Q315</f>
        <v>489.14253774237233</v>
      </c>
    </row>
    <row r="14" spans="2:18" x14ac:dyDescent="0.25">
      <c r="B14" s="56" t="s">
        <v>24</v>
      </c>
      <c r="C14" s="17">
        <f>BS_Input!C15</f>
        <v>521.45000000000005</v>
      </c>
      <c r="D14" s="17">
        <f>BS_Input!D15</f>
        <v>417.16</v>
      </c>
      <c r="E14" s="17">
        <f>BS_Input!E15</f>
        <v>427.29</v>
      </c>
      <c r="F14" s="17">
        <f>BS_Input!F15</f>
        <v>399.34</v>
      </c>
      <c r="G14" s="17">
        <f>BS_Input!G15</f>
        <v>395.27</v>
      </c>
      <c r="H14" s="61">
        <f>FAS!H305</f>
        <v>391.17965000000004</v>
      </c>
      <c r="I14" s="61">
        <f>FAS!I305</f>
        <v>387.06884824999997</v>
      </c>
      <c r="J14" s="61">
        <f>FAS!J305</f>
        <v>382.93749249124988</v>
      </c>
      <c r="K14" s="61">
        <f>FAS!K305</f>
        <v>378.7854799537061</v>
      </c>
      <c r="L14" s="61">
        <f>FAS!L305</f>
        <v>374.61270735347455</v>
      </c>
      <c r="M14" s="61">
        <f>FAS!M305</f>
        <v>370.41907089024187</v>
      </c>
      <c r="N14" s="61">
        <f>FAS!N305</f>
        <v>366.20446624469309</v>
      </c>
      <c r="O14" s="61">
        <f>FAS!O305</f>
        <v>361.96878857591662</v>
      </c>
      <c r="P14" s="61">
        <f>FAS!P305</f>
        <v>357.71193251879629</v>
      </c>
      <c r="Q14" s="61">
        <f>FAS!Q305</f>
        <v>353.43379218139012</v>
      </c>
    </row>
    <row r="15" spans="2:18" x14ac:dyDescent="0.25">
      <c r="B15" s="56" t="s">
        <v>25</v>
      </c>
      <c r="C15" s="17">
        <f>BS_Input!C16</f>
        <v>1115.56</v>
      </c>
      <c r="D15" s="17">
        <f>BS_Input!D16</f>
        <v>1240.77</v>
      </c>
      <c r="E15" s="17">
        <f>BS_Input!E16</f>
        <v>1031.83</v>
      </c>
      <c r="F15" s="17">
        <f>BS_Input!F16</f>
        <v>1175.1099999999999</v>
      </c>
      <c r="G15" s="17">
        <f>BS_Input!G16</f>
        <v>1196.98</v>
      </c>
      <c r="H15" s="61">
        <f>G15</f>
        <v>1196.98</v>
      </c>
      <c r="I15" s="61">
        <f t="shared" ref="I15:Q15" si="1">H15</f>
        <v>1196.98</v>
      </c>
      <c r="J15" s="61">
        <f t="shared" si="1"/>
        <v>1196.98</v>
      </c>
      <c r="K15" s="61">
        <f t="shared" si="1"/>
        <v>1196.98</v>
      </c>
      <c r="L15" s="61">
        <f t="shared" si="1"/>
        <v>1196.98</v>
      </c>
      <c r="M15" s="61">
        <f t="shared" si="1"/>
        <v>1196.98</v>
      </c>
      <c r="N15" s="61">
        <f t="shared" si="1"/>
        <v>1196.98</v>
      </c>
      <c r="O15" s="61">
        <f t="shared" si="1"/>
        <v>1196.98</v>
      </c>
      <c r="P15" s="61">
        <f t="shared" si="1"/>
        <v>1196.98</v>
      </c>
      <c r="Q15" s="61">
        <f t="shared" si="1"/>
        <v>1196.98</v>
      </c>
    </row>
    <row r="16" spans="2:18" x14ac:dyDescent="0.25">
      <c r="B16" s="56" t="s">
        <v>26</v>
      </c>
      <c r="C16" s="17">
        <f>BS_Input!C17</f>
        <v>1079.71</v>
      </c>
      <c r="D16" s="17">
        <f>BS_Input!D17</f>
        <v>1196.03</v>
      </c>
      <c r="E16" s="17">
        <f>BS_Input!E17</f>
        <v>1118.31</v>
      </c>
      <c r="F16" s="17">
        <f>BS_Input!F17</f>
        <v>1190.77</v>
      </c>
      <c r="G16" s="17">
        <f>BS_Input!G17</f>
        <v>1092.3599999999999</v>
      </c>
      <c r="H16" s="61">
        <f>FAS!H287</f>
        <v>993.45794999999998</v>
      </c>
      <c r="I16" s="61">
        <f>FAS!I287</f>
        <v>894.06138975000033</v>
      </c>
      <c r="J16" s="61">
        <f>FAS!J287</f>
        <v>794.16784669875062</v>
      </c>
      <c r="K16" s="61">
        <f>FAS!K287</f>
        <v>693.7748359322444</v>
      </c>
      <c r="L16" s="61">
        <f>FAS!L287</f>
        <v>592.87986011190571</v>
      </c>
      <c r="M16" s="61">
        <f>FAS!M287</f>
        <v>491.48040941246529</v>
      </c>
      <c r="N16" s="61">
        <f>FAS!N287</f>
        <v>389.57396145952765</v>
      </c>
      <c r="O16" s="61">
        <f>FAS!O287</f>
        <v>287.15798126682546</v>
      </c>
      <c r="P16" s="61">
        <f>FAS!P287</f>
        <v>184.22992117316016</v>
      </c>
      <c r="Q16" s="61">
        <f>FAS!Q287</f>
        <v>80.78722077902556</v>
      </c>
    </row>
    <row r="17" spans="2:19" x14ac:dyDescent="0.25">
      <c r="B17" s="56" t="s">
        <v>27</v>
      </c>
      <c r="C17" s="17">
        <f>BS_Input!C18</f>
        <v>131.77000000000001</v>
      </c>
      <c r="D17" s="17">
        <f>BS_Input!D18</f>
        <v>102.27</v>
      </c>
      <c r="E17" s="17">
        <f>BS_Input!E18</f>
        <v>100.63</v>
      </c>
      <c r="F17" s="17">
        <f>BS_Input!F18</f>
        <v>128.97</v>
      </c>
      <c r="G17" s="17">
        <f>BS_Input!G18</f>
        <v>244.64</v>
      </c>
      <c r="H17" s="61">
        <f>G17</f>
        <v>244.64</v>
      </c>
      <c r="I17" s="61">
        <f t="shared" ref="I17:Q17" si="2">H17</f>
        <v>244.64</v>
      </c>
      <c r="J17" s="61">
        <f t="shared" si="2"/>
        <v>244.64</v>
      </c>
      <c r="K17" s="61">
        <f t="shared" si="2"/>
        <v>244.64</v>
      </c>
      <c r="L17" s="61">
        <f t="shared" si="2"/>
        <v>244.64</v>
      </c>
      <c r="M17" s="61">
        <f t="shared" si="2"/>
        <v>244.64</v>
      </c>
      <c r="N17" s="61">
        <f t="shared" si="2"/>
        <v>244.64</v>
      </c>
      <c r="O17" s="61">
        <f t="shared" si="2"/>
        <v>244.64</v>
      </c>
      <c r="P17" s="61">
        <f t="shared" si="2"/>
        <v>244.64</v>
      </c>
      <c r="Q17" s="61">
        <f t="shared" si="2"/>
        <v>244.64</v>
      </c>
    </row>
    <row r="18" spans="2:19" x14ac:dyDescent="0.25">
      <c r="B18" s="56" t="s">
        <v>28</v>
      </c>
      <c r="C18" s="17">
        <f>BS_Item!C15</f>
        <v>105.01</v>
      </c>
      <c r="D18" s="17">
        <f>BS_Item!D15</f>
        <v>41.28</v>
      </c>
      <c r="E18" s="17">
        <f>BS_Item!E15</f>
        <v>46.6</v>
      </c>
      <c r="F18" s="17">
        <f>BS_Item!F15</f>
        <v>55.27</v>
      </c>
      <c r="G18" s="17">
        <f>BS_Item!G15</f>
        <v>129.12</v>
      </c>
      <c r="H18" s="61">
        <f>BS_Item!H15</f>
        <v>145.32144499292775</v>
      </c>
      <c r="I18" s="61">
        <f>BS_Item!I15</f>
        <v>179.9041473377585</v>
      </c>
      <c r="J18" s="61">
        <f>BS_Item!J15</f>
        <v>222.87859123595717</v>
      </c>
      <c r="K18" s="61">
        <f>BS_Item!K15</f>
        <v>276.3027901880385</v>
      </c>
      <c r="L18" s="61">
        <f>BS_Item!L15</f>
        <v>342.74232101529003</v>
      </c>
      <c r="M18" s="61">
        <f>BS_Item!M15</f>
        <v>425.39587362231674</v>
      </c>
      <c r="N18" s="61">
        <f>BS_Item!N15</f>
        <v>528.25190437379115</v>
      </c>
      <c r="O18" s="61">
        <f>BS_Item!O15</f>
        <v>656.28410484700828</v>
      </c>
      <c r="P18" s="61">
        <f>BS_Item!P15</f>
        <v>815.69531055339064</v>
      </c>
      <c r="Q18" s="61">
        <f>BS_Item!Q15</f>
        <v>1014.2218616160382</v>
      </c>
    </row>
    <row r="19" spans="2:19" x14ac:dyDescent="0.25">
      <c r="B19" s="56" t="s">
        <v>29</v>
      </c>
      <c r="C19" s="17"/>
      <c r="D19" s="17"/>
      <c r="E19" s="17"/>
      <c r="F19" s="17"/>
      <c r="G19" s="17"/>
      <c r="H19" s="61"/>
      <c r="I19" s="61"/>
      <c r="J19" s="61"/>
      <c r="K19" s="61"/>
      <c r="L19" s="61"/>
      <c r="M19" s="61"/>
      <c r="N19" s="61"/>
      <c r="O19" s="61"/>
      <c r="P19" s="61"/>
      <c r="Q19" s="61"/>
    </row>
    <row r="20" spans="2:19" x14ac:dyDescent="0.25">
      <c r="B20" s="56" t="s">
        <v>157</v>
      </c>
      <c r="C20" s="17">
        <f>BS_Item!C17</f>
        <v>672.09</v>
      </c>
      <c r="D20" s="17">
        <f>BS_Item!D17</f>
        <v>809.83</v>
      </c>
      <c r="E20" s="17">
        <f>BS_Item!E17</f>
        <v>951.89</v>
      </c>
      <c r="F20" s="17">
        <f>BS_Item!F17</f>
        <v>1285.74</v>
      </c>
      <c r="G20" s="17">
        <f>BS_Item!G17</f>
        <v>1176.3</v>
      </c>
      <c r="H20" s="61">
        <f>BS_Item!H17</f>
        <v>1869.9751930505868</v>
      </c>
      <c r="I20" s="61">
        <f>BS_Item!I17</f>
        <v>2314.9803710312563</v>
      </c>
      <c r="J20" s="61">
        <f>BS_Item!J17</f>
        <v>2867.969257349353</v>
      </c>
      <c r="K20" s="61">
        <f>BS_Item!K17</f>
        <v>3555.4240700499363</v>
      </c>
      <c r="L20" s="61">
        <f>BS_Item!L17</f>
        <v>4410.35827808046</v>
      </c>
      <c r="M20" s="61">
        <f>BS_Item!M17</f>
        <v>5473.9321573531552</v>
      </c>
      <c r="N20" s="61">
        <f>BS_Item!N17</f>
        <v>6797.4685835858127</v>
      </c>
      <c r="O20" s="61">
        <f>BS_Item!O17</f>
        <v>8444.9682957463083</v>
      </c>
      <c r="P20" s="61">
        <f>BS_Item!P17</f>
        <v>10496.248477963918</v>
      </c>
      <c r="Q20" s="61">
        <f>BS_Item!Q17</f>
        <v>13050.859228408275</v>
      </c>
    </row>
    <row r="21" spans="2:19" x14ac:dyDescent="0.25">
      <c r="B21" s="56" t="s">
        <v>163</v>
      </c>
      <c r="C21" s="17">
        <f>BS_Input!C22</f>
        <v>0.57999999999999996</v>
      </c>
      <c r="D21" s="17">
        <f>BS_Input!D22</f>
        <v>0.31</v>
      </c>
      <c r="E21" s="17">
        <f>BS_Input!E22</f>
        <v>0.03</v>
      </c>
      <c r="F21" s="17">
        <f>BS_Input!F22</f>
        <v>2.84</v>
      </c>
      <c r="G21" s="17">
        <f>BS_Input!G22</f>
        <v>2.5499999999999998</v>
      </c>
      <c r="H21" s="61">
        <v>0</v>
      </c>
      <c r="I21" s="61">
        <v>0</v>
      </c>
      <c r="J21" s="61">
        <v>0</v>
      </c>
      <c r="K21" s="61">
        <v>0</v>
      </c>
      <c r="L21" s="61">
        <v>0</v>
      </c>
      <c r="M21" s="61">
        <v>0</v>
      </c>
      <c r="N21" s="61">
        <v>0</v>
      </c>
      <c r="O21" s="61">
        <v>0</v>
      </c>
      <c r="P21" s="61">
        <v>0</v>
      </c>
      <c r="Q21" s="61">
        <v>0</v>
      </c>
    </row>
    <row r="22" spans="2:19" x14ac:dyDescent="0.25">
      <c r="B22" s="56" t="s">
        <v>158</v>
      </c>
      <c r="C22" s="17">
        <f>BS_Item!C19</f>
        <v>12022.12</v>
      </c>
      <c r="D22" s="17">
        <f>BS_Item!D19</f>
        <v>15462.72</v>
      </c>
      <c r="E22" s="17">
        <f>BS_Item!E19</f>
        <v>14890.73</v>
      </c>
      <c r="F22" s="17">
        <f>BS_Item!F19</f>
        <v>19646.38</v>
      </c>
      <c r="G22" s="17">
        <f>BS_Item!G19</f>
        <v>27393.24</v>
      </c>
      <c r="H22" s="61">
        <f>BS_Item!H19</f>
        <v>33755.952127877979</v>
      </c>
      <c r="I22" s="61">
        <f>BS_Item!I19</f>
        <v>41788.985689177702</v>
      </c>
      <c r="J22" s="61">
        <f>BS_Item!J19</f>
        <v>51771.292643394743</v>
      </c>
      <c r="K22" s="61">
        <f>BS_Item!K19</f>
        <v>64180.918093956781</v>
      </c>
      <c r="L22" s="61">
        <f>BS_Item!L19</f>
        <v>79613.806351519321</v>
      </c>
      <c r="M22" s="61">
        <f>BS_Item!M19</f>
        <v>98812.964226240554</v>
      </c>
      <c r="N22" s="61">
        <f>BS_Item!N19</f>
        <v>122704.84921457991</v>
      </c>
      <c r="O22" s="61">
        <f>BS_Item!O19</f>
        <v>152444.77390505574</v>
      </c>
      <c r="P22" s="61">
        <f>BS_Item!P19</f>
        <v>189473.56224894969</v>
      </c>
      <c r="Q22" s="61">
        <f>BS_Item!Q19</f>
        <v>235588.2478970974</v>
      </c>
    </row>
    <row r="23" spans="2:19" x14ac:dyDescent="0.25">
      <c r="B23" s="56" t="s">
        <v>156</v>
      </c>
      <c r="C23" s="17">
        <f>BS_Item!C21</f>
        <v>567.28</v>
      </c>
      <c r="D23" s="17">
        <f>BS_Item!D21</f>
        <v>479.09</v>
      </c>
      <c r="E23" s="17">
        <f>BS_Item!E21</f>
        <v>397.57</v>
      </c>
      <c r="F23" s="17">
        <f>BS_Item!F21</f>
        <v>496.21</v>
      </c>
      <c r="G23" s="17">
        <f>BS_Item!G21</f>
        <v>518.38</v>
      </c>
      <c r="H23" s="61">
        <f>BS_Item!H21</f>
        <v>1006.5460963692618</v>
      </c>
      <c r="I23" s="61">
        <f>BS_Item!I21</f>
        <v>1246.0777363745171</v>
      </c>
      <c r="J23" s="61">
        <f>BS_Item!J21</f>
        <v>1543.7334523046527</v>
      </c>
      <c r="K23" s="61">
        <f>BS_Item!K21</f>
        <v>1913.7677504737169</v>
      </c>
      <c r="L23" s="61">
        <f>BS_Item!L21</f>
        <v>2373.9506945810353</v>
      </c>
      <c r="M23" s="61">
        <f>BS_Item!M21</f>
        <v>2946.4375063637217</v>
      </c>
      <c r="N23" s="61">
        <f>BS_Item!N21</f>
        <v>3658.853600533248</v>
      </c>
      <c r="O23" s="61">
        <f>BS_Item!O21</f>
        <v>4545.6484682979826</v>
      </c>
      <c r="P23" s="61">
        <f>BS_Item!P21</f>
        <v>5649.7850726999359</v>
      </c>
      <c r="Q23" s="61">
        <f>BS_Item!Q21</f>
        <v>7024.8479549021167</v>
      </c>
    </row>
    <row r="24" spans="2:19" x14ac:dyDescent="0.25">
      <c r="B24" s="56" t="s">
        <v>34</v>
      </c>
      <c r="C24" s="17">
        <f>BS_Item!C23</f>
        <v>7.71</v>
      </c>
      <c r="D24" s="17">
        <f>BS_Item!D23</f>
        <v>8.91</v>
      </c>
      <c r="E24" s="17">
        <f>BS_Item!E23</f>
        <v>27.13</v>
      </c>
      <c r="F24" s="17">
        <f>BS_Item!F23</f>
        <v>49.08</v>
      </c>
      <c r="G24" s="17">
        <f>BS_Item!G23</f>
        <v>65.349999999999994</v>
      </c>
      <c r="H24" s="61">
        <f>BS_Item!H23</f>
        <v>50.391281985239097</v>
      </c>
      <c r="I24" s="61">
        <f>BS_Item!I23</f>
        <v>62.383088877571915</v>
      </c>
      <c r="J24" s="61">
        <f>BS_Item!J23</f>
        <v>77.284793995755649</v>
      </c>
      <c r="K24" s="61">
        <f>BS_Item!K23</f>
        <v>95.810028687447996</v>
      </c>
      <c r="L24" s="61">
        <f>BS_Item!L23</f>
        <v>118.84842562222903</v>
      </c>
      <c r="M24" s="61">
        <f>BS_Item!M23</f>
        <v>147.50915409699181</v>
      </c>
      <c r="N24" s="61">
        <f>BS_Item!N23</f>
        <v>183.17524074877406</v>
      </c>
      <c r="O24" s="61">
        <f>BS_Item!O23</f>
        <v>227.57134978519693</v>
      </c>
      <c r="P24" s="61">
        <f>BS_Item!P23</f>
        <v>282.84836013111112</v>
      </c>
      <c r="Q24" s="61">
        <f>BS_Item!Q23</f>
        <v>351.68890473649748</v>
      </c>
    </row>
    <row r="25" spans="2:19" x14ac:dyDescent="0.25">
      <c r="B25" s="56" t="s">
        <v>35</v>
      </c>
      <c r="C25" s="17">
        <f>BS_Item!C25</f>
        <v>213.24</v>
      </c>
      <c r="D25" s="17">
        <f>BS_Item!D25</f>
        <v>175.22</v>
      </c>
      <c r="E25" s="17">
        <f>BS_Item!E25</f>
        <v>198.7</v>
      </c>
      <c r="F25" s="17">
        <f>BS_Item!F25</f>
        <v>222.1</v>
      </c>
      <c r="G25" s="17">
        <f>BS_Item!G25</f>
        <v>181.7</v>
      </c>
      <c r="H25" s="61">
        <f>BS_Item!H25</f>
        <v>403.20627092238868</v>
      </c>
      <c r="I25" s="61">
        <f>BS_Item!I25</f>
        <v>499.15881565215489</v>
      </c>
      <c r="J25" s="61">
        <f>BS_Item!J25</f>
        <v>618.39493575816789</v>
      </c>
      <c r="K25" s="61">
        <f>BS_Item!K25</f>
        <v>766.62475853162584</v>
      </c>
      <c r="L25" s="61">
        <f>BS_Item!L25</f>
        <v>950.96668733637227</v>
      </c>
      <c r="M25" s="61">
        <f>BS_Item!M25</f>
        <v>1180.2957497248492</v>
      </c>
      <c r="N25" s="61">
        <f>BS_Item!N25</f>
        <v>1465.6782450833202</v>
      </c>
      <c r="O25" s="61">
        <f>BS_Item!O25</f>
        <v>1820.9140887215797</v>
      </c>
      <c r="P25" s="61">
        <f>BS_Item!P25</f>
        <v>2263.2135566303955</v>
      </c>
      <c r="Q25" s="61">
        <f>BS_Item!Q25</f>
        <v>2814.041759150326</v>
      </c>
    </row>
    <row r="26" spans="2:19" x14ac:dyDescent="0.25">
      <c r="B26" s="56" t="s">
        <v>36</v>
      </c>
      <c r="C26" s="17">
        <f>BS_Item!C27</f>
        <v>624.52</v>
      </c>
      <c r="D26" s="17">
        <f>BS_Item!D27</f>
        <v>350.89</v>
      </c>
      <c r="E26" s="17">
        <f>BS_Item!E27</f>
        <v>339.29</v>
      </c>
      <c r="F26" s="17">
        <f>BS_Item!F27</f>
        <v>330.52</v>
      </c>
      <c r="G26" s="17">
        <f>BS_Item!G27</f>
        <v>495.95</v>
      </c>
      <c r="H26" s="61">
        <f>BS_Item!H27</f>
        <v>885.67732615705654</v>
      </c>
      <c r="I26" s="61">
        <f>BS_Item!I27</f>
        <v>1096.4453607409796</v>
      </c>
      <c r="J26" s="61">
        <f>BS_Item!J27</f>
        <v>1358.3577754344567</v>
      </c>
      <c r="K26" s="61">
        <f>BS_Item!K27</f>
        <v>1683.9573569846179</v>
      </c>
      <c r="L26" s="61">
        <f>BS_Item!L27</f>
        <v>2088.8802919105206</v>
      </c>
      <c r="M26" s="61">
        <f>BS_Item!M27</f>
        <v>2592.6213431637316</v>
      </c>
      <c r="N26" s="61">
        <f>BS_Item!N27</f>
        <v>3219.4885911430447</v>
      </c>
      <c r="O26" s="61">
        <f>BS_Item!O27</f>
        <v>3999.7947392317992</v>
      </c>
      <c r="P26" s="61">
        <f>BS_Item!P27</f>
        <v>4971.3436419857744</v>
      </c>
      <c r="Q26" s="61">
        <f>BS_Item!Q27</f>
        <v>6181.2852643313627</v>
      </c>
    </row>
    <row r="27" spans="2:19" x14ac:dyDescent="0.25">
      <c r="B27" s="56"/>
      <c r="C27" s="17"/>
      <c r="D27" s="17"/>
      <c r="E27" s="17"/>
      <c r="F27" s="17"/>
      <c r="G27" s="17"/>
      <c r="H27" s="61"/>
      <c r="I27" s="61"/>
      <c r="J27" s="61"/>
      <c r="K27" s="61"/>
      <c r="L27" s="61"/>
      <c r="M27" s="61"/>
      <c r="N27" s="61"/>
      <c r="O27" s="61"/>
      <c r="P27" s="61"/>
      <c r="Q27" s="61"/>
    </row>
    <row r="28" spans="2:19" x14ac:dyDescent="0.25">
      <c r="B28" s="55" t="s">
        <v>288</v>
      </c>
      <c r="C28" s="92">
        <f>SUM(C12:C26)</f>
        <v>22817.370000000003</v>
      </c>
      <c r="D28" s="92">
        <f t="shared" ref="D28:Q28" si="3">SUM(D12:D26)</f>
        <v>26148.010000000002</v>
      </c>
      <c r="E28" s="92">
        <f t="shared" si="3"/>
        <v>24986.530000000002</v>
      </c>
      <c r="F28" s="92">
        <f t="shared" si="3"/>
        <v>30485.09</v>
      </c>
      <c r="G28" s="92">
        <f t="shared" si="3"/>
        <v>38533.919999999991</v>
      </c>
      <c r="H28" s="93">
        <f t="shared" si="3"/>
        <v>46739.291941355441</v>
      </c>
      <c r="I28" s="93">
        <f t="shared" si="3"/>
        <v>55861.304070191938</v>
      </c>
      <c r="J28" s="93">
        <f t="shared" si="3"/>
        <v>67184.682704778097</v>
      </c>
      <c r="K28" s="93">
        <f t="shared" si="3"/>
        <v>81249.235510453698</v>
      </c>
      <c r="L28" s="93">
        <f t="shared" si="3"/>
        <v>98727.901414954657</v>
      </c>
      <c r="M28" s="93">
        <f t="shared" si="3"/>
        <v>120459.68166727919</v>
      </c>
      <c r="N28" s="93">
        <f t="shared" si="3"/>
        <v>147490.72921504534</v>
      </c>
      <c r="O28" s="93">
        <f t="shared" si="3"/>
        <v>181125.61915585806</v>
      </c>
      <c r="P28" s="93">
        <f t="shared" si="3"/>
        <v>222991.32474410752</v>
      </c>
      <c r="Q28" s="93">
        <f t="shared" si="3"/>
        <v>275117.0496358113</v>
      </c>
    </row>
    <row r="29" spans="2:19" x14ac:dyDescent="0.25">
      <c r="B29" s="56"/>
      <c r="C29" s="17"/>
      <c r="D29" s="17"/>
      <c r="E29" s="17"/>
      <c r="F29" s="17"/>
      <c r="G29" s="17"/>
      <c r="H29" s="61"/>
      <c r="I29" s="61"/>
      <c r="J29" s="61"/>
      <c r="K29" s="61"/>
      <c r="L29" s="61"/>
      <c r="M29" s="61"/>
      <c r="N29" s="61"/>
      <c r="O29" s="61"/>
      <c r="P29" s="61"/>
      <c r="Q29" s="61"/>
    </row>
    <row r="30" spans="2:19" x14ac:dyDescent="0.25">
      <c r="B30" s="55" t="s">
        <v>38</v>
      </c>
      <c r="C30" s="17"/>
      <c r="D30" s="17"/>
      <c r="E30" s="17"/>
      <c r="F30" s="17"/>
      <c r="G30" s="17"/>
      <c r="H30" s="61"/>
      <c r="I30" s="61"/>
      <c r="J30" s="61"/>
      <c r="K30" s="61"/>
      <c r="L30" s="61"/>
      <c r="M30" s="61"/>
      <c r="N30" s="61"/>
      <c r="O30" s="61"/>
      <c r="P30" s="61"/>
      <c r="Q30" s="61"/>
    </row>
    <row r="31" spans="2:19" x14ac:dyDescent="0.25">
      <c r="B31" s="56" t="s">
        <v>39</v>
      </c>
      <c r="C31" s="17">
        <f>BS_Input!C31</f>
        <v>1536.39</v>
      </c>
      <c r="D31" s="17">
        <f>BS_Input!D31</f>
        <v>2495.85</v>
      </c>
      <c r="E31" s="17">
        <f>BS_Input!E31</f>
        <v>2540.5500000000002</v>
      </c>
      <c r="F31" s="17">
        <f>BS_Input!F31</f>
        <v>3440.43</v>
      </c>
      <c r="G31" s="17">
        <f>BS_Input!G31</f>
        <v>4008.01</v>
      </c>
      <c r="H31" s="61">
        <f>Working_Capital!H12</f>
        <v>4716.7597480382856</v>
      </c>
      <c r="I31" s="61">
        <f>Working_Capital!I12</f>
        <v>5839.225179113686</v>
      </c>
      <c r="J31" s="61">
        <f>Working_Capital!J12</f>
        <v>7234.0649234006896</v>
      </c>
      <c r="K31" s="61">
        <f>Working_Capital!K12</f>
        <v>8968.0767975644085</v>
      </c>
      <c r="L31" s="61">
        <f>Working_Capital!L12</f>
        <v>11124.532816149827</v>
      </c>
      <c r="M31" s="61">
        <f>Working_Capital!M12</f>
        <v>13807.254213450558</v>
      </c>
      <c r="N31" s="61">
        <f>Working_Capital!N12</f>
        <v>17145.696008570008</v>
      </c>
      <c r="O31" s="61">
        <f>Working_Capital!O12</f>
        <v>21301.291417590535</v>
      </c>
      <c r="P31" s="61">
        <f>Working_Capital!P12</f>
        <v>26475.368502350513</v>
      </c>
      <c r="Q31" s="61">
        <f>Working_Capital!Q12</f>
        <v>32919.028933986978</v>
      </c>
      <c r="R31" s="3"/>
      <c r="S31" s="3"/>
    </row>
    <row r="32" spans="2:19" x14ac:dyDescent="0.25">
      <c r="B32" s="56" t="s">
        <v>29</v>
      </c>
      <c r="C32" s="17"/>
      <c r="D32" s="17"/>
      <c r="E32" s="17"/>
      <c r="F32" s="17"/>
      <c r="G32" s="17"/>
      <c r="H32" s="61"/>
      <c r="I32" s="61"/>
      <c r="J32" s="61"/>
      <c r="K32" s="61"/>
      <c r="L32" s="61"/>
      <c r="M32" s="61"/>
      <c r="N32" s="61"/>
      <c r="O32" s="61"/>
      <c r="P32" s="61"/>
      <c r="Q32" s="61"/>
    </row>
    <row r="33" spans="2:17" x14ac:dyDescent="0.25">
      <c r="B33" s="56" t="s">
        <v>157</v>
      </c>
      <c r="C33" s="17">
        <f>BS_Item!C32</f>
        <v>183.24</v>
      </c>
      <c r="D33" s="17">
        <f>BS_Item!D32</f>
        <v>244.52</v>
      </c>
      <c r="E33" s="17">
        <f>BS_Item!E32</f>
        <v>1653.63</v>
      </c>
      <c r="F33" s="17">
        <f>BS_Item!F32</f>
        <v>3511.34</v>
      </c>
      <c r="G33" s="17">
        <f>BS_Item!G32</f>
        <v>1023.19</v>
      </c>
      <c r="H33" s="61">
        <f>BS_Item!H32</f>
        <v>2158.6348647438781</v>
      </c>
      <c r="I33" s="61">
        <f>BS_Item!I32</f>
        <v>2672.3334933409478</v>
      </c>
      <c r="J33" s="61">
        <f>BS_Item!J32</f>
        <v>3310.6847903305015</v>
      </c>
      <c r="K33" s="61">
        <f>BS_Item!K32</f>
        <v>4104.2589148142515</v>
      </c>
      <c r="L33" s="61">
        <f>BS_Item!L32</f>
        <v>5091.1654766634711</v>
      </c>
      <c r="M33" s="61">
        <f>BS_Item!M32</f>
        <v>6318.9184787145668</v>
      </c>
      <c r="N33" s="61">
        <f>BS_Item!N32</f>
        <v>7846.7632784969137</v>
      </c>
      <c r="O33" s="61">
        <f>BS_Item!O32</f>
        <v>9748.580121598181</v>
      </c>
      <c r="P33" s="61">
        <f>BS_Item!P32</f>
        <v>12116.507212368588</v>
      </c>
      <c r="Q33" s="61">
        <f>BS_Item!Q32</f>
        <v>15065.461750510172</v>
      </c>
    </row>
    <row r="34" spans="2:17" x14ac:dyDescent="0.25">
      <c r="B34" s="56" t="s">
        <v>163</v>
      </c>
      <c r="C34" s="17">
        <f>BS_Input!C34</f>
        <v>1496.16</v>
      </c>
      <c r="D34" s="17">
        <f>BS_Input!D34</f>
        <v>3020.91</v>
      </c>
      <c r="E34" s="17">
        <f>BS_Input!E34</f>
        <v>3278.76</v>
      </c>
      <c r="F34" s="17">
        <f>BS_Input!F34</f>
        <v>4187.3599999999997</v>
      </c>
      <c r="G34" s="17">
        <f>BS_Input!G34</f>
        <v>3898.15</v>
      </c>
      <c r="H34" s="61">
        <f>Working_Capital!H11</f>
        <v>5363.1767282598494</v>
      </c>
      <c r="I34" s="61">
        <f>Working_Capital!I11</f>
        <v>6639.4724905622397</v>
      </c>
      <c r="J34" s="61">
        <f>Working_Capital!J11</f>
        <v>8225.4706027881693</v>
      </c>
      <c r="K34" s="61">
        <f>Working_Capital!K11</f>
        <v>10197.123310753404</v>
      </c>
      <c r="L34" s="61">
        <f>Working_Capital!L11</f>
        <v>12649.114794780824</v>
      </c>
      <c r="M34" s="61">
        <f>Working_Capital!M11</f>
        <v>15699.494660406164</v>
      </c>
      <c r="N34" s="61">
        <f>Working_Capital!N11</f>
        <v>19495.459326972294</v>
      </c>
      <c r="O34" s="61">
        <f>Working_Capital!O11</f>
        <v>24220.565921386315</v>
      </c>
      <c r="P34" s="61">
        <f>Working_Capital!P11</f>
        <v>30103.733878530704</v>
      </c>
      <c r="Q34" s="61">
        <f>Working_Capital!Q11</f>
        <v>37430.477558052327</v>
      </c>
    </row>
    <row r="35" spans="2:17" x14ac:dyDescent="0.25">
      <c r="B35" s="56" t="s">
        <v>164</v>
      </c>
      <c r="C35" s="17">
        <f>BS_Input!C35</f>
        <v>2188.2399999999998</v>
      </c>
      <c r="D35" s="17">
        <f>BS_Input!D35</f>
        <v>1481.04</v>
      </c>
      <c r="E35" s="17">
        <f>BS_Input!E35</f>
        <v>2030.96</v>
      </c>
      <c r="F35" s="17">
        <f>BS_Input!F35</f>
        <v>1908.58</v>
      </c>
      <c r="G35" s="17">
        <f>BS_Input!G35</f>
        <v>5217.32</v>
      </c>
      <c r="H35" s="61">
        <f t="shared" ref="H35:Q35" si="4">H81-H28-SUM(H31,H33,H34,H36,H37,H38,H39,H40,H41,H80)</f>
        <v>5595.3472123059182</v>
      </c>
      <c r="I35" s="61">
        <f t="shared" si="4"/>
        <v>7890.0738675978355</v>
      </c>
      <c r="J35" s="61">
        <f t="shared" si="4"/>
        <v>10858.115118392889</v>
      </c>
      <c r="K35" s="61">
        <f t="shared" si="4"/>
        <v>14664.254213956803</v>
      </c>
      <c r="L35" s="61">
        <f t="shared" si="4"/>
        <v>19513.791814881479</v>
      </c>
      <c r="M35" s="61">
        <f t="shared" si="4"/>
        <v>25662.552038268521</v>
      </c>
      <c r="N35" s="61">
        <f t="shared" si="4"/>
        <v>33429.365297093624</v>
      </c>
      <c r="O35" s="61">
        <f t="shared" si="4"/>
        <v>43211.641754819662</v>
      </c>
      <c r="P35" s="61">
        <f t="shared" si="4"/>
        <v>55504.801434303808</v>
      </c>
      <c r="Q35" s="61">
        <f t="shared" si="4"/>
        <v>70926.516997959174</v>
      </c>
    </row>
    <row r="36" spans="2:17" x14ac:dyDescent="0.25">
      <c r="B36" s="56" t="s">
        <v>316</v>
      </c>
      <c r="C36" s="17">
        <f>BS_Input!C36</f>
        <v>47.06</v>
      </c>
      <c r="D36" s="17">
        <f>BS_Input!D36</f>
        <v>297.49</v>
      </c>
      <c r="E36" s="17">
        <f>BS_Input!E36</f>
        <v>68.48</v>
      </c>
      <c r="F36" s="17">
        <f>BS_Input!F36</f>
        <v>278.14</v>
      </c>
      <c r="G36" s="17">
        <f>BS_Input!G36</f>
        <v>1862.73</v>
      </c>
      <c r="H36" s="61">
        <f>G36</f>
        <v>1862.73</v>
      </c>
      <c r="I36" s="61">
        <f t="shared" ref="I36:Q36" si="5">H36</f>
        <v>1862.73</v>
      </c>
      <c r="J36" s="61">
        <f t="shared" si="5"/>
        <v>1862.73</v>
      </c>
      <c r="K36" s="61">
        <f t="shared" si="5"/>
        <v>1862.73</v>
      </c>
      <c r="L36" s="61">
        <f t="shared" si="5"/>
        <v>1862.73</v>
      </c>
      <c r="M36" s="61">
        <f t="shared" si="5"/>
        <v>1862.73</v>
      </c>
      <c r="N36" s="61">
        <f t="shared" si="5"/>
        <v>1862.73</v>
      </c>
      <c r="O36" s="61">
        <f t="shared" si="5"/>
        <v>1862.73</v>
      </c>
      <c r="P36" s="61">
        <f t="shared" si="5"/>
        <v>1862.73</v>
      </c>
      <c r="Q36" s="61">
        <f t="shared" si="5"/>
        <v>1862.73</v>
      </c>
    </row>
    <row r="37" spans="2:17" x14ac:dyDescent="0.25">
      <c r="B37" s="56" t="s">
        <v>158</v>
      </c>
      <c r="C37" s="17">
        <f>BS_Item!C34</f>
        <v>7888.95</v>
      </c>
      <c r="D37" s="17">
        <f>BS_Item!D34</f>
        <v>6258.96</v>
      </c>
      <c r="E37" s="17">
        <f>BS_Item!E34</f>
        <v>6818.03</v>
      </c>
      <c r="F37" s="17">
        <f>BS_Item!F34</f>
        <v>8681.43</v>
      </c>
      <c r="G37" s="17">
        <f>BS_Item!G34</f>
        <v>10945.97</v>
      </c>
      <c r="H37" s="61">
        <f>BS_Item!H34</f>
        <v>15727.941830054522</v>
      </c>
      <c r="I37" s="61">
        <f>BS_Item!I34</f>
        <v>19470.780547575247</v>
      </c>
      <c r="J37" s="61">
        <f>BS_Item!J34</f>
        <v>24121.846010368463</v>
      </c>
      <c r="K37" s="61">
        <f>BS_Item!K34</f>
        <v>29903.874213270567</v>
      </c>
      <c r="L37" s="61">
        <f>BS_Item!L34</f>
        <v>37094.534037207632</v>
      </c>
      <c r="M37" s="61">
        <f>BS_Item!M34</f>
        <v>46040.015328794929</v>
      </c>
      <c r="N37" s="61">
        <f>BS_Item!N34</f>
        <v>57171.983281688714</v>
      </c>
      <c r="O37" s="61">
        <f>BS_Item!O34</f>
        <v>71028.733753132459</v>
      </c>
      <c r="P37" s="61">
        <f>BS_Item!P34</f>
        <v>88281.59117228938</v>
      </c>
      <c r="Q37" s="61">
        <f>BS_Item!Q34</f>
        <v>109767.84908134489</v>
      </c>
    </row>
    <row r="38" spans="2:17" x14ac:dyDescent="0.25">
      <c r="B38" s="56" t="s">
        <v>156</v>
      </c>
      <c r="C38" s="17">
        <f>BS_Item!C36</f>
        <v>1123.33</v>
      </c>
      <c r="D38" s="17">
        <f>BS_Item!D36</f>
        <v>1092.96</v>
      </c>
      <c r="E38" s="17">
        <f>BS_Item!E36</f>
        <v>922.45</v>
      </c>
      <c r="F38" s="17">
        <f>BS_Item!F36</f>
        <v>782.14</v>
      </c>
      <c r="G38" s="17">
        <f>BS_Item!G36</f>
        <v>789.83</v>
      </c>
      <c r="H38" s="61">
        <f>BS_Item!H36</f>
        <v>2022.4972380127399</v>
      </c>
      <c r="I38" s="61">
        <f>BS_Item!I36</f>
        <v>2503.7986727654757</v>
      </c>
      <c r="J38" s="61">
        <f>BS_Item!J36</f>
        <v>3101.891363720139</v>
      </c>
      <c r="K38" s="61">
        <f>BS_Item!K36</f>
        <v>3845.4175158918715</v>
      </c>
      <c r="L38" s="61">
        <f>BS_Item!L36</f>
        <v>4770.0832980103878</v>
      </c>
      <c r="M38" s="61">
        <f>BS_Item!M36</f>
        <v>5920.4061692685673</v>
      </c>
      <c r="N38" s="61">
        <f>BS_Item!N36</f>
        <v>7351.8950876311274</v>
      </c>
      <c r="O38" s="61">
        <f>BS_Item!O36</f>
        <v>9133.7709274039644</v>
      </c>
      <c r="P38" s="61">
        <f>BS_Item!P36</f>
        <v>11352.361055413834</v>
      </c>
      <c r="Q38" s="61">
        <f>BS_Item!Q36</f>
        <v>14115.335241473851</v>
      </c>
    </row>
    <row r="39" spans="2:17" x14ac:dyDescent="0.25">
      <c r="B39" s="56" t="s">
        <v>76</v>
      </c>
      <c r="C39" s="17">
        <f>BS_Input!C39</f>
        <v>0</v>
      </c>
      <c r="D39" s="17">
        <f>BS_Input!D39</f>
        <v>0</v>
      </c>
      <c r="E39" s="17">
        <f>BS_Input!E39</f>
        <v>0</v>
      </c>
      <c r="F39" s="17">
        <f>BS_Input!F39</f>
        <v>1.84</v>
      </c>
      <c r="G39" s="17">
        <f>BS_Input!G39</f>
        <v>3.85</v>
      </c>
      <c r="H39" s="61">
        <f>G39</f>
        <v>3.85</v>
      </c>
      <c r="I39" s="61">
        <f t="shared" ref="I39:Q39" si="6">H39</f>
        <v>3.85</v>
      </c>
      <c r="J39" s="61">
        <f t="shared" si="6"/>
        <v>3.85</v>
      </c>
      <c r="K39" s="61">
        <f t="shared" si="6"/>
        <v>3.85</v>
      </c>
      <c r="L39" s="61">
        <f t="shared" si="6"/>
        <v>3.85</v>
      </c>
      <c r="M39" s="61">
        <f t="shared" si="6"/>
        <v>3.85</v>
      </c>
      <c r="N39" s="61">
        <f t="shared" si="6"/>
        <v>3.85</v>
      </c>
      <c r="O39" s="61">
        <f t="shared" si="6"/>
        <v>3.85</v>
      </c>
      <c r="P39" s="61">
        <f t="shared" si="6"/>
        <v>3.85</v>
      </c>
      <c r="Q39" s="61">
        <f t="shared" si="6"/>
        <v>3.85</v>
      </c>
    </row>
    <row r="40" spans="2:17" x14ac:dyDescent="0.25">
      <c r="B40" s="56" t="s">
        <v>44</v>
      </c>
      <c r="C40" s="17">
        <f>BS_Input!C40</f>
        <v>10.71</v>
      </c>
      <c r="D40" s="17">
        <f>BS_Input!D40</f>
        <v>19.72</v>
      </c>
      <c r="E40" s="17">
        <f>BS_Input!E40</f>
        <v>21.84</v>
      </c>
      <c r="F40" s="17">
        <f>BS_Input!F40</f>
        <v>32.840000000000003</v>
      </c>
      <c r="G40" s="17">
        <f>BS_Input!G40</f>
        <v>47.09</v>
      </c>
      <c r="H40" s="61">
        <f>G40</f>
        <v>47.09</v>
      </c>
      <c r="I40" s="61">
        <f t="shared" ref="I40:Q40" si="7">H40</f>
        <v>47.09</v>
      </c>
      <c r="J40" s="61">
        <f t="shared" si="7"/>
        <v>47.09</v>
      </c>
      <c r="K40" s="61">
        <f t="shared" si="7"/>
        <v>47.09</v>
      </c>
      <c r="L40" s="61">
        <f t="shared" si="7"/>
        <v>47.09</v>
      </c>
      <c r="M40" s="61">
        <f t="shared" si="7"/>
        <v>47.09</v>
      </c>
      <c r="N40" s="61">
        <f t="shared" si="7"/>
        <v>47.09</v>
      </c>
      <c r="O40" s="61">
        <f t="shared" si="7"/>
        <v>47.09</v>
      </c>
      <c r="P40" s="61">
        <f t="shared" si="7"/>
        <v>47.09</v>
      </c>
      <c r="Q40" s="61">
        <f t="shared" si="7"/>
        <v>47.09</v>
      </c>
    </row>
    <row r="41" spans="2:17" x14ac:dyDescent="0.25">
      <c r="B41" s="56" t="s">
        <v>45</v>
      </c>
      <c r="C41" s="17">
        <f>BS_Item!C40</f>
        <v>835.41</v>
      </c>
      <c r="D41" s="17">
        <f>BS_Item!D40</f>
        <v>1007.41</v>
      </c>
      <c r="E41" s="17">
        <f>BS_Item!E40</f>
        <v>1215.92</v>
      </c>
      <c r="F41" s="17">
        <f>BS_Item!F40</f>
        <v>1347.42</v>
      </c>
      <c r="G41" s="17">
        <f>BS_Item!G40</f>
        <v>1190.97</v>
      </c>
      <c r="H41" s="61">
        <f>BS_Item!H40</f>
        <v>2203.7147898001094</v>
      </c>
      <c r="I41" s="61">
        <f>BS_Item!I40</f>
        <v>2728.1412612838417</v>
      </c>
      <c r="J41" s="61">
        <f>BS_Item!J40</f>
        <v>3379.8235894254617</v>
      </c>
      <c r="K41" s="61">
        <f>BS_Item!K40</f>
        <v>4189.9703462902498</v>
      </c>
      <c r="L41" s="61">
        <f>BS_Item!L40</f>
        <v>5197.4870050911577</v>
      </c>
      <c r="M41" s="61">
        <f>BS_Item!M40</f>
        <v>6450.8798289685319</v>
      </c>
      <c r="N41" s="61">
        <f>BS_Item!N40</f>
        <v>8010.6314279028102</v>
      </c>
      <c r="O41" s="61">
        <f>BS_Item!O40</f>
        <v>9952.1649281182272</v>
      </c>
      <c r="P41" s="61">
        <f>BS_Item!P40</f>
        <v>12369.542705308089</v>
      </c>
      <c r="Q41" s="61">
        <f>BS_Item!Q40</f>
        <v>15380.081836446334</v>
      </c>
    </row>
    <row r="42" spans="2:17" x14ac:dyDescent="0.25">
      <c r="B42" s="56"/>
      <c r="C42" s="17"/>
      <c r="D42" s="17"/>
      <c r="E42" s="17"/>
      <c r="F42" s="17"/>
      <c r="G42" s="17"/>
      <c r="H42" s="61"/>
      <c r="I42" s="61"/>
      <c r="J42" s="61"/>
      <c r="K42" s="61"/>
      <c r="L42" s="61"/>
      <c r="M42" s="61"/>
      <c r="N42" s="61"/>
      <c r="O42" s="61"/>
      <c r="P42" s="61"/>
      <c r="Q42" s="61"/>
    </row>
    <row r="43" spans="2:17" x14ac:dyDescent="0.25">
      <c r="B43" s="55" t="s">
        <v>46</v>
      </c>
      <c r="C43" s="92">
        <f>SUM(C31:C41)</f>
        <v>15309.49</v>
      </c>
      <c r="D43" s="92">
        <f t="shared" ref="D43:Q43" si="8">SUM(D31:D41)</f>
        <v>15918.859999999999</v>
      </c>
      <c r="E43" s="92">
        <f t="shared" si="8"/>
        <v>18550.620000000003</v>
      </c>
      <c r="F43" s="92">
        <f t="shared" si="8"/>
        <v>24171.519999999997</v>
      </c>
      <c r="G43" s="92">
        <f t="shared" si="8"/>
        <v>28987.11</v>
      </c>
      <c r="H43" s="93">
        <f t="shared" si="8"/>
        <v>39701.742411215295</v>
      </c>
      <c r="I43" s="93">
        <f t="shared" si="8"/>
        <v>49657.495512239271</v>
      </c>
      <c r="J43" s="93">
        <f t="shared" si="8"/>
        <v>62145.566398426308</v>
      </c>
      <c r="K43" s="93">
        <f t="shared" si="8"/>
        <v>77786.645312541557</v>
      </c>
      <c r="L43" s="93">
        <f t="shared" si="8"/>
        <v>97354.37924278478</v>
      </c>
      <c r="M43" s="93">
        <f t="shared" si="8"/>
        <v>121813.19071787184</v>
      </c>
      <c r="N43" s="93">
        <f t="shared" si="8"/>
        <v>152365.4637083555</v>
      </c>
      <c r="O43" s="93">
        <f t="shared" si="8"/>
        <v>190510.41882404935</v>
      </c>
      <c r="P43" s="93">
        <f t="shared" si="8"/>
        <v>238117.57596056492</v>
      </c>
      <c r="Q43" s="93">
        <f t="shared" si="8"/>
        <v>297518.4213997738</v>
      </c>
    </row>
    <row r="44" spans="2:17" x14ac:dyDescent="0.25">
      <c r="B44" s="56" t="s">
        <v>74</v>
      </c>
      <c r="C44" s="17">
        <f>BS_Input!C44</f>
        <v>0</v>
      </c>
      <c r="D44" s="17">
        <f>BS_Input!D44</f>
        <v>0</v>
      </c>
      <c r="E44" s="17">
        <f>BS_Input!E44</f>
        <v>63.63</v>
      </c>
      <c r="F44" s="17">
        <f>BS_Input!F44</f>
        <v>71.92</v>
      </c>
      <c r="G44" s="17">
        <f>BS_Input!G44</f>
        <v>139.43</v>
      </c>
      <c r="H44" s="61">
        <v>0</v>
      </c>
      <c r="I44" s="61">
        <v>0</v>
      </c>
      <c r="J44" s="61">
        <v>0</v>
      </c>
      <c r="K44" s="61">
        <v>0</v>
      </c>
      <c r="L44" s="61">
        <v>0</v>
      </c>
      <c r="M44" s="61">
        <v>0</v>
      </c>
      <c r="N44" s="61">
        <v>0</v>
      </c>
      <c r="O44" s="61">
        <v>0</v>
      </c>
      <c r="P44" s="61">
        <v>0</v>
      </c>
      <c r="Q44" s="61">
        <v>0</v>
      </c>
    </row>
    <row r="45" spans="2:17" x14ac:dyDescent="0.25">
      <c r="B45" s="95" t="s">
        <v>47</v>
      </c>
      <c r="C45" s="93">
        <f>SUM(C28,C43:C44)</f>
        <v>38126.86</v>
      </c>
      <c r="D45" s="93">
        <f t="shared" ref="D45:Q45" si="9">SUM(D28,D43:D44)</f>
        <v>42066.87</v>
      </c>
      <c r="E45" s="93">
        <f t="shared" si="9"/>
        <v>43600.780000000006</v>
      </c>
      <c r="F45" s="93">
        <f t="shared" si="9"/>
        <v>54728.53</v>
      </c>
      <c r="G45" s="93">
        <f t="shared" si="9"/>
        <v>67660.459999999992</v>
      </c>
      <c r="H45" s="93">
        <f t="shared" si="9"/>
        <v>86441.034352570743</v>
      </c>
      <c r="I45" s="93">
        <f t="shared" si="9"/>
        <v>105518.79958243121</v>
      </c>
      <c r="J45" s="93">
        <f t="shared" si="9"/>
        <v>129330.24910320441</v>
      </c>
      <c r="K45" s="93">
        <f t="shared" si="9"/>
        <v>159035.88082299527</v>
      </c>
      <c r="L45" s="93">
        <f t="shared" si="9"/>
        <v>196082.28065773944</v>
      </c>
      <c r="M45" s="93">
        <f t="shared" si="9"/>
        <v>242272.87238515104</v>
      </c>
      <c r="N45" s="93">
        <f t="shared" si="9"/>
        <v>299856.19292340084</v>
      </c>
      <c r="O45" s="93">
        <f t="shared" si="9"/>
        <v>371636.03797990741</v>
      </c>
      <c r="P45" s="93">
        <f t="shared" si="9"/>
        <v>461108.90070467244</v>
      </c>
      <c r="Q45" s="93">
        <f t="shared" si="9"/>
        <v>572635.47103558504</v>
      </c>
    </row>
    <row r="46" spans="2:17" x14ac:dyDescent="0.25">
      <c r="B46" s="56"/>
      <c r="C46" s="17"/>
      <c r="D46" s="17"/>
      <c r="E46" s="17"/>
      <c r="F46" s="17"/>
      <c r="G46" s="17"/>
      <c r="H46" s="61"/>
      <c r="I46" s="61"/>
      <c r="J46" s="61"/>
      <c r="K46" s="61"/>
      <c r="L46" s="61"/>
      <c r="M46" s="61"/>
      <c r="N46" s="61"/>
      <c r="O46" s="61"/>
      <c r="P46" s="61"/>
      <c r="Q46" s="61"/>
    </row>
    <row r="47" spans="2:17" x14ac:dyDescent="0.25">
      <c r="B47" s="55" t="s">
        <v>48</v>
      </c>
      <c r="C47" s="17"/>
      <c r="D47" s="17"/>
      <c r="E47" s="17"/>
      <c r="F47" s="17"/>
      <c r="G47" s="17"/>
      <c r="H47" s="61"/>
      <c r="I47" s="61"/>
      <c r="J47" s="61"/>
      <c r="K47" s="61"/>
      <c r="L47" s="61"/>
      <c r="M47" s="61"/>
      <c r="N47" s="61"/>
      <c r="O47" s="61"/>
      <c r="P47" s="61"/>
      <c r="Q47" s="61"/>
    </row>
    <row r="48" spans="2:17" x14ac:dyDescent="0.25">
      <c r="B48" s="56"/>
      <c r="C48" s="17"/>
      <c r="D48" s="17"/>
      <c r="E48" s="17"/>
      <c r="F48" s="17"/>
      <c r="G48" s="17"/>
      <c r="H48" s="61"/>
      <c r="I48" s="61"/>
      <c r="J48" s="61"/>
      <c r="K48" s="61"/>
      <c r="L48" s="61"/>
      <c r="M48" s="61"/>
      <c r="N48" s="61"/>
      <c r="O48" s="61"/>
      <c r="P48" s="61"/>
      <c r="Q48" s="61"/>
    </row>
    <row r="49" spans="2:17" x14ac:dyDescent="0.25">
      <c r="B49" s="55" t="s">
        <v>49</v>
      </c>
      <c r="C49" s="17"/>
      <c r="D49" s="17"/>
      <c r="E49" s="17"/>
      <c r="F49" s="17"/>
      <c r="G49" s="17"/>
      <c r="H49" s="61"/>
      <c r="I49" s="61"/>
      <c r="J49" s="61"/>
      <c r="K49" s="61"/>
      <c r="L49" s="61"/>
      <c r="M49" s="61"/>
      <c r="N49" s="61"/>
      <c r="O49" s="61"/>
      <c r="P49" s="61"/>
      <c r="Q49" s="61"/>
    </row>
    <row r="50" spans="2:17" x14ac:dyDescent="0.25">
      <c r="B50" s="56" t="s">
        <v>50</v>
      </c>
      <c r="C50" s="17">
        <f>BS_Input!C49</f>
        <v>293.55</v>
      </c>
      <c r="D50" s="17">
        <f>BS_Input!D49</f>
        <v>293.55</v>
      </c>
      <c r="E50" s="17">
        <f>BS_Input!E49</f>
        <v>293.55</v>
      </c>
      <c r="F50" s="17">
        <f>BS_Input!F49</f>
        <v>293.61</v>
      </c>
      <c r="G50" s="17">
        <f>BS_Input!G49</f>
        <v>293.63</v>
      </c>
      <c r="H50" s="61">
        <f>G50</f>
        <v>293.63</v>
      </c>
      <c r="I50" s="61">
        <f t="shared" ref="I50:Q50" si="10">H50</f>
        <v>293.63</v>
      </c>
      <c r="J50" s="61">
        <f t="shared" si="10"/>
        <v>293.63</v>
      </c>
      <c r="K50" s="61">
        <f t="shared" si="10"/>
        <v>293.63</v>
      </c>
      <c r="L50" s="61">
        <f t="shared" si="10"/>
        <v>293.63</v>
      </c>
      <c r="M50" s="61">
        <f t="shared" si="10"/>
        <v>293.63</v>
      </c>
      <c r="N50" s="61">
        <f t="shared" si="10"/>
        <v>293.63</v>
      </c>
      <c r="O50" s="61">
        <f t="shared" si="10"/>
        <v>293.63</v>
      </c>
      <c r="P50" s="61">
        <f t="shared" si="10"/>
        <v>293.63</v>
      </c>
      <c r="Q50" s="61">
        <f t="shared" si="10"/>
        <v>293.63</v>
      </c>
    </row>
    <row r="51" spans="2:17" x14ac:dyDescent="0.25">
      <c r="B51" s="56" t="s">
        <v>51</v>
      </c>
      <c r="C51" s="17">
        <f>BS_Input!C50</f>
        <v>7495.26</v>
      </c>
      <c r="D51" s="17">
        <f>BS_Input!D50</f>
        <v>7568.47</v>
      </c>
      <c r="E51" s="17">
        <f>BS_Input!E50</f>
        <v>7010.34</v>
      </c>
      <c r="F51" s="17">
        <f>BS_Input!F50</f>
        <v>8260.32</v>
      </c>
      <c r="G51" s="17">
        <f>BS_Input!G50</f>
        <v>8710.99</v>
      </c>
      <c r="H51" s="61">
        <f>G51+'Income Statement'!H41-'Income Statement'!H46</f>
        <v>10119.32119673036</v>
      </c>
      <c r="I51" s="61">
        <f>H51+'Income Statement'!I41-'Income Statement'!I46</f>
        <v>11972.998403225605</v>
      </c>
      <c r="J51" s="61">
        <f>I51+'Income Statement'!J41-'Income Statement'!J46</f>
        <v>14380.811011038328</v>
      </c>
      <c r="K51" s="61">
        <f>J51+'Income Statement'!K41-'Income Statement'!K46</f>
        <v>17478.253001955411</v>
      </c>
      <c r="L51" s="61">
        <f>K51+'Income Statement'!L41-'Income Statement'!L46</f>
        <v>21434.111912828725</v>
      </c>
      <c r="M51" s="61">
        <f>L51+'Income Statement'!M41-'Income Statement'!M46</f>
        <v>26458.688001787104</v>
      </c>
      <c r="N51" s="61">
        <f>M51+'Income Statement'!N41-'Income Statement'!N46</f>
        <v>32814.047528419687</v>
      </c>
      <c r="O51" s="61">
        <f>N51+'Income Statement'!O41-'Income Statement'!O46</f>
        <v>40826.814211842931</v>
      </c>
      <c r="P51" s="61">
        <f>O51+'Income Statement'!P41-'Income Statement'!P46</f>
        <v>50904.127924287248</v>
      </c>
      <c r="Q51" s="61">
        <f>P51+'Income Statement'!Q41-'Income Statement'!Q46</f>
        <v>63553.555677321747</v>
      </c>
    </row>
    <row r="52" spans="2:17" x14ac:dyDescent="0.25">
      <c r="B52" s="56" t="s">
        <v>52</v>
      </c>
      <c r="C52" s="17">
        <f>BS_Input!C51</f>
        <v>1107.08</v>
      </c>
      <c r="D52" s="17">
        <f>BS_Input!D51</f>
        <v>1268.28</v>
      </c>
      <c r="E52" s="17">
        <f>BS_Input!E51</f>
        <v>1286.27</v>
      </c>
      <c r="F52" s="17">
        <f>BS_Input!F51</f>
        <v>2244.81</v>
      </c>
      <c r="G52" s="17">
        <f>BS_Input!G51</f>
        <v>2809.97</v>
      </c>
      <c r="H52" s="61">
        <f>G52</f>
        <v>2809.97</v>
      </c>
      <c r="I52" s="61">
        <f t="shared" ref="I52:Q52" si="11">H52</f>
        <v>2809.97</v>
      </c>
      <c r="J52" s="61">
        <f t="shared" si="11"/>
        <v>2809.97</v>
      </c>
      <c r="K52" s="61">
        <f t="shared" si="11"/>
        <v>2809.97</v>
      </c>
      <c r="L52" s="61">
        <f t="shared" si="11"/>
        <v>2809.97</v>
      </c>
      <c r="M52" s="61">
        <f t="shared" si="11"/>
        <v>2809.97</v>
      </c>
      <c r="N52" s="61">
        <f t="shared" si="11"/>
        <v>2809.97</v>
      </c>
      <c r="O52" s="61">
        <f t="shared" si="11"/>
        <v>2809.97</v>
      </c>
      <c r="P52" s="61">
        <f t="shared" si="11"/>
        <v>2809.97</v>
      </c>
      <c r="Q52" s="61">
        <f t="shared" si="11"/>
        <v>2809.97</v>
      </c>
    </row>
    <row r="53" spans="2:17" x14ac:dyDescent="0.25">
      <c r="B53" s="56"/>
      <c r="C53" s="17"/>
      <c r="D53" s="17"/>
      <c r="E53" s="17"/>
      <c r="F53" s="17"/>
      <c r="G53" s="17"/>
      <c r="H53" s="61"/>
      <c r="I53" s="61"/>
      <c r="J53" s="61"/>
      <c r="K53" s="61"/>
      <c r="L53" s="61"/>
      <c r="M53" s="61"/>
      <c r="N53" s="61"/>
      <c r="O53" s="61"/>
      <c r="P53" s="61"/>
      <c r="Q53" s="61"/>
    </row>
    <row r="54" spans="2:17" x14ac:dyDescent="0.25">
      <c r="B54" s="55" t="s">
        <v>287</v>
      </c>
      <c r="C54" s="92">
        <f>SUM(C50:C52)</f>
        <v>8895.89</v>
      </c>
      <c r="D54" s="92">
        <f t="shared" ref="D54:Q54" si="12">SUM(D50:D52)</f>
        <v>9130.3000000000011</v>
      </c>
      <c r="E54" s="92">
        <f t="shared" si="12"/>
        <v>8590.16</v>
      </c>
      <c r="F54" s="92">
        <f t="shared" si="12"/>
        <v>10798.74</v>
      </c>
      <c r="G54" s="92">
        <f t="shared" si="12"/>
        <v>11814.589999999998</v>
      </c>
      <c r="H54" s="93">
        <f t="shared" si="12"/>
        <v>13222.921196730358</v>
      </c>
      <c r="I54" s="93">
        <f t="shared" si="12"/>
        <v>15076.598403225604</v>
      </c>
      <c r="J54" s="93">
        <f t="shared" si="12"/>
        <v>17484.411011038326</v>
      </c>
      <c r="K54" s="93">
        <f t="shared" si="12"/>
        <v>20581.853001955413</v>
      </c>
      <c r="L54" s="93">
        <f t="shared" si="12"/>
        <v>24537.711912828727</v>
      </c>
      <c r="M54" s="93">
        <f t="shared" si="12"/>
        <v>29562.288001787107</v>
      </c>
      <c r="N54" s="93">
        <f t="shared" si="12"/>
        <v>35917.647528419686</v>
      </c>
      <c r="O54" s="93">
        <f t="shared" si="12"/>
        <v>43930.41421184293</v>
      </c>
      <c r="P54" s="93">
        <f t="shared" si="12"/>
        <v>54007.727924287246</v>
      </c>
      <c r="Q54" s="93">
        <f t="shared" si="12"/>
        <v>66657.155677321745</v>
      </c>
    </row>
    <row r="55" spans="2:17" x14ac:dyDescent="0.25">
      <c r="B55" s="56"/>
      <c r="C55" s="17"/>
      <c r="D55" s="17"/>
      <c r="E55" s="17"/>
      <c r="F55" s="17"/>
      <c r="G55" s="17"/>
      <c r="H55" s="61"/>
      <c r="I55" s="61"/>
      <c r="J55" s="61"/>
      <c r="K55" s="61"/>
      <c r="L55" s="61"/>
      <c r="M55" s="61"/>
      <c r="N55" s="61"/>
      <c r="O55" s="61"/>
      <c r="P55" s="61"/>
      <c r="Q55" s="61"/>
    </row>
    <row r="56" spans="2:17" x14ac:dyDescent="0.25">
      <c r="B56" s="55" t="s">
        <v>286</v>
      </c>
      <c r="C56" s="17"/>
      <c r="D56" s="17"/>
      <c r="E56" s="17"/>
      <c r="F56" s="17"/>
      <c r="G56" s="17"/>
      <c r="H56" s="61"/>
      <c r="I56" s="61"/>
      <c r="J56" s="61"/>
      <c r="K56" s="61"/>
      <c r="L56" s="61"/>
      <c r="M56" s="61"/>
      <c r="N56" s="61"/>
      <c r="O56" s="61"/>
      <c r="P56" s="61"/>
      <c r="Q56" s="61"/>
    </row>
    <row r="57" spans="2:17" x14ac:dyDescent="0.25">
      <c r="B57" s="56" t="s">
        <v>55</v>
      </c>
      <c r="C57" s="17"/>
      <c r="D57" s="17"/>
      <c r="E57" s="17"/>
      <c r="F57" s="17"/>
      <c r="G57" s="17"/>
      <c r="H57" s="61"/>
      <c r="I57" s="61"/>
      <c r="J57" s="61"/>
      <c r="K57" s="61"/>
      <c r="L57" s="61"/>
      <c r="M57" s="61"/>
      <c r="N57" s="61"/>
      <c r="O57" s="61"/>
      <c r="P57" s="61"/>
      <c r="Q57" s="61"/>
    </row>
    <row r="58" spans="2:17" x14ac:dyDescent="0.25">
      <c r="B58" s="56" t="s">
        <v>168</v>
      </c>
      <c r="C58" s="17">
        <f>BS_Input!C57</f>
        <v>13308.7</v>
      </c>
      <c r="D58" s="17">
        <f>BS_Input!D57</f>
        <v>15564.63</v>
      </c>
      <c r="E58" s="17">
        <f>BS_Input!E57</f>
        <v>15297.3</v>
      </c>
      <c r="F58" s="17">
        <f>BS_Input!F57</f>
        <v>19502.86</v>
      </c>
      <c r="G58" s="17">
        <f>BS_Input!G57</f>
        <v>26695.71</v>
      </c>
      <c r="H58" s="61">
        <f>BS_Item!H45</f>
        <v>34443.235033527933</v>
      </c>
      <c r="I58" s="61">
        <f>BS_Item!I45</f>
        <v>42639.823947266799</v>
      </c>
      <c r="J58" s="61">
        <f>BS_Item!J45</f>
        <v>52825.3741370055</v>
      </c>
      <c r="K58" s="61">
        <f>BS_Item!K45</f>
        <v>65487.663870458433</v>
      </c>
      <c r="L58" s="61">
        <f>BS_Item!L45</f>
        <v>81234.77109136252</v>
      </c>
      <c r="M58" s="61">
        <f>BS_Item!M45</f>
        <v>100824.83048650846</v>
      </c>
      <c r="N58" s="61">
        <f>BS_Item!N45</f>
        <v>125203.16254865674</v>
      </c>
      <c r="O58" s="61">
        <f>BS_Item!O45</f>
        <v>155548.60243176139</v>
      </c>
      <c r="P58" s="61">
        <f>BS_Item!P45</f>
        <v>193331.30976301731</v>
      </c>
      <c r="Q58" s="61">
        <f>BS_Item!Q45</f>
        <v>240384.90642233507</v>
      </c>
    </row>
    <row r="59" spans="2:17" x14ac:dyDescent="0.25">
      <c r="B59" s="56" t="s">
        <v>169</v>
      </c>
      <c r="C59" s="17">
        <f>BS_Input!C58</f>
        <v>142.75</v>
      </c>
      <c r="D59" s="17">
        <f>BS_Input!D58</f>
        <v>145.44999999999999</v>
      </c>
      <c r="E59" s="17">
        <f>BS_Input!E58</f>
        <v>160.57</v>
      </c>
      <c r="F59" s="17">
        <f>BS_Input!F58</f>
        <v>188.97</v>
      </c>
      <c r="G59" s="17">
        <f>BS_Input!G58</f>
        <v>151.21</v>
      </c>
      <c r="H59" s="61">
        <f>BS_Item!H47</f>
        <v>316.47914459597655</v>
      </c>
      <c r="I59" s="61">
        <f>BS_Item!I47</f>
        <v>391.79290201451823</v>
      </c>
      <c r="J59" s="61">
        <f>BS_Item!J47</f>
        <v>485.3820845680745</v>
      </c>
      <c r="K59" s="61">
        <f>BS_Item!K47</f>
        <v>601.72860717458184</v>
      </c>
      <c r="L59" s="61">
        <f>BS_Item!L47</f>
        <v>746.41974952174098</v>
      </c>
      <c r="M59" s="61">
        <f>BS_Item!M47</f>
        <v>926.42157669985215</v>
      </c>
      <c r="N59" s="61">
        <f>BS_Item!N47</f>
        <v>1150.4200968793634</v>
      </c>
      <c r="O59" s="61">
        <f>BS_Item!O47</f>
        <v>1429.246950606811</v>
      </c>
      <c r="P59" s="61">
        <f>BS_Item!P47</f>
        <v>1776.4105920323718</v>
      </c>
      <c r="Q59" s="61">
        <f>BS_Item!Q47</f>
        <v>2208.7591216176224</v>
      </c>
    </row>
    <row r="60" spans="2:17" x14ac:dyDescent="0.25">
      <c r="B60" s="56" t="s">
        <v>170</v>
      </c>
      <c r="C60" s="17">
        <f>BS_Input!C59</f>
        <v>167.9</v>
      </c>
      <c r="D60" s="17">
        <f>BS_Input!D59</f>
        <v>171.55</v>
      </c>
      <c r="E60" s="17">
        <f>BS_Input!E59</f>
        <v>143.19999999999999</v>
      </c>
      <c r="F60" s="17">
        <f>BS_Input!F59</f>
        <v>164.01</v>
      </c>
      <c r="G60" s="17">
        <f>BS_Input!G59</f>
        <v>127.41</v>
      </c>
      <c r="H60" s="61">
        <f>BS_Item!H49</f>
        <v>324.48378121427982</v>
      </c>
      <c r="I60" s="61">
        <f>BS_Item!I49</f>
        <v>401.70243274919079</v>
      </c>
      <c r="J60" s="61">
        <f>BS_Item!J49</f>
        <v>497.65874568254395</v>
      </c>
      <c r="K60" s="61">
        <f>BS_Item!K49</f>
        <v>616.94799500950296</v>
      </c>
      <c r="L60" s="61">
        <f>BS_Item!L49</f>
        <v>765.29877824028108</v>
      </c>
      <c r="M60" s="61">
        <f>BS_Item!M49</f>
        <v>949.8533516002326</v>
      </c>
      <c r="N60" s="61">
        <f>BS_Item!N49</f>
        <v>1179.5174165326648</v>
      </c>
      <c r="O60" s="61">
        <f>BS_Item!O49</f>
        <v>1465.3965758594663</v>
      </c>
      <c r="P60" s="61">
        <f>BS_Item!P49</f>
        <v>1821.3409500573121</v>
      </c>
      <c r="Q60" s="61">
        <f>BS_Item!Q49</f>
        <v>2264.6247748456817</v>
      </c>
    </row>
    <row r="61" spans="2:17" x14ac:dyDescent="0.25">
      <c r="B61" s="56" t="s">
        <v>59</v>
      </c>
      <c r="C61" s="17">
        <f>BS_Input!C60</f>
        <v>228.54</v>
      </c>
      <c r="D61" s="17">
        <f>BS_Input!D60</f>
        <v>229.38</v>
      </c>
      <c r="E61" s="17">
        <f>BS_Input!E60</f>
        <v>283.99</v>
      </c>
      <c r="F61" s="17">
        <f>BS_Input!F60</f>
        <v>633.28</v>
      </c>
      <c r="G61" s="17">
        <f>BS_Input!G60</f>
        <v>857.51</v>
      </c>
      <c r="H61" s="61">
        <f>BS_Item!H51</f>
        <v>758.43962372771352</v>
      </c>
      <c r="I61" s="61">
        <f>BS_Item!I51</f>
        <v>938.92841363189746</v>
      </c>
      <c r="J61" s="61">
        <f>BS_Item!J51</f>
        <v>1163.2141070589325</v>
      </c>
      <c r="K61" s="61">
        <f>BS_Item!K51</f>
        <v>1442.0375756333262</v>
      </c>
      <c r="L61" s="61">
        <f>BS_Item!L51</f>
        <v>1788.7886884076231</v>
      </c>
      <c r="M61" s="61">
        <f>BS_Item!M51</f>
        <v>2220.1615621227375</v>
      </c>
      <c r="N61" s="61">
        <f>BS_Item!N51</f>
        <v>2756.972142729549</v>
      </c>
      <c r="O61" s="61">
        <f>BS_Item!O51</f>
        <v>3425.1783662271459</v>
      </c>
      <c r="P61" s="61">
        <f>BS_Item!P51</f>
        <v>4257.1531300330917</v>
      </c>
      <c r="Q61" s="61">
        <f>BS_Item!Q51</f>
        <v>5293.2727660251694</v>
      </c>
    </row>
    <row r="62" spans="2:17" x14ac:dyDescent="0.25">
      <c r="B62" s="56" t="s">
        <v>60</v>
      </c>
      <c r="C62" s="17">
        <f>BS_Input!C61</f>
        <v>338.57</v>
      </c>
      <c r="D62" s="17">
        <f>BS_Input!D61</f>
        <v>386.09</v>
      </c>
      <c r="E62" s="17">
        <f>BS_Input!E61</f>
        <v>315.83</v>
      </c>
      <c r="F62" s="17">
        <f>BS_Input!F61</f>
        <v>722</v>
      </c>
      <c r="G62" s="17">
        <f>BS_Input!G61</f>
        <v>1046.83</v>
      </c>
      <c r="H62" s="61">
        <f>BS_Item!H53</f>
        <v>991.18294253228692</v>
      </c>
      <c r="I62" s="61">
        <f>BS_Item!I53</f>
        <v>1227.0585538196349</v>
      </c>
      <c r="J62" s="61">
        <f>BS_Item!J53</f>
        <v>1520.1710793576119</v>
      </c>
      <c r="K62" s="61">
        <f>BS_Item!K53</f>
        <v>1884.5574555206852</v>
      </c>
      <c r="L62" s="61">
        <f>BS_Item!L53</f>
        <v>2337.716517275298</v>
      </c>
      <c r="M62" s="61">
        <f>BS_Item!M53</f>
        <v>2901.4653259096117</v>
      </c>
      <c r="N62" s="61">
        <f>BS_Item!N53</f>
        <v>3603.007642822296</v>
      </c>
      <c r="O62" s="61">
        <f>BS_Item!O53</f>
        <v>4476.2671483970098</v>
      </c>
      <c r="P62" s="61">
        <f>BS_Item!P53</f>
        <v>5563.5510516940167</v>
      </c>
      <c r="Q62" s="61">
        <f>BS_Item!Q53</f>
        <v>6917.6260202070098</v>
      </c>
    </row>
    <row r="63" spans="2:17" x14ac:dyDescent="0.25">
      <c r="B63" s="56" t="s">
        <v>61</v>
      </c>
      <c r="C63" s="17">
        <f>BS_Input!C62</f>
        <v>249.85</v>
      </c>
      <c r="D63" s="17">
        <f>BS_Input!D62</f>
        <v>215.67</v>
      </c>
      <c r="E63" s="17">
        <f>BS_Input!E62</f>
        <v>193.83</v>
      </c>
      <c r="F63" s="17">
        <f>BS_Input!F62</f>
        <v>250.04</v>
      </c>
      <c r="G63" s="17">
        <f>BS_Input!G62</f>
        <v>283.45</v>
      </c>
      <c r="H63" s="61">
        <f>G63</f>
        <v>283.45</v>
      </c>
      <c r="I63" s="61">
        <f t="shared" ref="I63:Q63" si="13">H63</f>
        <v>283.45</v>
      </c>
      <c r="J63" s="61">
        <f t="shared" si="13"/>
        <v>283.45</v>
      </c>
      <c r="K63" s="61">
        <f t="shared" si="13"/>
        <v>283.45</v>
      </c>
      <c r="L63" s="61">
        <f t="shared" si="13"/>
        <v>283.45</v>
      </c>
      <c r="M63" s="61">
        <f t="shared" si="13"/>
        <v>283.45</v>
      </c>
      <c r="N63" s="61">
        <f t="shared" si="13"/>
        <v>283.45</v>
      </c>
      <c r="O63" s="61">
        <f t="shared" si="13"/>
        <v>283.45</v>
      </c>
      <c r="P63" s="61">
        <f t="shared" si="13"/>
        <v>283.45</v>
      </c>
      <c r="Q63" s="61">
        <f t="shared" si="13"/>
        <v>283.45</v>
      </c>
    </row>
    <row r="64" spans="2:17" x14ac:dyDescent="0.25">
      <c r="B64" s="56" t="s">
        <v>62</v>
      </c>
      <c r="C64" s="17">
        <f>BS_Input!C63</f>
        <v>0</v>
      </c>
      <c r="D64" s="17">
        <f>BS_Input!D63</f>
        <v>0</v>
      </c>
      <c r="E64" s="17">
        <f>BS_Input!E63</f>
        <v>0</v>
      </c>
      <c r="F64" s="17">
        <f>BS_Input!F63</f>
        <v>13.68</v>
      </c>
      <c r="G64" s="17">
        <f>BS_Input!G63</f>
        <v>3.82</v>
      </c>
      <c r="H64" s="61">
        <f>BS_Item!H55</f>
        <v>4.663927077571234</v>
      </c>
      <c r="I64" s="61">
        <f>BS_Item!I55</f>
        <v>5.77381971516159</v>
      </c>
      <c r="J64" s="61">
        <f>BS_Item!J55</f>
        <v>7.1530357871606594</v>
      </c>
      <c r="K64" s="61">
        <f>BS_Item!K55</f>
        <v>8.8676249044261191</v>
      </c>
      <c r="L64" s="61">
        <f>BS_Item!L55</f>
        <v>10.999926347350989</v>
      </c>
      <c r="M64" s="61">
        <f>BS_Item!M55</f>
        <v>13.652598443201198</v>
      </c>
      <c r="N64" s="61">
        <f>BS_Item!N55</f>
        <v>16.953646178699884</v>
      </c>
      <c r="O64" s="61">
        <f>BS_Item!O55</f>
        <v>21.062694548106933</v>
      </c>
      <c r="P64" s="61">
        <f>BS_Item!P55</f>
        <v>26.178816527202706</v>
      </c>
      <c r="Q64" s="61">
        <f>BS_Item!Q55</f>
        <v>32.550301184288045</v>
      </c>
    </row>
    <row r="65" spans="2:17" x14ac:dyDescent="0.25">
      <c r="B65" s="56"/>
      <c r="C65" s="17"/>
      <c r="D65" s="17"/>
      <c r="E65" s="17"/>
      <c r="F65" s="17"/>
      <c r="G65" s="17"/>
      <c r="H65" s="61"/>
      <c r="I65" s="61"/>
      <c r="J65" s="61"/>
      <c r="K65" s="61"/>
      <c r="L65" s="61"/>
      <c r="M65" s="61"/>
      <c r="N65" s="61"/>
      <c r="O65" s="61"/>
      <c r="P65" s="61"/>
      <c r="Q65" s="61"/>
    </row>
    <row r="66" spans="2:17" x14ac:dyDescent="0.25">
      <c r="B66" s="55" t="s">
        <v>285</v>
      </c>
      <c r="C66" s="92">
        <f>SUM(C58:C64)</f>
        <v>14436.310000000001</v>
      </c>
      <c r="D66" s="92">
        <f t="shared" ref="D66:Q66" si="14">SUM(D58:D64)</f>
        <v>16712.769999999997</v>
      </c>
      <c r="E66" s="92">
        <f t="shared" si="14"/>
        <v>16394.72</v>
      </c>
      <c r="F66" s="92">
        <f t="shared" si="14"/>
        <v>21474.84</v>
      </c>
      <c r="G66" s="92">
        <f t="shared" si="14"/>
        <v>29165.94</v>
      </c>
      <c r="H66" s="93">
        <f t="shared" si="14"/>
        <v>37121.934452675756</v>
      </c>
      <c r="I66" s="93">
        <f t="shared" si="14"/>
        <v>45888.530069197193</v>
      </c>
      <c r="J66" s="93">
        <f t="shared" si="14"/>
        <v>56782.403189459823</v>
      </c>
      <c r="K66" s="93">
        <f t="shared" si="14"/>
        <v>70325.253128700933</v>
      </c>
      <c r="L66" s="93">
        <f t="shared" si="14"/>
        <v>87167.444751154806</v>
      </c>
      <c r="M66" s="93">
        <f t="shared" si="14"/>
        <v>108119.83490128411</v>
      </c>
      <c r="N66" s="93">
        <f t="shared" si="14"/>
        <v>134193.48349379931</v>
      </c>
      <c r="O66" s="93">
        <f t="shared" si="14"/>
        <v>166649.20416739993</v>
      </c>
      <c r="P66" s="93">
        <f t="shared" si="14"/>
        <v>207059.39430336133</v>
      </c>
      <c r="Q66" s="93">
        <f t="shared" si="14"/>
        <v>257385.18940621486</v>
      </c>
    </row>
    <row r="67" spans="2:17" x14ac:dyDescent="0.25">
      <c r="B67" s="56"/>
      <c r="C67" s="17"/>
      <c r="D67" s="17"/>
      <c r="E67" s="17"/>
      <c r="F67" s="17"/>
      <c r="G67" s="17"/>
      <c r="H67" s="61"/>
      <c r="I67" s="61"/>
      <c r="J67" s="61"/>
      <c r="K67" s="61"/>
      <c r="L67" s="61"/>
      <c r="M67" s="61"/>
      <c r="N67" s="61"/>
      <c r="O67" s="61"/>
      <c r="P67" s="61"/>
      <c r="Q67" s="61"/>
    </row>
    <row r="68" spans="2:17" x14ac:dyDescent="0.25">
      <c r="B68" s="55" t="s">
        <v>284</v>
      </c>
      <c r="C68" s="17"/>
      <c r="D68" s="17"/>
      <c r="E68" s="17"/>
      <c r="F68" s="17"/>
      <c r="G68" s="17"/>
      <c r="H68" s="61"/>
      <c r="I68" s="61"/>
      <c r="J68" s="61"/>
      <c r="K68" s="61"/>
      <c r="L68" s="61"/>
      <c r="M68" s="61"/>
      <c r="N68" s="61"/>
      <c r="O68" s="61"/>
      <c r="P68" s="61"/>
      <c r="Q68" s="61"/>
    </row>
    <row r="69" spans="2:17" x14ac:dyDescent="0.25">
      <c r="B69" s="56" t="s">
        <v>55</v>
      </c>
      <c r="C69" s="17"/>
      <c r="D69" s="17"/>
      <c r="E69" s="17"/>
      <c r="F69" s="17"/>
      <c r="G69" s="17"/>
      <c r="H69" s="61"/>
      <c r="I69" s="61"/>
      <c r="J69" s="61"/>
      <c r="K69" s="61"/>
      <c r="L69" s="61"/>
      <c r="M69" s="61"/>
      <c r="N69" s="61"/>
      <c r="O69" s="61"/>
      <c r="P69" s="61"/>
      <c r="Q69" s="61"/>
    </row>
    <row r="70" spans="2:17" x14ac:dyDescent="0.25">
      <c r="B70" s="56" t="s">
        <v>168</v>
      </c>
      <c r="C70" s="17">
        <f>BS_Input!C69</f>
        <v>2842.68</v>
      </c>
      <c r="D70" s="17">
        <f>BS_Input!D69</f>
        <v>2599.73</v>
      </c>
      <c r="E70" s="17">
        <f>BS_Input!E69</f>
        <v>8642.0499999999993</v>
      </c>
      <c r="F70" s="17">
        <f>BS_Input!F69</f>
        <v>11417.58</v>
      </c>
      <c r="G70" s="17">
        <f>BS_Input!G69</f>
        <v>13868.63</v>
      </c>
      <c r="H70" s="61">
        <f>BS_Item!H60</f>
        <v>13247.266878607537</v>
      </c>
      <c r="I70" s="61">
        <f>BS_Item!I60</f>
        <v>16399.769851363657</v>
      </c>
      <c r="J70" s="61">
        <f>BS_Item!J60</f>
        <v>20317.250353342497</v>
      </c>
      <c r="K70" s="61">
        <f>BS_Item!K60</f>
        <v>25187.313552400898</v>
      </c>
      <c r="L70" s="61">
        <f>BS_Item!L60</f>
        <v>31243.833264277604</v>
      </c>
      <c r="M70" s="61">
        <f>BS_Item!M60</f>
        <v>38778.396865015246</v>
      </c>
      <c r="N70" s="61">
        <f>BS_Item!N60</f>
        <v>48154.585558331331</v>
      </c>
      <c r="O70" s="61">
        <f>BS_Item!O60</f>
        <v>59825.792989599526</v>
      </c>
      <c r="P70" s="61">
        <f>BS_Item!P60</f>
        <v>74357.459568718827</v>
      </c>
      <c r="Q70" s="61">
        <f>BS_Item!Q60</f>
        <v>92454.817495103256</v>
      </c>
    </row>
    <row r="71" spans="2:17" x14ac:dyDescent="0.25">
      <c r="B71" s="56" t="s">
        <v>171</v>
      </c>
      <c r="C71" s="17">
        <f>SUM(BS_Input!C71:C72)</f>
        <v>2834.6000000000004</v>
      </c>
      <c r="D71" s="17">
        <f>SUM(BS_Input!D71:D72)</f>
        <v>5346.23</v>
      </c>
      <c r="E71" s="17">
        <f>SUM(BS_Input!E71:E72)</f>
        <v>7249.91</v>
      </c>
      <c r="F71" s="17">
        <f>SUM(BS_Input!F71:F72)</f>
        <v>7581.87</v>
      </c>
      <c r="G71" s="17">
        <f>SUM(BS_Input!G71:G72)</f>
        <v>6798.02</v>
      </c>
      <c r="H71" s="61">
        <f>Working_Capital!H13</f>
        <v>10237.616941414895</v>
      </c>
      <c r="I71" s="61">
        <f>Working_Capital!I13</f>
        <v>12673.901960618894</v>
      </c>
      <c r="J71" s="61">
        <f>Working_Capital!J13</f>
        <v>15701.369069286124</v>
      </c>
      <c r="K71" s="61">
        <f>Working_Capital!K13</f>
        <v>19465.001369391353</v>
      </c>
      <c r="L71" s="61">
        <f>Working_Capital!L13</f>
        <v>24145.538824890984</v>
      </c>
      <c r="M71" s="61">
        <f>Working_Capital!M13</f>
        <v>29968.323001576009</v>
      </c>
      <c r="N71" s="61">
        <f>Working_Capital!N13</f>
        <v>37214.332996860816</v>
      </c>
      <c r="O71" s="61">
        <f>Working_Capital!O13</f>
        <v>46233.955838314301</v>
      </c>
      <c r="P71" s="61">
        <f>Working_Capital!P13</f>
        <v>57464.169385051726</v>
      </c>
      <c r="Q71" s="61">
        <f>Working_Capital!Q13</f>
        <v>71449.983953428353</v>
      </c>
    </row>
    <row r="72" spans="2:17" x14ac:dyDescent="0.25">
      <c r="B72" s="56" t="s">
        <v>169</v>
      </c>
      <c r="C72" s="17">
        <f>BS_Input!C73</f>
        <v>36.770000000000003</v>
      </c>
      <c r="D72" s="17">
        <f>BS_Input!D73</f>
        <v>41.61</v>
      </c>
      <c r="E72" s="17">
        <f>BS_Input!E73</f>
        <v>45.1</v>
      </c>
      <c r="F72" s="17">
        <f>BS_Input!F73</f>
        <v>51.52</v>
      </c>
      <c r="G72" s="17">
        <f>BS_Input!G73</f>
        <v>86.63</v>
      </c>
      <c r="H72" s="61">
        <f>BS_Item!H62</f>
        <v>98.117403470256448</v>
      </c>
      <c r="I72" s="61">
        <f>BS_Item!I62</f>
        <v>121.46677877563327</v>
      </c>
      <c r="J72" s="61">
        <f>BS_Item!J62</f>
        <v>150.48204800224096</v>
      </c>
      <c r="K72" s="61">
        <f>BS_Item!K62</f>
        <v>186.55273037063967</v>
      </c>
      <c r="L72" s="61">
        <f>BS_Item!L62</f>
        <v>231.41103915548024</v>
      </c>
      <c r="M72" s="61">
        <f>BS_Item!M62</f>
        <v>287.2166497437068</v>
      </c>
      <c r="N72" s="61">
        <f>BS_Item!N62</f>
        <v>356.66246807480479</v>
      </c>
      <c r="O72" s="61">
        <f>BS_Item!O62</f>
        <v>443.10660625156714</v>
      </c>
      <c r="P72" s="61">
        <f>BS_Item!P62</f>
        <v>550.73706360584367</v>
      </c>
      <c r="Q72" s="61">
        <f>BS_Item!Q62</f>
        <v>684.77722341240383</v>
      </c>
    </row>
    <row r="73" spans="2:17" x14ac:dyDescent="0.25">
      <c r="B73" s="56" t="s">
        <v>170</v>
      </c>
      <c r="C73" s="17">
        <f>BS_Input!C74</f>
        <v>7674.26</v>
      </c>
      <c r="D73" s="17">
        <f>BS_Input!D74</f>
        <v>6926.91</v>
      </c>
      <c r="E73" s="17">
        <f>BS_Input!E74</f>
        <v>1188.06</v>
      </c>
      <c r="F73" s="17">
        <f>BS_Input!F74</f>
        <v>1601.76</v>
      </c>
      <c r="G73" s="17">
        <f>BS_Input!G74</f>
        <v>3433.81</v>
      </c>
      <c r="H73" s="61">
        <f>BS_Item!H64</f>
        <v>9792.1383701545001</v>
      </c>
      <c r="I73" s="61">
        <f>BS_Item!I64</f>
        <v>12122.411142978424</v>
      </c>
      <c r="J73" s="61">
        <f>BS_Item!J64</f>
        <v>15018.141370902338</v>
      </c>
      <c r="K73" s="61">
        <f>BS_Item!K64</f>
        <v>18618.003376671018</v>
      </c>
      <c r="L73" s="61">
        <f>BS_Item!L64</f>
        <v>23094.87242473377</v>
      </c>
      <c r="M73" s="61">
        <f>BS_Item!M64</f>
        <v>28664.284592031159</v>
      </c>
      <c r="N73" s="61">
        <f>BS_Item!N64</f>
        <v>35594.992481512432</v>
      </c>
      <c r="O73" s="61">
        <f>BS_Item!O64</f>
        <v>44222.136417014292</v>
      </c>
      <c r="P73" s="61">
        <f>BS_Item!P64</f>
        <v>54963.679649714912</v>
      </c>
      <c r="Q73" s="61">
        <f>BS_Item!Q64</f>
        <v>68340.916975214917</v>
      </c>
    </row>
    <row r="74" spans="2:17" x14ac:dyDescent="0.25">
      <c r="B74" s="56" t="s">
        <v>61</v>
      </c>
      <c r="C74" s="17">
        <f>BS_Input!C75</f>
        <v>597.52</v>
      </c>
      <c r="D74" s="17">
        <f>BS_Input!D75</f>
        <v>473.79</v>
      </c>
      <c r="E74" s="17">
        <f>BS_Input!E75</f>
        <v>498.75</v>
      </c>
      <c r="F74" s="17">
        <f>BS_Input!F75</f>
        <v>458.35</v>
      </c>
      <c r="G74" s="17">
        <f>BS_Input!G75</f>
        <v>556.59</v>
      </c>
      <c r="H74" s="61">
        <f>G74</f>
        <v>556.59</v>
      </c>
      <c r="I74" s="61">
        <f t="shared" ref="I74:Q74" si="15">H74</f>
        <v>556.59</v>
      </c>
      <c r="J74" s="61">
        <f t="shared" si="15"/>
        <v>556.59</v>
      </c>
      <c r="K74" s="61">
        <f t="shared" si="15"/>
        <v>556.59</v>
      </c>
      <c r="L74" s="61">
        <f t="shared" si="15"/>
        <v>556.59</v>
      </c>
      <c r="M74" s="61">
        <f t="shared" si="15"/>
        <v>556.59</v>
      </c>
      <c r="N74" s="61">
        <f t="shared" si="15"/>
        <v>556.59</v>
      </c>
      <c r="O74" s="61">
        <f t="shared" si="15"/>
        <v>556.59</v>
      </c>
      <c r="P74" s="61">
        <f t="shared" si="15"/>
        <v>556.59</v>
      </c>
      <c r="Q74" s="61">
        <f t="shared" si="15"/>
        <v>556.59</v>
      </c>
    </row>
    <row r="75" spans="2:17" x14ac:dyDescent="0.25">
      <c r="B75" s="56" t="s">
        <v>70</v>
      </c>
      <c r="C75" s="17">
        <f>BS_Input!C76</f>
        <v>92.84</v>
      </c>
      <c r="D75" s="17">
        <f>BS_Input!D76</f>
        <v>579.48</v>
      </c>
      <c r="E75" s="17">
        <f>BS_Input!E76</f>
        <v>323.75</v>
      </c>
      <c r="F75" s="17">
        <f>BS_Input!F76</f>
        <v>618.17999999999995</v>
      </c>
      <c r="G75" s="17">
        <f>BS_Input!G76</f>
        <v>589.04999999999995</v>
      </c>
      <c r="H75" s="61">
        <f>BS_Item!H66</f>
        <v>838.92474836659153</v>
      </c>
      <c r="I75" s="61">
        <f>BS_Item!I66</f>
        <v>1038.5668924691759</v>
      </c>
      <c r="J75" s="61">
        <f>BS_Item!J66</f>
        <v>1286.6536393030315</v>
      </c>
      <c r="K75" s="61">
        <f>BS_Item!K66</f>
        <v>1595.0656748752263</v>
      </c>
      <c r="L75" s="61">
        <f>BS_Item!L66</f>
        <v>1978.6137925226865</v>
      </c>
      <c r="M75" s="61">
        <f>BS_Item!M66</f>
        <v>2455.7636779083518</v>
      </c>
      <c r="N75" s="61">
        <f>BS_Item!N66</f>
        <v>3049.5402517675393</v>
      </c>
      <c r="O75" s="61">
        <f>BS_Item!O66</f>
        <v>3788.6560895576326</v>
      </c>
      <c r="P75" s="61">
        <f>BS_Item!P66</f>
        <v>4708.9194797307082</v>
      </c>
      <c r="Q75" s="61">
        <f>BS_Item!Q66</f>
        <v>5854.9914645119234</v>
      </c>
    </row>
    <row r="76" spans="2:17" x14ac:dyDescent="0.25">
      <c r="B76" s="56" t="s">
        <v>59</v>
      </c>
      <c r="C76" s="17">
        <f>BS_Input!C77</f>
        <v>715.98</v>
      </c>
      <c r="D76" s="17">
        <f>BS_Input!D77</f>
        <v>202.25</v>
      </c>
      <c r="E76" s="17">
        <f>BS_Input!E77</f>
        <v>532.67999999999995</v>
      </c>
      <c r="F76" s="17">
        <f>BS_Input!F77</f>
        <v>586.52</v>
      </c>
      <c r="G76" s="17">
        <f>BS_Input!G77</f>
        <v>802.99</v>
      </c>
      <c r="H76" s="61">
        <f>BS_Item!H68</f>
        <v>1075.3765899433079</v>
      </c>
      <c r="I76" s="61">
        <f>BS_Item!I68</f>
        <v>1331.2880868350321</v>
      </c>
      <c r="J76" s="61">
        <f>BS_Item!J68</f>
        <v>1649.2983497814537</v>
      </c>
      <c r="K76" s="61">
        <f>BS_Item!K68</f>
        <v>2044.6366489040506</v>
      </c>
      <c r="L76" s="61">
        <f>BS_Item!L68</f>
        <v>2536.2882155528687</v>
      </c>
      <c r="M76" s="61">
        <f>BS_Item!M68</f>
        <v>3147.9233087324742</v>
      </c>
      <c r="N76" s="61">
        <f>BS_Item!N68</f>
        <v>3909.0564478229048</v>
      </c>
      <c r="O76" s="61">
        <f>BS_Item!O68</f>
        <v>4856.4928785198799</v>
      </c>
      <c r="P76" s="61">
        <f>BS_Item!P68</f>
        <v>6036.1334938442278</v>
      </c>
      <c r="Q76" s="61">
        <f>BS_Item!Q68</f>
        <v>7505.2270987512375</v>
      </c>
    </row>
    <row r="77" spans="2:17" x14ac:dyDescent="0.25">
      <c r="B77" s="56" t="s">
        <v>71</v>
      </c>
      <c r="C77" s="17">
        <f>BS_Input!C78</f>
        <v>0.01</v>
      </c>
      <c r="D77" s="17">
        <f>BS_Input!D78</f>
        <v>53.8</v>
      </c>
      <c r="E77" s="17">
        <f>BS_Input!E78</f>
        <v>123.82</v>
      </c>
      <c r="F77" s="17">
        <f>BS_Input!F78</f>
        <v>128.30000000000001</v>
      </c>
      <c r="G77" s="17">
        <f>BS_Input!G78</f>
        <v>527.38</v>
      </c>
      <c r="H77" s="61">
        <f>BS_Item!H70</f>
        <v>250.14777120754323</v>
      </c>
      <c r="I77" s="61">
        <f>BS_Item!I70</f>
        <v>309.67639696759051</v>
      </c>
      <c r="J77" s="61">
        <f>BS_Item!J70</f>
        <v>383.65007208856917</v>
      </c>
      <c r="K77" s="61">
        <f>BS_Item!K70</f>
        <v>475.61133972571582</v>
      </c>
      <c r="L77" s="61">
        <f>BS_Item!L70</f>
        <v>589.97643262250506</v>
      </c>
      <c r="M77" s="61">
        <f>BS_Item!M70</f>
        <v>732.2513870728917</v>
      </c>
      <c r="N77" s="61">
        <f>BS_Item!N70</f>
        <v>909.30169681202199</v>
      </c>
      <c r="O77" s="61">
        <f>BS_Item!O70</f>
        <v>1129.6887814073566</v>
      </c>
      <c r="P77" s="61">
        <f>BS_Item!P70</f>
        <v>1404.0898363576387</v>
      </c>
      <c r="Q77" s="61">
        <f>BS_Item!Q70</f>
        <v>1745.821741626394</v>
      </c>
    </row>
    <row r="78" spans="2:17" x14ac:dyDescent="0.25">
      <c r="B78" s="56"/>
      <c r="C78" s="17"/>
      <c r="D78" s="17"/>
      <c r="E78" s="17"/>
      <c r="F78" s="17"/>
      <c r="G78" s="17"/>
      <c r="H78" s="61"/>
      <c r="I78" s="61"/>
      <c r="J78" s="61"/>
      <c r="K78" s="61"/>
      <c r="L78" s="61"/>
      <c r="M78" s="61"/>
      <c r="N78" s="61"/>
      <c r="O78" s="61"/>
      <c r="P78" s="61"/>
      <c r="Q78" s="61"/>
    </row>
    <row r="79" spans="2:17" x14ac:dyDescent="0.25">
      <c r="B79" s="55" t="s">
        <v>283</v>
      </c>
      <c r="C79" s="92">
        <f>SUM(C70:C77)</f>
        <v>14794.660000000002</v>
      </c>
      <c r="D79" s="92">
        <f t="shared" ref="D79:Q79" si="16">SUM(D70:D77)</f>
        <v>16223.8</v>
      </c>
      <c r="E79" s="92">
        <f t="shared" si="16"/>
        <v>18604.12</v>
      </c>
      <c r="F79" s="92">
        <f t="shared" si="16"/>
        <v>22444.079999999998</v>
      </c>
      <c r="G79" s="92">
        <f t="shared" si="16"/>
        <v>26663.100000000006</v>
      </c>
      <c r="H79" s="93">
        <f t="shared" si="16"/>
        <v>36096.178703164624</v>
      </c>
      <c r="I79" s="93">
        <f t="shared" si="16"/>
        <v>44553.671110008407</v>
      </c>
      <c r="J79" s="93">
        <f t="shared" si="16"/>
        <v>55063.434902706249</v>
      </c>
      <c r="K79" s="93">
        <f t="shared" si="16"/>
        <v>68128.774692338891</v>
      </c>
      <c r="L79" s="93">
        <f t="shared" si="16"/>
        <v>84377.123993755886</v>
      </c>
      <c r="M79" s="93">
        <f t="shared" si="16"/>
        <v>104590.74948207983</v>
      </c>
      <c r="N79" s="93">
        <f t="shared" si="16"/>
        <v>129745.06190118186</v>
      </c>
      <c r="O79" s="93">
        <f t="shared" si="16"/>
        <v>161056.41960066455</v>
      </c>
      <c r="P79" s="93">
        <f t="shared" si="16"/>
        <v>200041.77847702385</v>
      </c>
      <c r="Q79" s="93">
        <f t="shared" si="16"/>
        <v>248593.12595204849</v>
      </c>
    </row>
    <row r="80" spans="2:17" x14ac:dyDescent="0.25">
      <c r="B80" s="56" t="s">
        <v>75</v>
      </c>
      <c r="C80" s="17">
        <f>BS_Input!C81</f>
        <v>0</v>
      </c>
      <c r="D80" s="17">
        <f>BS_Input!D81</f>
        <v>0</v>
      </c>
      <c r="E80" s="17">
        <f>BS_Input!E81</f>
        <v>11.78</v>
      </c>
      <c r="F80" s="17">
        <f>BS_Input!F81</f>
        <v>10.87</v>
      </c>
      <c r="G80" s="17">
        <f>BS_Input!G81</f>
        <v>16.829999999999998</v>
      </c>
      <c r="H80" s="61">
        <v>0</v>
      </c>
      <c r="I80" s="61">
        <v>0</v>
      </c>
      <c r="J80" s="61">
        <v>0</v>
      </c>
      <c r="K80" s="61">
        <v>0</v>
      </c>
      <c r="L80" s="61">
        <v>0</v>
      </c>
      <c r="M80" s="61">
        <v>0</v>
      </c>
      <c r="N80" s="61">
        <v>0</v>
      </c>
      <c r="O80" s="61">
        <v>0</v>
      </c>
      <c r="P80" s="61">
        <v>0</v>
      </c>
      <c r="Q80" s="61">
        <v>0</v>
      </c>
    </row>
    <row r="81" spans="2:17" ht="15.75" thickBot="1" x14ac:dyDescent="0.3">
      <c r="B81" s="95" t="s">
        <v>73</v>
      </c>
      <c r="C81" s="94">
        <f>SUM(C54,C66,C79,C80)</f>
        <v>38126.86</v>
      </c>
      <c r="D81" s="94">
        <f t="shared" ref="D81:Q81" si="17">SUM(D54,D66,D79,D80)</f>
        <v>42066.869999999995</v>
      </c>
      <c r="E81" s="94">
        <f t="shared" si="17"/>
        <v>43600.78</v>
      </c>
      <c r="F81" s="94">
        <f t="shared" si="17"/>
        <v>54728.530000000006</v>
      </c>
      <c r="G81" s="94">
        <f t="shared" si="17"/>
        <v>67660.460000000006</v>
      </c>
      <c r="H81" s="94">
        <f t="shared" si="17"/>
        <v>86441.034352570743</v>
      </c>
      <c r="I81" s="94">
        <f t="shared" si="17"/>
        <v>105518.79958243121</v>
      </c>
      <c r="J81" s="94">
        <f t="shared" si="17"/>
        <v>129330.24910320441</v>
      </c>
      <c r="K81" s="94">
        <f t="shared" si="17"/>
        <v>159035.88082299524</v>
      </c>
      <c r="L81" s="94">
        <f t="shared" si="17"/>
        <v>196082.28065773944</v>
      </c>
      <c r="M81" s="94">
        <f t="shared" si="17"/>
        <v>242272.87238515104</v>
      </c>
      <c r="N81" s="94">
        <f t="shared" si="17"/>
        <v>299856.19292340084</v>
      </c>
      <c r="O81" s="94">
        <f t="shared" si="17"/>
        <v>371636.03797990741</v>
      </c>
      <c r="P81" s="94">
        <f t="shared" si="17"/>
        <v>461108.90070467244</v>
      </c>
      <c r="Q81" s="94">
        <f t="shared" si="17"/>
        <v>572635.47103558504</v>
      </c>
    </row>
    <row r="82" spans="2:17" ht="15.75" thickTop="1" x14ac:dyDescent="0.25">
      <c r="B82" s="56"/>
      <c r="H82" s="62"/>
      <c r="I82" s="62"/>
      <c r="J82" s="62"/>
      <c r="K82" s="62"/>
      <c r="L82" s="62"/>
      <c r="M82" s="62"/>
      <c r="N82" s="62"/>
      <c r="O82" s="62"/>
      <c r="P82" s="62"/>
      <c r="Q82" s="62"/>
    </row>
    <row r="83" spans="2:17" x14ac:dyDescent="0.25">
      <c r="B83" s="56" t="s">
        <v>162</v>
      </c>
      <c r="C83" t="str">
        <f>IF(ROUND(C81,0)=ROUND(C45,0)&lt;&gt;0,"OK","ERROR")</f>
        <v>OK</v>
      </c>
      <c r="D83" t="str">
        <f t="shared" ref="D83:Q83" si="18">IF(ROUND(D81,0)=ROUND(D45,0)&lt;&gt;0,"OK","ERROR")</f>
        <v>OK</v>
      </c>
      <c r="E83" t="str">
        <f t="shared" si="18"/>
        <v>OK</v>
      </c>
      <c r="F83" t="str">
        <f t="shared" si="18"/>
        <v>OK</v>
      </c>
      <c r="G83" t="str">
        <f t="shared" si="18"/>
        <v>OK</v>
      </c>
      <c r="H83" s="62" t="str">
        <f t="shared" si="18"/>
        <v>OK</v>
      </c>
      <c r="I83" s="62" t="str">
        <f t="shared" si="18"/>
        <v>OK</v>
      </c>
      <c r="J83" s="62" t="str">
        <f t="shared" si="18"/>
        <v>OK</v>
      </c>
      <c r="K83" s="62" t="str">
        <f t="shared" si="18"/>
        <v>OK</v>
      </c>
      <c r="L83" s="62" t="str">
        <f t="shared" si="18"/>
        <v>OK</v>
      </c>
      <c r="M83" s="62" t="str">
        <f t="shared" si="18"/>
        <v>OK</v>
      </c>
      <c r="N83" s="62" t="str">
        <f t="shared" si="18"/>
        <v>OK</v>
      </c>
      <c r="O83" s="62" t="str">
        <f t="shared" si="18"/>
        <v>OK</v>
      </c>
      <c r="P83" s="62" t="str">
        <f t="shared" si="18"/>
        <v>OK</v>
      </c>
      <c r="Q83" s="62" t="str">
        <f t="shared" si="18"/>
        <v>OK</v>
      </c>
    </row>
    <row r="85" spans="2:17" x14ac:dyDescent="0.25">
      <c r="C85" s="3"/>
      <c r="D85" s="3"/>
      <c r="E85" s="3"/>
      <c r="F85" s="3"/>
      <c r="G85" s="3"/>
      <c r="H85" s="3"/>
      <c r="I85" s="3"/>
      <c r="J85" s="3"/>
      <c r="K85" s="3"/>
      <c r="L85" s="3"/>
      <c r="M85" s="3"/>
      <c r="N85" s="3"/>
      <c r="O85" s="3"/>
      <c r="P85" s="3"/>
      <c r="Q85" s="3"/>
    </row>
  </sheetData>
  <mergeCells count="2">
    <mergeCell ref="B8:B9"/>
    <mergeCell ref="B7:Q7"/>
  </mergeCells>
  <pageMargins left="0.7" right="0.7" top="0.75" bottom="0.75" header="0.3" footer="0.3"/>
  <ignoredErrors>
    <ignoredError sqref="H51:Q52" formula="1"/>
    <ignoredError sqref="C71" formulaRange="1"/>
  </ignoredError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23488-F5F2-4D98-979C-DED9EC47F894}">
  <dimension ref="B6:R93"/>
  <sheetViews>
    <sheetView showGridLines="0" topLeftCell="A85" zoomScaleNormal="100" workbookViewId="0">
      <selection activeCell="G96" sqref="G96"/>
    </sheetView>
  </sheetViews>
  <sheetFormatPr defaultRowHeight="15" x14ac:dyDescent="0.25"/>
  <cols>
    <col min="1" max="1" width="0.85546875" customWidth="1"/>
    <col min="2" max="2" width="60.85546875" customWidth="1"/>
    <col min="3" max="3" width="16.28515625" customWidth="1"/>
    <col min="4" max="9" width="12.42578125" bestFit="1" customWidth="1"/>
    <col min="10" max="17" width="13.85546875" bestFit="1" customWidth="1"/>
  </cols>
  <sheetData>
    <row r="6" spans="2:17" x14ac:dyDescent="0.25">
      <c r="Q6" t="s">
        <v>274</v>
      </c>
    </row>
    <row r="7" spans="2:17" ht="15.75" x14ac:dyDescent="0.25">
      <c r="B7" s="235" t="s">
        <v>289</v>
      </c>
      <c r="C7" s="235"/>
      <c r="D7" s="235"/>
      <c r="E7" s="235"/>
      <c r="F7" s="235"/>
      <c r="G7" s="235"/>
      <c r="H7" s="235"/>
      <c r="I7" s="235"/>
      <c r="J7" s="235"/>
      <c r="K7" s="235"/>
      <c r="L7" s="235"/>
      <c r="M7" s="235"/>
      <c r="N7" s="235"/>
      <c r="O7" s="235"/>
      <c r="P7" s="235"/>
      <c r="Q7" s="235"/>
    </row>
    <row r="8" spans="2:17" x14ac:dyDescent="0.25">
      <c r="B8" s="252" t="s">
        <v>0</v>
      </c>
      <c r="C8" s="38">
        <v>2020</v>
      </c>
      <c r="D8" s="38">
        <v>2021</v>
      </c>
      <c r="E8" s="38">
        <v>2022</v>
      </c>
      <c r="F8" s="38">
        <v>2023</v>
      </c>
      <c r="G8" s="38">
        <v>2024</v>
      </c>
      <c r="H8" s="99">
        <f>G8+1</f>
        <v>2025</v>
      </c>
      <c r="I8" s="99">
        <f t="shared" ref="I8:Q8" si="0">H8+1</f>
        <v>2026</v>
      </c>
      <c r="J8" s="99">
        <f t="shared" si="0"/>
        <v>2027</v>
      </c>
      <c r="K8" s="99">
        <f t="shared" si="0"/>
        <v>2028</v>
      </c>
      <c r="L8" s="99">
        <f t="shared" si="0"/>
        <v>2029</v>
      </c>
      <c r="M8" s="99">
        <f t="shared" si="0"/>
        <v>2030</v>
      </c>
      <c r="N8" s="99">
        <f t="shared" si="0"/>
        <v>2031</v>
      </c>
      <c r="O8" s="99">
        <f t="shared" si="0"/>
        <v>2032</v>
      </c>
      <c r="P8" s="99">
        <f t="shared" si="0"/>
        <v>2033</v>
      </c>
      <c r="Q8" s="99">
        <f t="shared" si="0"/>
        <v>2034</v>
      </c>
    </row>
    <row r="9" spans="2:17" x14ac:dyDescent="0.25">
      <c r="B9" s="253"/>
      <c r="C9" s="41" t="s">
        <v>1</v>
      </c>
      <c r="D9" s="41" t="s">
        <v>1</v>
      </c>
      <c r="E9" s="41" t="s">
        <v>1</v>
      </c>
      <c r="F9" s="41" t="s">
        <v>1</v>
      </c>
      <c r="G9" s="41" t="s">
        <v>1</v>
      </c>
      <c r="H9" s="42" t="s">
        <v>315</v>
      </c>
      <c r="I9" s="42" t="s">
        <v>315</v>
      </c>
      <c r="J9" s="42" t="s">
        <v>315</v>
      </c>
      <c r="K9" s="42" t="s">
        <v>315</v>
      </c>
      <c r="L9" s="42" t="s">
        <v>315</v>
      </c>
      <c r="M9" s="42" t="s">
        <v>315</v>
      </c>
      <c r="N9" s="42" t="s">
        <v>315</v>
      </c>
      <c r="O9" s="42" t="s">
        <v>315</v>
      </c>
      <c r="P9" s="42" t="s">
        <v>315</v>
      </c>
      <c r="Q9" s="42" t="s">
        <v>315</v>
      </c>
    </row>
    <row r="10" spans="2:17" x14ac:dyDescent="0.25">
      <c r="B10" s="100"/>
      <c r="H10" s="96"/>
      <c r="I10" s="96"/>
      <c r="J10" s="96"/>
      <c r="K10" s="96"/>
      <c r="L10" s="96"/>
      <c r="M10" s="96"/>
      <c r="N10" s="96"/>
      <c r="O10" s="96"/>
      <c r="P10" s="96"/>
      <c r="Q10" s="96"/>
    </row>
    <row r="11" spans="2:17" x14ac:dyDescent="0.25">
      <c r="B11" s="55" t="s">
        <v>176</v>
      </c>
      <c r="C11" s="17"/>
      <c r="D11" s="17"/>
      <c r="E11" s="17"/>
      <c r="F11" s="17"/>
      <c r="G11" s="17"/>
      <c r="H11" s="19"/>
      <c r="I11" s="19"/>
      <c r="J11" s="19"/>
      <c r="K11" s="19"/>
      <c r="L11" s="19"/>
      <c r="M11" s="19"/>
      <c r="N11" s="19"/>
      <c r="O11" s="19"/>
      <c r="P11" s="19"/>
      <c r="Q11" s="19"/>
    </row>
    <row r="12" spans="2:17" x14ac:dyDescent="0.25">
      <c r="B12" s="56"/>
      <c r="C12" s="17"/>
      <c r="D12" s="17"/>
      <c r="E12" s="17"/>
      <c r="F12" s="17"/>
      <c r="G12" s="17"/>
      <c r="H12" s="19"/>
      <c r="I12" s="19"/>
      <c r="J12" s="19"/>
      <c r="K12" s="19"/>
      <c r="L12" s="19"/>
      <c r="M12" s="19"/>
      <c r="N12" s="19"/>
      <c r="O12" s="19"/>
      <c r="P12" s="19"/>
      <c r="Q12" s="19"/>
    </row>
    <row r="13" spans="2:17" x14ac:dyDescent="0.25">
      <c r="B13" s="56" t="s">
        <v>17</v>
      </c>
      <c r="C13" s="17"/>
      <c r="D13" s="17">
        <f>'Income Statement'!D37</f>
        <v>-67.08000000000122</v>
      </c>
      <c r="E13" s="17">
        <f>'Income Statement'!E37</f>
        <v>-199.5899999999948</v>
      </c>
      <c r="F13" s="17">
        <f>'Income Statement'!F37</f>
        <v>2268.5900000000015</v>
      </c>
      <c r="G13" s="17">
        <f>'Income Statement'!G37</f>
        <v>4106.0699999999952</v>
      </c>
      <c r="H13" s="19">
        <f>'Income Statement'!H37</f>
        <v>2806.472519052626</v>
      </c>
      <c r="I13" s="19">
        <f>'Income Statement'!I37</f>
        <v>3693.9422710375311</v>
      </c>
      <c r="J13" s="19">
        <f>'Income Statement'!J37</f>
        <v>4798.2036686705815</v>
      </c>
      <c r="K13" s="19">
        <f>'Income Statement'!K37</f>
        <v>6172.4726733670432</v>
      </c>
      <c r="L13" s="19">
        <f>'Income Statement'!L37</f>
        <v>7883.0955022442831</v>
      </c>
      <c r="M13" s="19">
        <f>'Income Statement'!M37</f>
        <v>10012.797235684942</v>
      </c>
      <c r="N13" s="19">
        <f>'Income Statement'!N37</f>
        <v>12664.735327601044</v>
      </c>
      <c r="O13" s="19">
        <f>'Income Statement'!O37</f>
        <v>15967.557596406266</v>
      </c>
      <c r="P13" s="19">
        <f>'Income Statement'!P37</f>
        <v>20081.713779760859</v>
      </c>
      <c r="Q13" s="19">
        <f>'Income Statement'!Q37</f>
        <v>25207.331523331886</v>
      </c>
    </row>
    <row r="14" spans="2:17" x14ac:dyDescent="0.25">
      <c r="B14" s="56" t="s">
        <v>165</v>
      </c>
      <c r="C14" s="17"/>
      <c r="D14" s="17"/>
      <c r="E14" s="17"/>
      <c r="F14" s="17"/>
      <c r="G14" s="17"/>
      <c r="H14" s="19"/>
      <c r="I14" s="19"/>
      <c r="J14" s="19"/>
      <c r="K14" s="19"/>
      <c r="L14" s="19"/>
      <c r="M14" s="19"/>
      <c r="N14" s="19"/>
      <c r="O14" s="19"/>
      <c r="P14" s="19"/>
      <c r="Q14" s="19"/>
    </row>
    <row r="15" spans="2:17" x14ac:dyDescent="0.25">
      <c r="B15" s="56" t="s">
        <v>317</v>
      </c>
      <c r="C15" s="17"/>
      <c r="D15" s="17">
        <f>'Income Statement'!D24</f>
        <v>835.62</v>
      </c>
      <c r="E15" s="17">
        <f>'Income Statement'!E24</f>
        <v>865.96</v>
      </c>
      <c r="F15" s="17">
        <f>'Income Statement'!F24</f>
        <v>900.22</v>
      </c>
      <c r="G15" s="17">
        <f>'Income Statement'!G24</f>
        <v>927.29</v>
      </c>
      <c r="H15" s="19">
        <f>'Income Statement'!H24</f>
        <v>931.92644999999993</v>
      </c>
      <c r="I15" s="19">
        <f>'Income Statement'!I24</f>
        <v>936.58608224999978</v>
      </c>
      <c r="J15" s="19">
        <f>'Income Statement'!J24</f>
        <v>941.26901266124969</v>
      </c>
      <c r="K15" s="19">
        <f>'Income Statement'!K24</f>
        <v>945.97535772455581</v>
      </c>
      <c r="L15" s="19">
        <f>'Income Statement'!L24</f>
        <v>950.70523451317854</v>
      </c>
      <c r="M15" s="19">
        <f>'Income Statement'!M24</f>
        <v>955.45876068574444</v>
      </c>
      <c r="N15" s="19">
        <f>'Income Statement'!N24</f>
        <v>960.23605448917306</v>
      </c>
      <c r="O15" s="19">
        <f>'Income Statement'!O24</f>
        <v>965.03723476161872</v>
      </c>
      <c r="P15" s="19">
        <f>'Income Statement'!P24</f>
        <v>969.86242093542683</v>
      </c>
      <c r="Q15" s="19">
        <f>'Income Statement'!Q24</f>
        <v>974.71173304010381</v>
      </c>
    </row>
    <row r="16" spans="2:17" x14ac:dyDescent="0.25">
      <c r="B16" s="56" t="s">
        <v>166</v>
      </c>
      <c r="C16" s="17"/>
      <c r="D16" s="17">
        <f>'Income Statement'!D28</f>
        <v>1900.64</v>
      </c>
      <c r="E16" s="17">
        <f>'Income Statement'!E28</f>
        <v>1869.05</v>
      </c>
      <c r="F16" s="17">
        <f>'Income Statement'!F28</f>
        <v>2093.5</v>
      </c>
      <c r="G16" s="17">
        <f>'Income Statement'!G28</f>
        <v>2982.25</v>
      </c>
      <c r="H16" s="19">
        <f>'Income Statement'!H28</f>
        <v>4152.1811704347601</v>
      </c>
      <c r="I16" s="19">
        <f>'Income Statement'!I28</f>
        <v>5140.2916692392864</v>
      </c>
      <c r="J16" s="19">
        <f>'Income Statement'!J28</f>
        <v>6368.17429022953</v>
      </c>
      <c r="K16" s="19">
        <f>'Income Statement'!K28</f>
        <v>7894.6314001570281</v>
      </c>
      <c r="L16" s="19">
        <f>'Income Statement'!L28</f>
        <v>9792.9676635134747</v>
      </c>
      <c r="M16" s="19">
        <f>'Income Statement'!M28</f>
        <v>12154.577299456312</v>
      </c>
      <c r="N16" s="19">
        <f>'Income Statement'!N28</f>
        <v>15093.420043365957</v>
      </c>
      <c r="O16" s="19">
        <f>'Income Statement'!O28</f>
        <v>18751.606156503578</v>
      </c>
      <c r="P16" s="19">
        <f>'Income Statement'!P28</f>
        <v>23306.365481409521</v>
      </c>
      <c r="Q16" s="19">
        <f>'Income Statement'!Q28</f>
        <v>28978.743754236333</v>
      </c>
    </row>
    <row r="17" spans="2:17" x14ac:dyDescent="0.25">
      <c r="B17" s="55" t="s">
        <v>167</v>
      </c>
      <c r="C17" s="17"/>
      <c r="D17" s="17"/>
      <c r="E17" s="17"/>
      <c r="F17" s="17"/>
      <c r="G17" s="17"/>
      <c r="H17" s="19"/>
      <c r="I17" s="19"/>
      <c r="J17" s="19"/>
      <c r="K17" s="19"/>
      <c r="L17" s="19"/>
      <c r="M17" s="19"/>
      <c r="N17" s="19"/>
      <c r="O17" s="19"/>
      <c r="P17" s="19"/>
      <c r="Q17" s="19"/>
    </row>
    <row r="18" spans="2:17" x14ac:dyDescent="0.25">
      <c r="B18" s="55"/>
      <c r="C18" s="17"/>
      <c r="D18" s="17"/>
      <c r="E18" s="17"/>
      <c r="F18" s="17"/>
      <c r="G18" s="17"/>
      <c r="H18" s="19"/>
      <c r="I18" s="19"/>
      <c r="J18" s="19"/>
      <c r="K18" s="19"/>
      <c r="L18" s="19"/>
      <c r="M18" s="19"/>
      <c r="N18" s="19"/>
      <c r="O18" s="19"/>
      <c r="P18" s="19"/>
      <c r="Q18" s="19"/>
    </row>
    <row r="19" spans="2:17" x14ac:dyDescent="0.25">
      <c r="B19" s="56" t="s">
        <v>168</v>
      </c>
      <c r="C19" s="17"/>
      <c r="D19" s="17">
        <f>Balance_Sheet!D70-Balance_Sheet!C70</f>
        <v>-242.94999999999982</v>
      </c>
      <c r="E19" s="17">
        <f>Balance_Sheet!E70-Balance_Sheet!D70</f>
        <v>6042.32</v>
      </c>
      <c r="F19" s="17">
        <f>Balance_Sheet!F70-Balance_Sheet!E70</f>
        <v>2775.5300000000007</v>
      </c>
      <c r="G19" s="17">
        <f>Balance_Sheet!G70-Balance_Sheet!F70</f>
        <v>2451.0499999999993</v>
      </c>
      <c r="H19" s="19">
        <f>Balance_Sheet!H70-Balance_Sheet!G70</f>
        <v>-621.36312139246184</v>
      </c>
      <c r="I19" s="19">
        <f>Balance_Sheet!I70-Balance_Sheet!H70</f>
        <v>3152.5029727561196</v>
      </c>
      <c r="J19" s="19">
        <f>Balance_Sheet!J70-Balance_Sheet!I70</f>
        <v>3917.48050197884</v>
      </c>
      <c r="K19" s="19">
        <f>Balance_Sheet!K70-Balance_Sheet!J70</f>
        <v>4870.0631990584006</v>
      </c>
      <c r="L19" s="19">
        <f>Balance_Sheet!L70-Balance_Sheet!K70</f>
        <v>6056.5197118767064</v>
      </c>
      <c r="M19" s="19">
        <f>Balance_Sheet!M70-Balance_Sheet!L70</f>
        <v>7534.5636007376415</v>
      </c>
      <c r="N19" s="19">
        <f>Balance_Sheet!N70-Balance_Sheet!M70</f>
        <v>9376.1886933160858</v>
      </c>
      <c r="O19" s="19">
        <f>Balance_Sheet!O70-Balance_Sheet!N70</f>
        <v>11671.207431268194</v>
      </c>
      <c r="P19" s="19">
        <f>Balance_Sheet!P70-Balance_Sheet!O70</f>
        <v>14531.666579119301</v>
      </c>
      <c r="Q19" s="19">
        <f>Balance_Sheet!Q70-Balance_Sheet!P70</f>
        <v>18097.357926384429</v>
      </c>
    </row>
    <row r="20" spans="2:17" x14ac:dyDescent="0.25">
      <c r="B20" s="56" t="s">
        <v>171</v>
      </c>
      <c r="C20" s="17"/>
      <c r="D20" s="17">
        <f>Balance_Sheet!D71-Balance_Sheet!C71</f>
        <v>2511.6299999999992</v>
      </c>
      <c r="E20" s="17">
        <f>Balance_Sheet!E71-Balance_Sheet!D71</f>
        <v>1903.6800000000003</v>
      </c>
      <c r="F20" s="17">
        <f>Balance_Sheet!F71-Balance_Sheet!E71</f>
        <v>331.96000000000004</v>
      </c>
      <c r="G20" s="17">
        <f>Balance_Sheet!G71-Balance_Sheet!F71</f>
        <v>-783.84999999999945</v>
      </c>
      <c r="H20" s="19">
        <f>Balance_Sheet!H71-Balance_Sheet!G71</f>
        <v>3439.5969414148949</v>
      </c>
      <c r="I20" s="19">
        <f>Balance_Sheet!I71-Balance_Sheet!H71</f>
        <v>2436.2850192039987</v>
      </c>
      <c r="J20" s="19">
        <f>Balance_Sheet!J71-Balance_Sheet!I71</f>
        <v>3027.4671086672297</v>
      </c>
      <c r="K20" s="19">
        <f>Balance_Sheet!K71-Balance_Sheet!J71</f>
        <v>3763.6323001052297</v>
      </c>
      <c r="L20" s="19">
        <f>Balance_Sheet!L71-Balance_Sheet!K71</f>
        <v>4680.5374554996306</v>
      </c>
      <c r="M20" s="19">
        <f>Balance_Sheet!M71-Balance_Sheet!L71</f>
        <v>5822.7841766850252</v>
      </c>
      <c r="N20" s="19">
        <f>Balance_Sheet!N71-Balance_Sheet!M71</f>
        <v>7246.0099952848068</v>
      </c>
      <c r="O20" s="19">
        <f>Balance_Sheet!O71-Balance_Sheet!N71</f>
        <v>9019.6228414534853</v>
      </c>
      <c r="P20" s="19">
        <f>Balance_Sheet!P71-Balance_Sheet!O71</f>
        <v>11230.213546737425</v>
      </c>
      <c r="Q20" s="19">
        <f>Balance_Sheet!Q71-Balance_Sheet!P71</f>
        <v>13985.814568376627</v>
      </c>
    </row>
    <row r="21" spans="2:17" x14ac:dyDescent="0.25">
      <c r="B21" s="56" t="s">
        <v>169</v>
      </c>
      <c r="C21" s="17"/>
      <c r="D21" s="17">
        <f>Balance_Sheet!D72-Balance_Sheet!C72</f>
        <v>4.8399999999999963</v>
      </c>
      <c r="E21" s="17">
        <f>Balance_Sheet!E72-Balance_Sheet!D72</f>
        <v>3.490000000000002</v>
      </c>
      <c r="F21" s="17">
        <f>Balance_Sheet!F72-Balance_Sheet!E72</f>
        <v>6.4200000000000017</v>
      </c>
      <c r="G21" s="17">
        <f>Balance_Sheet!G72-Balance_Sheet!F72</f>
        <v>35.109999999999992</v>
      </c>
      <c r="H21" s="19">
        <f>Balance_Sheet!H72-Balance_Sheet!G72</f>
        <v>11.487403470256453</v>
      </c>
      <c r="I21" s="19">
        <f>Balance_Sheet!I72-Balance_Sheet!H72</f>
        <v>23.349375305376824</v>
      </c>
      <c r="J21" s="19">
        <f>Balance_Sheet!J72-Balance_Sheet!I72</f>
        <v>29.015269226607685</v>
      </c>
      <c r="K21" s="19">
        <f>Balance_Sheet!K72-Balance_Sheet!J72</f>
        <v>36.070682368398707</v>
      </c>
      <c r="L21" s="19">
        <f>Balance_Sheet!L72-Balance_Sheet!K72</f>
        <v>44.858308784840574</v>
      </c>
      <c r="M21" s="19">
        <f>Balance_Sheet!M72-Balance_Sheet!L72</f>
        <v>55.805610588226557</v>
      </c>
      <c r="N21" s="19">
        <f>Balance_Sheet!N72-Balance_Sheet!M72</f>
        <v>69.445818331097996</v>
      </c>
      <c r="O21" s="19">
        <f>Balance_Sheet!O72-Balance_Sheet!N72</f>
        <v>86.444138176762351</v>
      </c>
      <c r="P21" s="19">
        <f>Balance_Sheet!P72-Balance_Sheet!O72</f>
        <v>107.63045735427653</v>
      </c>
      <c r="Q21" s="19">
        <f>Balance_Sheet!Q72-Balance_Sheet!P72</f>
        <v>134.04015980656015</v>
      </c>
    </row>
    <row r="22" spans="2:17" x14ac:dyDescent="0.25">
      <c r="B22" s="56" t="s">
        <v>170</v>
      </c>
      <c r="C22" s="17"/>
      <c r="D22" s="17">
        <f>Balance_Sheet!D73-Balance_Sheet!C73</f>
        <v>-747.35000000000036</v>
      </c>
      <c r="E22" s="17">
        <f>Balance_Sheet!E73-Balance_Sheet!D73</f>
        <v>-5738.85</v>
      </c>
      <c r="F22" s="17">
        <f>Balance_Sheet!F73-Balance_Sheet!E73</f>
        <v>413.70000000000005</v>
      </c>
      <c r="G22" s="17">
        <f>Balance_Sheet!G73-Balance_Sheet!F73</f>
        <v>1832.05</v>
      </c>
      <c r="H22" s="19">
        <f>Balance_Sheet!H73-Balance_Sheet!G73</f>
        <v>6358.3283701545006</v>
      </c>
      <c r="I22" s="19">
        <f>Balance_Sheet!I73-Balance_Sheet!H73</f>
        <v>2330.2727728239242</v>
      </c>
      <c r="J22" s="19">
        <f>Balance_Sheet!J73-Balance_Sheet!I73</f>
        <v>2895.7302279239138</v>
      </c>
      <c r="K22" s="19">
        <f>Balance_Sheet!K73-Balance_Sheet!J73</f>
        <v>3599.8620057686803</v>
      </c>
      <c r="L22" s="19">
        <f>Balance_Sheet!L73-Balance_Sheet!K73</f>
        <v>4476.869048062752</v>
      </c>
      <c r="M22" s="19">
        <f>Balance_Sheet!M73-Balance_Sheet!L73</f>
        <v>5569.4121672973888</v>
      </c>
      <c r="N22" s="19">
        <f>Balance_Sheet!N73-Balance_Sheet!M73</f>
        <v>6930.707889481273</v>
      </c>
      <c r="O22" s="19">
        <f>Balance_Sheet!O73-Balance_Sheet!N73</f>
        <v>8627.1439355018592</v>
      </c>
      <c r="P22" s="19">
        <f>Balance_Sheet!P73-Balance_Sheet!O73</f>
        <v>10741.54323270062</v>
      </c>
      <c r="Q22" s="19">
        <f>Balance_Sheet!Q73-Balance_Sheet!P73</f>
        <v>13377.237325500006</v>
      </c>
    </row>
    <row r="23" spans="2:17" x14ac:dyDescent="0.25">
      <c r="B23" s="56" t="s">
        <v>61</v>
      </c>
      <c r="C23" s="17"/>
      <c r="D23" s="17">
        <f>Balance_Sheet!D74-Balance_Sheet!C74</f>
        <v>-123.72999999999996</v>
      </c>
      <c r="E23" s="17">
        <f>Balance_Sheet!E74-Balance_Sheet!D74</f>
        <v>24.95999999999998</v>
      </c>
      <c r="F23" s="17">
        <f>Balance_Sheet!F74-Balance_Sheet!E74</f>
        <v>-40.399999999999977</v>
      </c>
      <c r="G23" s="17">
        <f>Balance_Sheet!G74-Balance_Sheet!F74</f>
        <v>98.240000000000009</v>
      </c>
      <c r="H23" s="19">
        <f>Balance_Sheet!H74-Balance_Sheet!G74</f>
        <v>0</v>
      </c>
      <c r="I23" s="19">
        <f>Balance_Sheet!I74-Balance_Sheet!H74</f>
        <v>0</v>
      </c>
      <c r="J23" s="19">
        <f>Balance_Sheet!J74-Balance_Sheet!I74</f>
        <v>0</v>
      </c>
      <c r="K23" s="19">
        <f>Balance_Sheet!K74-Balance_Sheet!J74</f>
        <v>0</v>
      </c>
      <c r="L23" s="19">
        <f>Balance_Sheet!L74-Balance_Sheet!K74</f>
        <v>0</v>
      </c>
      <c r="M23" s="19">
        <f>Balance_Sheet!M74-Balance_Sheet!L74</f>
        <v>0</v>
      </c>
      <c r="N23" s="19">
        <f>Balance_Sheet!N74-Balance_Sheet!M74</f>
        <v>0</v>
      </c>
      <c r="O23" s="19">
        <f>Balance_Sheet!O74-Balance_Sheet!N74</f>
        <v>0</v>
      </c>
      <c r="P23" s="19">
        <f>Balance_Sheet!P74-Balance_Sheet!O74</f>
        <v>0</v>
      </c>
      <c r="Q23" s="19">
        <f>Balance_Sheet!Q74-Balance_Sheet!P74</f>
        <v>0</v>
      </c>
    </row>
    <row r="24" spans="2:17" x14ac:dyDescent="0.25">
      <c r="B24" s="56" t="s">
        <v>70</v>
      </c>
      <c r="C24" s="17"/>
      <c r="D24" s="17">
        <f>Balance_Sheet!D75-Balance_Sheet!C75</f>
        <v>486.64</v>
      </c>
      <c r="E24" s="17">
        <f>Balance_Sheet!E75-Balance_Sheet!D75</f>
        <v>-255.73000000000002</v>
      </c>
      <c r="F24" s="17">
        <f>Balance_Sheet!F75-Balance_Sheet!E75</f>
        <v>294.42999999999995</v>
      </c>
      <c r="G24" s="17">
        <f>Balance_Sheet!G75-Balance_Sheet!F75</f>
        <v>-29.129999999999995</v>
      </c>
      <c r="H24" s="19">
        <f>Balance_Sheet!H75-Balance_Sheet!G75</f>
        <v>249.87474836659158</v>
      </c>
      <c r="I24" s="19">
        <f>Balance_Sheet!I75-Balance_Sheet!H75</f>
        <v>199.64214410258433</v>
      </c>
      <c r="J24" s="19">
        <f>Balance_Sheet!J75-Balance_Sheet!I75</f>
        <v>248.08674683385561</v>
      </c>
      <c r="K24" s="19">
        <f>Balance_Sheet!K75-Balance_Sheet!J75</f>
        <v>308.41203557219478</v>
      </c>
      <c r="L24" s="19">
        <f>Balance_Sheet!L75-Balance_Sheet!K75</f>
        <v>383.54811764746023</v>
      </c>
      <c r="M24" s="19">
        <f>Balance_Sheet!M75-Balance_Sheet!L75</f>
        <v>477.14988538566536</v>
      </c>
      <c r="N24" s="19">
        <f>Balance_Sheet!N75-Balance_Sheet!M75</f>
        <v>593.77657385918747</v>
      </c>
      <c r="O24" s="19">
        <f>Balance_Sheet!O75-Balance_Sheet!N75</f>
        <v>739.11583779009334</v>
      </c>
      <c r="P24" s="19">
        <f>Balance_Sheet!P75-Balance_Sheet!O75</f>
        <v>920.26339017307555</v>
      </c>
      <c r="Q24" s="19">
        <f>Balance_Sheet!Q75-Balance_Sheet!P75</f>
        <v>1146.0719847812152</v>
      </c>
    </row>
    <row r="25" spans="2:17" x14ac:dyDescent="0.25">
      <c r="B25" s="56" t="s">
        <v>59</v>
      </c>
      <c r="C25" s="17"/>
      <c r="D25" s="17">
        <f>Balance_Sheet!D76-Balance_Sheet!C76</f>
        <v>-513.73</v>
      </c>
      <c r="E25" s="17">
        <f>Balance_Sheet!E76-Balance_Sheet!D76</f>
        <v>330.42999999999995</v>
      </c>
      <c r="F25" s="17">
        <f>Balance_Sheet!F76-Balance_Sheet!E76</f>
        <v>53.840000000000032</v>
      </c>
      <c r="G25" s="17">
        <f>Balance_Sheet!G76-Balance_Sheet!F76</f>
        <v>216.47000000000003</v>
      </c>
      <c r="H25" s="19">
        <f>Balance_Sheet!H76-Balance_Sheet!G76</f>
        <v>272.38658994330785</v>
      </c>
      <c r="I25" s="19">
        <f>Balance_Sheet!I76-Balance_Sheet!H76</f>
        <v>255.91149689172425</v>
      </c>
      <c r="J25" s="19">
        <f>Balance_Sheet!J76-Balance_Sheet!I76</f>
        <v>318.01026294642156</v>
      </c>
      <c r="K25" s="19">
        <f>Balance_Sheet!K76-Balance_Sheet!J76</f>
        <v>395.33829912259694</v>
      </c>
      <c r="L25" s="19">
        <f>Balance_Sheet!L76-Balance_Sheet!K76</f>
        <v>491.65156664881806</v>
      </c>
      <c r="M25" s="19">
        <f>Balance_Sheet!M76-Balance_Sheet!L76</f>
        <v>611.63509317960552</v>
      </c>
      <c r="N25" s="19">
        <f>Balance_Sheet!N76-Balance_Sheet!M76</f>
        <v>761.13313909043063</v>
      </c>
      <c r="O25" s="19">
        <f>Balance_Sheet!O76-Balance_Sheet!N76</f>
        <v>947.43643069697509</v>
      </c>
      <c r="P25" s="19">
        <f>Balance_Sheet!P76-Balance_Sheet!O76</f>
        <v>1179.6406153243479</v>
      </c>
      <c r="Q25" s="19">
        <f>Balance_Sheet!Q76-Balance_Sheet!P76</f>
        <v>1469.0936049070096</v>
      </c>
    </row>
    <row r="26" spans="2:17" x14ac:dyDescent="0.25">
      <c r="B26" s="56" t="s">
        <v>71</v>
      </c>
      <c r="C26" s="17"/>
      <c r="D26" s="17">
        <f>Balance_Sheet!D77-Balance_Sheet!C77</f>
        <v>53.79</v>
      </c>
      <c r="E26" s="17">
        <f>Balance_Sheet!E77-Balance_Sheet!D77</f>
        <v>70.02</v>
      </c>
      <c r="F26" s="17">
        <f>Balance_Sheet!F77-Balance_Sheet!E77</f>
        <v>4.4800000000000182</v>
      </c>
      <c r="G26" s="17">
        <f>Balance_Sheet!G77-Balance_Sheet!F77</f>
        <v>399.08</v>
      </c>
      <c r="H26" s="19">
        <f>Balance_Sheet!H77-Balance_Sheet!G77</f>
        <v>-277.23222879245679</v>
      </c>
      <c r="I26" s="19">
        <f>Balance_Sheet!I77-Balance_Sheet!H77</f>
        <v>59.528625760047277</v>
      </c>
      <c r="J26" s="19">
        <f>Balance_Sheet!J77-Balance_Sheet!I77</f>
        <v>73.973675120978669</v>
      </c>
      <c r="K26" s="19">
        <f>Balance_Sheet!K77-Balance_Sheet!J77</f>
        <v>91.961267637146648</v>
      </c>
      <c r="L26" s="19">
        <f>Balance_Sheet!L77-Balance_Sheet!K77</f>
        <v>114.36509289678924</v>
      </c>
      <c r="M26" s="19">
        <f>Balance_Sheet!M77-Balance_Sheet!L77</f>
        <v>142.27495445038664</v>
      </c>
      <c r="N26" s="19">
        <f>Balance_Sheet!N77-Balance_Sheet!M77</f>
        <v>177.05030973913028</v>
      </c>
      <c r="O26" s="19">
        <f>Balance_Sheet!O77-Balance_Sheet!N77</f>
        <v>220.38708459533461</v>
      </c>
      <c r="P26" s="19">
        <f>Balance_Sheet!P77-Balance_Sheet!O77</f>
        <v>274.40105495028206</v>
      </c>
      <c r="Q26" s="19">
        <f>Balance_Sheet!Q77-Balance_Sheet!P77</f>
        <v>341.73190526875533</v>
      </c>
    </row>
    <row r="27" spans="2:17" x14ac:dyDescent="0.25">
      <c r="B27" s="56" t="s">
        <v>75</v>
      </c>
      <c r="C27" s="17"/>
      <c r="D27" s="17">
        <f>Balance_Sheet!D80-Balance_Sheet!C80</f>
        <v>0</v>
      </c>
      <c r="E27" s="17">
        <f>Balance_Sheet!E80-Balance_Sheet!D80</f>
        <v>11.78</v>
      </c>
      <c r="F27" s="17">
        <f>Balance_Sheet!F80-Balance_Sheet!E80</f>
        <v>-0.91000000000000014</v>
      </c>
      <c r="G27" s="17">
        <f>Balance_Sheet!G80-Balance_Sheet!F80</f>
        <v>5.9599999999999991</v>
      </c>
      <c r="H27" s="19">
        <f>Balance_Sheet!H80-Balance_Sheet!G80</f>
        <v>-16.829999999999998</v>
      </c>
      <c r="I27" s="19">
        <f>Balance_Sheet!I80-Balance_Sheet!H80</f>
        <v>0</v>
      </c>
      <c r="J27" s="19">
        <f>Balance_Sheet!J80-Balance_Sheet!I80</f>
        <v>0</v>
      </c>
      <c r="K27" s="19">
        <f>Balance_Sheet!K80-Balance_Sheet!J80</f>
        <v>0</v>
      </c>
      <c r="L27" s="19">
        <f>Balance_Sheet!L80-Balance_Sheet!K80</f>
        <v>0</v>
      </c>
      <c r="M27" s="19">
        <f>Balance_Sheet!M80-Balance_Sheet!L80</f>
        <v>0</v>
      </c>
      <c r="N27" s="19">
        <f>Balance_Sheet!N80-Balance_Sheet!M80</f>
        <v>0</v>
      </c>
      <c r="O27" s="19">
        <f>Balance_Sheet!O80-Balance_Sheet!N80</f>
        <v>0</v>
      </c>
      <c r="P27" s="19">
        <f>Balance_Sheet!P80-Balance_Sheet!O80</f>
        <v>0</v>
      </c>
      <c r="Q27" s="19">
        <f>Balance_Sheet!Q80-Balance_Sheet!P80</f>
        <v>0</v>
      </c>
    </row>
    <row r="28" spans="2:17" x14ac:dyDescent="0.25">
      <c r="B28" s="101" t="s">
        <v>172</v>
      </c>
      <c r="C28" s="17"/>
      <c r="D28" s="17"/>
      <c r="E28" s="17"/>
      <c r="F28" s="17"/>
      <c r="G28" s="17"/>
      <c r="H28" s="19"/>
      <c r="I28" s="19"/>
      <c r="J28" s="19"/>
      <c r="K28" s="19"/>
      <c r="L28" s="19"/>
      <c r="M28" s="19"/>
      <c r="N28" s="19"/>
      <c r="O28" s="19"/>
      <c r="P28" s="19"/>
      <c r="Q28" s="19"/>
    </row>
    <row r="29" spans="2:17" x14ac:dyDescent="0.25">
      <c r="B29" s="56" t="s">
        <v>100</v>
      </c>
      <c r="C29" s="17"/>
      <c r="D29" s="17">
        <f>'Income Statement'!D30</f>
        <v>131.16</v>
      </c>
      <c r="E29" s="17">
        <f>'Income Statement'!E30</f>
        <v>86.81</v>
      </c>
      <c r="F29" s="17">
        <f>'Income Statement'!F30</f>
        <v>110.77</v>
      </c>
      <c r="G29" s="17">
        <f>'Income Statement'!G30</f>
        <v>140.58000000000001</v>
      </c>
      <c r="H29" s="19">
        <f>'Income Statement'!H30</f>
        <v>244.47744010236178</v>
      </c>
      <c r="I29" s="19">
        <f>'Income Statement'!I30</f>
        <v>305.14490033999869</v>
      </c>
      <c r="J29" s="19">
        <f>'Income Statement'!J30</f>
        <v>380.86708599583466</v>
      </c>
      <c r="K29" s="19">
        <f>'Income Statement'!K30</f>
        <v>475.3798507965559</v>
      </c>
      <c r="L29" s="19">
        <f>'Income Statement'!L30</f>
        <v>593.34610643101689</v>
      </c>
      <c r="M29" s="19">
        <f>'Income Statement'!M30</f>
        <v>740.58587343769307</v>
      </c>
      <c r="N29" s="19">
        <f>'Income Statement'!N30</f>
        <v>924.36341958070352</v>
      </c>
      <c r="O29" s="19">
        <f>'Income Statement'!O30</f>
        <v>1153.745652064234</v>
      </c>
      <c r="P29" s="19">
        <f>'Income Statement'!P30</f>
        <v>1440.04944533713</v>
      </c>
      <c r="Q29" s="19">
        <f>'Income Statement'!Q30</f>
        <v>1797.3999739938531</v>
      </c>
    </row>
    <row r="30" spans="2:17" x14ac:dyDescent="0.25">
      <c r="B30" s="56" t="s">
        <v>173</v>
      </c>
      <c r="C30" s="17"/>
      <c r="D30" s="17">
        <f>'Income Statement'!D34</f>
        <v>-0.5</v>
      </c>
      <c r="E30" s="17">
        <f>'Income Statement'!E34</f>
        <v>7.52</v>
      </c>
      <c r="F30" s="17">
        <f>'Income Statement'!F34</f>
        <v>10.75</v>
      </c>
      <c r="G30" s="17">
        <f>'Income Statement'!G34</f>
        <v>16.38</v>
      </c>
      <c r="H30" s="19">
        <f>'Income Statement'!H34</f>
        <v>0</v>
      </c>
      <c r="I30" s="19">
        <f>'Income Statement'!I34</f>
        <v>0</v>
      </c>
      <c r="J30" s="19">
        <f>'Income Statement'!J34</f>
        <v>0</v>
      </c>
      <c r="K30" s="19">
        <f>'Income Statement'!K34</f>
        <v>0</v>
      </c>
      <c r="L30" s="19">
        <f>'Income Statement'!L34</f>
        <v>0</v>
      </c>
      <c r="M30" s="19">
        <f>'Income Statement'!M34</f>
        <v>0</v>
      </c>
      <c r="N30" s="19">
        <f>'Income Statement'!N34</f>
        <v>0</v>
      </c>
      <c r="O30" s="19">
        <f>'Income Statement'!O34</f>
        <v>0</v>
      </c>
      <c r="P30" s="19">
        <f>'Income Statement'!P34</f>
        <v>0</v>
      </c>
      <c r="Q30" s="19">
        <f>'Income Statement'!Q34</f>
        <v>0</v>
      </c>
    </row>
    <row r="31" spans="2:17" x14ac:dyDescent="0.25">
      <c r="B31" s="56" t="s">
        <v>174</v>
      </c>
      <c r="C31" s="17"/>
      <c r="D31" s="17">
        <f>'Income Statement'!D39</f>
        <v>2.52</v>
      </c>
      <c r="E31" s="17">
        <f>'Income Statement'!E39</f>
        <v>85.86</v>
      </c>
      <c r="F31" s="17">
        <f>'Income Statement'!F39</f>
        <v>906.93</v>
      </c>
      <c r="G31" s="17">
        <f>'Income Statement'!G39</f>
        <v>1409.73</v>
      </c>
      <c r="H31" s="19">
        <f>'Income Statement'!H39</f>
        <v>841.94175571578774</v>
      </c>
      <c r="I31" s="19">
        <f>'Income Statement'!I39</f>
        <v>1108.1826813112593</v>
      </c>
      <c r="J31" s="19">
        <f>'Income Statement'!J39</f>
        <v>1439.4611006011744</v>
      </c>
      <c r="K31" s="19">
        <f>'Income Statement'!K39</f>
        <v>1851.7418020101129</v>
      </c>
      <c r="L31" s="19">
        <f>'Income Statement'!L39</f>
        <v>2364.9286506732847</v>
      </c>
      <c r="M31" s="19">
        <f>'Income Statement'!M39</f>
        <v>3003.8391707054825</v>
      </c>
      <c r="N31" s="19">
        <f>'Income Statement'!N39</f>
        <v>3799.4205982803128</v>
      </c>
      <c r="O31" s="19">
        <f>'Income Statement'!O39</f>
        <v>4790.2672789218796</v>
      </c>
      <c r="P31" s="19">
        <f>'Income Statement'!P39</f>
        <v>6024.5141339282573</v>
      </c>
      <c r="Q31" s="19">
        <f>'Income Statement'!Q39</f>
        <v>7562.1994569995659</v>
      </c>
    </row>
    <row r="32" spans="2:17" x14ac:dyDescent="0.25">
      <c r="B32" s="55" t="s">
        <v>175</v>
      </c>
      <c r="C32" s="17"/>
      <c r="D32" s="17"/>
      <c r="E32" s="17"/>
      <c r="F32" s="17"/>
      <c r="G32" s="17"/>
      <c r="H32" s="19"/>
      <c r="I32" s="19"/>
      <c r="J32" s="19"/>
      <c r="K32" s="19"/>
      <c r="L32" s="19"/>
      <c r="M32" s="19"/>
      <c r="N32" s="19"/>
      <c r="O32" s="19"/>
      <c r="P32" s="19"/>
      <c r="Q32" s="19"/>
    </row>
    <row r="33" spans="2:17" x14ac:dyDescent="0.25">
      <c r="B33" s="56"/>
      <c r="C33" s="17"/>
      <c r="D33" s="17"/>
      <c r="E33" s="17"/>
      <c r="F33" s="17"/>
      <c r="G33" s="17"/>
      <c r="H33" s="19"/>
      <c r="I33" s="19"/>
      <c r="J33" s="19"/>
      <c r="K33" s="19"/>
      <c r="L33" s="19"/>
      <c r="M33" s="19"/>
      <c r="N33" s="19"/>
      <c r="O33" s="19"/>
      <c r="P33" s="19"/>
      <c r="Q33" s="19"/>
    </row>
    <row r="34" spans="2:17" x14ac:dyDescent="0.25">
      <c r="B34" s="56" t="s">
        <v>39</v>
      </c>
      <c r="C34" s="17"/>
      <c r="D34" s="17">
        <f>Balance_Sheet!D31-Balance_Sheet!C31</f>
        <v>959.45999999999981</v>
      </c>
      <c r="E34" s="17">
        <f>Balance_Sheet!E31-Balance_Sheet!D31</f>
        <v>44.700000000000273</v>
      </c>
      <c r="F34" s="17">
        <f>Balance_Sheet!F31-Balance_Sheet!E31</f>
        <v>899.87999999999965</v>
      </c>
      <c r="G34" s="17">
        <f>Balance_Sheet!G31-Balance_Sheet!F31</f>
        <v>567.58000000000038</v>
      </c>
      <c r="H34" s="19">
        <f>Balance_Sheet!H31-Balance_Sheet!G31</f>
        <v>708.74974803828536</v>
      </c>
      <c r="I34" s="19">
        <f>Balance_Sheet!I31-Balance_Sheet!H31</f>
        <v>1122.4654310754004</v>
      </c>
      <c r="J34" s="19">
        <f>Balance_Sheet!J31-Balance_Sheet!I31</f>
        <v>1394.8397442870037</v>
      </c>
      <c r="K34" s="19">
        <f>Balance_Sheet!K31-Balance_Sheet!J31</f>
        <v>1734.0118741637189</v>
      </c>
      <c r="L34" s="19">
        <f>Balance_Sheet!L31-Balance_Sheet!K31</f>
        <v>2156.4560185854189</v>
      </c>
      <c r="M34" s="19">
        <f>Balance_Sheet!M31-Balance_Sheet!L31</f>
        <v>2682.721397300731</v>
      </c>
      <c r="N34" s="19">
        <f>Balance_Sheet!N31-Balance_Sheet!M31</f>
        <v>3338.44179511945</v>
      </c>
      <c r="O34" s="19">
        <f>Balance_Sheet!O31-Balance_Sheet!N31</f>
        <v>4155.5954090205269</v>
      </c>
      <c r="P34" s="19">
        <f>Balance_Sheet!P31-Balance_Sheet!O31</f>
        <v>5174.0770847599779</v>
      </c>
      <c r="Q34" s="19">
        <f>Balance_Sheet!Q31-Balance_Sheet!P31</f>
        <v>6443.6604316364646</v>
      </c>
    </row>
    <row r="35" spans="2:17" x14ac:dyDescent="0.25">
      <c r="B35" s="56" t="s">
        <v>157</v>
      </c>
      <c r="C35" s="17"/>
      <c r="D35" s="17">
        <f>Balance_Sheet!D33-Balance_Sheet!C33</f>
        <v>61.28</v>
      </c>
      <c r="E35" s="17">
        <f>Balance_Sheet!E33-Balance_Sheet!D33</f>
        <v>1409.1100000000001</v>
      </c>
      <c r="F35" s="17">
        <f>Balance_Sheet!F33-Balance_Sheet!E33</f>
        <v>1857.71</v>
      </c>
      <c r="G35" s="17">
        <f>Balance_Sheet!G33-Balance_Sheet!F33</f>
        <v>-2488.15</v>
      </c>
      <c r="H35" s="19">
        <f>Balance_Sheet!H33-Balance_Sheet!G33</f>
        <v>1135.444864743878</v>
      </c>
      <c r="I35" s="19">
        <f>Balance_Sheet!I33-Balance_Sheet!H33</f>
        <v>513.69862859706973</v>
      </c>
      <c r="J35" s="19">
        <f>Balance_Sheet!J33-Balance_Sheet!I33</f>
        <v>638.3512969895537</v>
      </c>
      <c r="K35" s="19">
        <f>Balance_Sheet!K33-Balance_Sheet!J33</f>
        <v>793.57412448374998</v>
      </c>
      <c r="L35" s="19">
        <f>Balance_Sheet!L33-Balance_Sheet!K33</f>
        <v>986.90656184921954</v>
      </c>
      <c r="M35" s="19">
        <f>Balance_Sheet!M33-Balance_Sheet!L33</f>
        <v>1227.7530020510958</v>
      </c>
      <c r="N35" s="19">
        <f>Balance_Sheet!N33-Balance_Sheet!M33</f>
        <v>1527.8447997823469</v>
      </c>
      <c r="O35" s="19">
        <f>Balance_Sheet!O33-Balance_Sheet!N33</f>
        <v>1901.8168431012673</v>
      </c>
      <c r="P35" s="19">
        <f>Balance_Sheet!P33-Balance_Sheet!O33</f>
        <v>2367.9270907704067</v>
      </c>
      <c r="Q35" s="19">
        <f>Balance_Sheet!Q33-Balance_Sheet!P33</f>
        <v>2948.9545381415846</v>
      </c>
    </row>
    <row r="36" spans="2:17" x14ac:dyDescent="0.25">
      <c r="B36" s="56" t="s">
        <v>163</v>
      </c>
      <c r="C36" s="17"/>
      <c r="D36" s="17">
        <f>Balance_Sheet!D34-Balance_Sheet!C34</f>
        <v>1524.7499999999998</v>
      </c>
      <c r="E36" s="17">
        <f>Balance_Sheet!E34-Balance_Sheet!D34</f>
        <v>257.85000000000036</v>
      </c>
      <c r="F36" s="17">
        <f>Balance_Sheet!F34-Balance_Sheet!E34</f>
        <v>908.59999999999945</v>
      </c>
      <c r="G36" s="17">
        <f>Balance_Sheet!G34-Balance_Sheet!F34</f>
        <v>-289.20999999999958</v>
      </c>
      <c r="H36" s="19">
        <f>Balance_Sheet!H34-Balance_Sheet!G34</f>
        <v>1465.0267282598493</v>
      </c>
      <c r="I36" s="19">
        <f>Balance_Sheet!I34-Balance_Sheet!H34</f>
        <v>1276.2957623023904</v>
      </c>
      <c r="J36" s="19">
        <f>Balance_Sheet!J34-Balance_Sheet!I34</f>
        <v>1585.9981122259296</v>
      </c>
      <c r="K36" s="19">
        <f>Balance_Sheet!K34-Balance_Sheet!J34</f>
        <v>1971.6527079652351</v>
      </c>
      <c r="L36" s="19">
        <f>Balance_Sheet!L34-Balance_Sheet!K34</f>
        <v>2451.9914840274196</v>
      </c>
      <c r="M36" s="19">
        <f>Balance_Sheet!M34-Balance_Sheet!L34</f>
        <v>3050.3798656253402</v>
      </c>
      <c r="N36" s="19">
        <f>Balance_Sheet!N34-Balance_Sheet!M34</f>
        <v>3795.9646665661294</v>
      </c>
      <c r="O36" s="19">
        <f>Balance_Sheet!O34-Balance_Sheet!N34</f>
        <v>4725.1065944140209</v>
      </c>
      <c r="P36" s="19">
        <f>Balance_Sheet!P34-Balance_Sheet!O34</f>
        <v>5883.1679571443892</v>
      </c>
      <c r="Q36" s="19">
        <f>Balance_Sheet!Q34-Balance_Sheet!P34</f>
        <v>7326.7436795216236</v>
      </c>
    </row>
    <row r="37" spans="2:17" x14ac:dyDescent="0.25">
      <c r="B37" s="56"/>
      <c r="C37" s="17"/>
      <c r="D37" s="17"/>
      <c r="E37" s="17"/>
      <c r="F37" s="17"/>
      <c r="G37" s="17"/>
      <c r="H37" s="19"/>
      <c r="I37" s="19"/>
      <c r="J37" s="19"/>
      <c r="K37" s="19"/>
      <c r="L37" s="19"/>
      <c r="M37" s="19"/>
      <c r="N37" s="19"/>
      <c r="O37" s="19"/>
      <c r="P37" s="19"/>
      <c r="Q37" s="19"/>
    </row>
    <row r="38" spans="2:17" x14ac:dyDescent="0.25">
      <c r="B38" s="56" t="s">
        <v>316</v>
      </c>
      <c r="C38" s="17"/>
      <c r="D38" s="17">
        <f>Balance_Sheet!D36-Balance_Sheet!C36</f>
        <v>250.43</v>
      </c>
      <c r="E38" s="17">
        <f>Balance_Sheet!E36-Balance_Sheet!D36</f>
        <v>-229.01</v>
      </c>
      <c r="F38" s="17">
        <f>Balance_Sheet!F36-Balance_Sheet!E36</f>
        <v>209.65999999999997</v>
      </c>
      <c r="G38" s="17">
        <f>Balance_Sheet!G36-Balance_Sheet!F36</f>
        <v>1584.5900000000001</v>
      </c>
      <c r="H38" s="19">
        <f>Balance_Sheet!H36-Balance_Sheet!G36</f>
        <v>0</v>
      </c>
      <c r="I38" s="19">
        <f>Balance_Sheet!I36-Balance_Sheet!H36</f>
        <v>0</v>
      </c>
      <c r="J38" s="19">
        <f>Balance_Sheet!J36-Balance_Sheet!I36</f>
        <v>0</v>
      </c>
      <c r="K38" s="19">
        <f>Balance_Sheet!K36-Balance_Sheet!J36</f>
        <v>0</v>
      </c>
      <c r="L38" s="19">
        <f>Balance_Sheet!L36-Balance_Sheet!K36</f>
        <v>0</v>
      </c>
      <c r="M38" s="19">
        <f>Balance_Sheet!M36-Balance_Sheet!L36</f>
        <v>0</v>
      </c>
      <c r="N38" s="19">
        <f>Balance_Sheet!N36-Balance_Sheet!M36</f>
        <v>0</v>
      </c>
      <c r="O38" s="19">
        <f>Balance_Sheet!O36-Balance_Sheet!N36</f>
        <v>0</v>
      </c>
      <c r="P38" s="19">
        <f>Balance_Sheet!P36-Balance_Sheet!O36</f>
        <v>0</v>
      </c>
      <c r="Q38" s="19">
        <f>Balance_Sheet!Q36-Balance_Sheet!P36</f>
        <v>0</v>
      </c>
    </row>
    <row r="39" spans="2:17" x14ac:dyDescent="0.25">
      <c r="B39" s="56" t="s">
        <v>158</v>
      </c>
      <c r="C39" s="17"/>
      <c r="D39" s="17">
        <f>Balance_Sheet!D37-Balance_Sheet!C37</f>
        <v>-1629.9899999999998</v>
      </c>
      <c r="E39" s="17">
        <f>Balance_Sheet!E37-Balance_Sheet!D37</f>
        <v>559.06999999999971</v>
      </c>
      <c r="F39" s="17">
        <f>Balance_Sheet!F37-Balance_Sheet!E37</f>
        <v>1863.4000000000005</v>
      </c>
      <c r="G39" s="17">
        <f>Balance_Sheet!G37-Balance_Sheet!F37</f>
        <v>2264.5399999999991</v>
      </c>
      <c r="H39" s="19">
        <f>Balance_Sheet!H37-Balance_Sheet!G37</f>
        <v>4781.9718300545228</v>
      </c>
      <c r="I39" s="19">
        <f>Balance_Sheet!I37-Balance_Sheet!H37</f>
        <v>3742.8387175207245</v>
      </c>
      <c r="J39" s="19">
        <f>Balance_Sheet!J37-Balance_Sheet!I37</f>
        <v>4651.0654627932163</v>
      </c>
      <c r="K39" s="19">
        <f>Balance_Sheet!K37-Balance_Sheet!J37</f>
        <v>5782.0282029021037</v>
      </c>
      <c r="L39" s="19">
        <f>Balance_Sheet!L37-Balance_Sheet!K37</f>
        <v>7190.6598239370651</v>
      </c>
      <c r="M39" s="19">
        <f>Balance_Sheet!M37-Balance_Sheet!L37</f>
        <v>8945.4812915872972</v>
      </c>
      <c r="N39" s="19">
        <f>Balance_Sheet!N37-Balance_Sheet!M37</f>
        <v>11131.967952893785</v>
      </c>
      <c r="O39" s="19">
        <f>Balance_Sheet!O37-Balance_Sheet!N37</f>
        <v>13856.750471443745</v>
      </c>
      <c r="P39" s="19">
        <f>Balance_Sheet!P37-Balance_Sheet!O37</f>
        <v>17252.857419156921</v>
      </c>
      <c r="Q39" s="19">
        <f>Balance_Sheet!Q37-Balance_Sheet!P37</f>
        <v>21486.257909055508</v>
      </c>
    </row>
    <row r="40" spans="2:17" x14ac:dyDescent="0.25">
      <c r="B40" s="56" t="s">
        <v>156</v>
      </c>
      <c r="C40" s="17"/>
      <c r="D40" s="17">
        <f>Balance_Sheet!D38-Balance_Sheet!C38</f>
        <v>-30.369999999999891</v>
      </c>
      <c r="E40" s="17">
        <f>Balance_Sheet!E38-Balance_Sheet!D38</f>
        <v>-170.51</v>
      </c>
      <c r="F40" s="17">
        <f>Balance_Sheet!F38-Balance_Sheet!E38</f>
        <v>-140.31000000000006</v>
      </c>
      <c r="G40" s="17">
        <f>Balance_Sheet!G38-Balance_Sheet!F38</f>
        <v>7.6900000000000546</v>
      </c>
      <c r="H40" s="19">
        <f>Balance_Sheet!H38-Balance_Sheet!G38</f>
        <v>1232.6672380127397</v>
      </c>
      <c r="I40" s="19">
        <f>Balance_Sheet!I38-Balance_Sheet!H38</f>
        <v>481.30143475273576</v>
      </c>
      <c r="J40" s="19">
        <f>Balance_Sheet!J38-Balance_Sheet!I38</f>
        <v>598.09269095466334</v>
      </c>
      <c r="K40" s="19">
        <f>Balance_Sheet!K38-Balance_Sheet!J38</f>
        <v>743.52615217173252</v>
      </c>
      <c r="L40" s="19">
        <f>Balance_Sheet!L38-Balance_Sheet!K38</f>
        <v>924.66578211851629</v>
      </c>
      <c r="M40" s="19">
        <f>Balance_Sheet!M38-Balance_Sheet!L38</f>
        <v>1150.3228712581795</v>
      </c>
      <c r="N40" s="19">
        <f>Balance_Sheet!N38-Balance_Sheet!M38</f>
        <v>1431.4889183625601</v>
      </c>
      <c r="O40" s="19">
        <f>Balance_Sheet!O38-Balance_Sheet!N38</f>
        <v>1781.875839772837</v>
      </c>
      <c r="P40" s="19">
        <f>Balance_Sheet!P38-Balance_Sheet!O38</f>
        <v>2218.5901280098697</v>
      </c>
      <c r="Q40" s="19">
        <f>Balance_Sheet!Q38-Balance_Sheet!P38</f>
        <v>2762.974186060017</v>
      </c>
    </row>
    <row r="41" spans="2:17" x14ac:dyDescent="0.25">
      <c r="B41" s="56" t="s">
        <v>76</v>
      </c>
      <c r="C41" s="17"/>
      <c r="D41" s="17">
        <f>Balance_Sheet!D39-Balance_Sheet!C39</f>
        <v>0</v>
      </c>
      <c r="E41" s="17">
        <f>Balance_Sheet!E39-Balance_Sheet!D39</f>
        <v>0</v>
      </c>
      <c r="F41" s="17">
        <f>Balance_Sheet!F39-Balance_Sheet!E39</f>
        <v>1.84</v>
      </c>
      <c r="G41" s="17">
        <f>Balance_Sheet!G39-Balance_Sheet!F39</f>
        <v>2.0099999999999998</v>
      </c>
      <c r="H41" s="19">
        <f>Balance_Sheet!H39-Balance_Sheet!G39</f>
        <v>0</v>
      </c>
      <c r="I41" s="19">
        <f>Balance_Sheet!I39-Balance_Sheet!H39</f>
        <v>0</v>
      </c>
      <c r="J41" s="19">
        <f>Balance_Sheet!J39-Balance_Sheet!I39</f>
        <v>0</v>
      </c>
      <c r="K41" s="19">
        <f>Balance_Sheet!K39-Balance_Sheet!J39</f>
        <v>0</v>
      </c>
      <c r="L41" s="19">
        <f>Balance_Sheet!L39-Balance_Sheet!K39</f>
        <v>0</v>
      </c>
      <c r="M41" s="19">
        <f>Balance_Sheet!M39-Balance_Sheet!L39</f>
        <v>0</v>
      </c>
      <c r="N41" s="19">
        <f>Balance_Sheet!N39-Balance_Sheet!M39</f>
        <v>0</v>
      </c>
      <c r="O41" s="19">
        <f>Balance_Sheet!O39-Balance_Sheet!N39</f>
        <v>0</v>
      </c>
      <c r="P41" s="19">
        <f>Balance_Sheet!P39-Balance_Sheet!O39</f>
        <v>0</v>
      </c>
      <c r="Q41" s="19">
        <f>Balance_Sheet!Q39-Balance_Sheet!P39</f>
        <v>0</v>
      </c>
    </row>
    <row r="42" spans="2:17" x14ac:dyDescent="0.25">
      <c r="B42" s="56" t="s">
        <v>44</v>
      </c>
      <c r="C42" s="17"/>
      <c r="D42" s="17">
        <f>Balance_Sheet!D40-Balance_Sheet!C40</f>
        <v>9.009999999999998</v>
      </c>
      <c r="E42" s="17">
        <f>Balance_Sheet!E40-Balance_Sheet!D40</f>
        <v>2.120000000000001</v>
      </c>
      <c r="F42" s="17">
        <f>Balance_Sheet!F40-Balance_Sheet!E40</f>
        <v>11.000000000000004</v>
      </c>
      <c r="G42" s="17">
        <f>Balance_Sheet!G40-Balance_Sheet!F40</f>
        <v>14.25</v>
      </c>
      <c r="H42" s="19">
        <f>Balance_Sheet!H40-Balance_Sheet!G40</f>
        <v>0</v>
      </c>
      <c r="I42" s="19">
        <f>Balance_Sheet!I40-Balance_Sheet!H40</f>
        <v>0</v>
      </c>
      <c r="J42" s="19">
        <f>Balance_Sheet!J40-Balance_Sheet!I40</f>
        <v>0</v>
      </c>
      <c r="K42" s="19">
        <f>Balance_Sheet!K40-Balance_Sheet!J40</f>
        <v>0</v>
      </c>
      <c r="L42" s="19">
        <f>Balance_Sheet!L40-Balance_Sheet!K40</f>
        <v>0</v>
      </c>
      <c r="M42" s="19">
        <f>Balance_Sheet!M40-Balance_Sheet!L40</f>
        <v>0</v>
      </c>
      <c r="N42" s="19">
        <f>Balance_Sheet!N40-Balance_Sheet!M40</f>
        <v>0</v>
      </c>
      <c r="O42" s="19">
        <f>Balance_Sheet!O40-Balance_Sheet!N40</f>
        <v>0</v>
      </c>
      <c r="P42" s="19">
        <f>Balance_Sheet!P40-Balance_Sheet!O40</f>
        <v>0</v>
      </c>
      <c r="Q42" s="19">
        <f>Balance_Sheet!Q40-Balance_Sheet!P40</f>
        <v>0</v>
      </c>
    </row>
    <row r="43" spans="2:17" x14ac:dyDescent="0.25">
      <c r="B43" s="56" t="s">
        <v>45</v>
      </c>
      <c r="C43" s="17"/>
      <c r="D43" s="17">
        <f>Balance_Sheet!D41-Balance_Sheet!C41</f>
        <v>172</v>
      </c>
      <c r="E43" s="17">
        <f>Balance_Sheet!E41-Balance_Sheet!D41</f>
        <v>208.5100000000001</v>
      </c>
      <c r="F43" s="17">
        <f>Balance_Sheet!F41-Balance_Sheet!E41</f>
        <v>131.5</v>
      </c>
      <c r="G43" s="17">
        <f>Balance_Sheet!G41-Balance_Sheet!F41</f>
        <v>-156.45000000000005</v>
      </c>
      <c r="H43" s="19">
        <f>Balance_Sheet!H41-Balance_Sheet!G41</f>
        <v>1012.7447898001094</v>
      </c>
      <c r="I43" s="19">
        <f>Balance_Sheet!I41-Balance_Sheet!H41</f>
        <v>524.42647148373226</v>
      </c>
      <c r="J43" s="19">
        <f>Balance_Sheet!J41-Balance_Sheet!I41</f>
        <v>651.68232814162002</v>
      </c>
      <c r="K43" s="19">
        <f>Balance_Sheet!K41-Balance_Sheet!J41</f>
        <v>810.14675686478813</v>
      </c>
      <c r="L43" s="19">
        <f>Balance_Sheet!L41-Balance_Sheet!K41</f>
        <v>1007.5166588009079</v>
      </c>
      <c r="M43" s="19">
        <f>Balance_Sheet!M41-Balance_Sheet!L41</f>
        <v>1253.3928238773742</v>
      </c>
      <c r="N43" s="19">
        <f>Balance_Sheet!N41-Balance_Sheet!M41</f>
        <v>1559.7515989342783</v>
      </c>
      <c r="O43" s="19">
        <f>Balance_Sheet!O41-Balance_Sheet!N41</f>
        <v>1941.533500215417</v>
      </c>
      <c r="P43" s="19">
        <f>Balance_Sheet!P41-Balance_Sheet!O41</f>
        <v>2417.3777771898622</v>
      </c>
      <c r="Q43" s="19">
        <f>Balance_Sheet!Q41-Balance_Sheet!P41</f>
        <v>3010.5391311382446</v>
      </c>
    </row>
    <row r="44" spans="2:17" x14ac:dyDescent="0.25">
      <c r="B44" s="56" t="s">
        <v>74</v>
      </c>
      <c r="C44" s="17"/>
      <c r="D44" s="17">
        <f>Balance_Sheet!D44-Balance_Sheet!C44</f>
        <v>0</v>
      </c>
      <c r="E44" s="17">
        <f>Balance_Sheet!E44-Balance_Sheet!D44</f>
        <v>63.63</v>
      </c>
      <c r="F44" s="17">
        <f>Balance_Sheet!F44-Balance_Sheet!E44</f>
        <v>8.2899999999999991</v>
      </c>
      <c r="G44" s="17">
        <f>Balance_Sheet!G44-Balance_Sheet!F44</f>
        <v>67.510000000000005</v>
      </c>
      <c r="H44" s="19">
        <f>Balance_Sheet!H44-Balance_Sheet!G44</f>
        <v>-139.43</v>
      </c>
      <c r="I44" s="19">
        <f>Balance_Sheet!I44-Balance_Sheet!H44</f>
        <v>0</v>
      </c>
      <c r="J44" s="19">
        <f>Balance_Sheet!J44-Balance_Sheet!I44</f>
        <v>0</v>
      </c>
      <c r="K44" s="19">
        <f>Balance_Sheet!K44-Balance_Sheet!J44</f>
        <v>0</v>
      </c>
      <c r="L44" s="19">
        <f>Balance_Sheet!L44-Balance_Sheet!K44</f>
        <v>0</v>
      </c>
      <c r="M44" s="19">
        <f>Balance_Sheet!M44-Balance_Sheet!L44</f>
        <v>0</v>
      </c>
      <c r="N44" s="19">
        <f>Balance_Sheet!N44-Balance_Sheet!M44</f>
        <v>0</v>
      </c>
      <c r="O44" s="19">
        <f>Balance_Sheet!O44-Balance_Sheet!N44</f>
        <v>0</v>
      </c>
      <c r="P44" s="19">
        <f>Balance_Sheet!P44-Balance_Sheet!O44</f>
        <v>0</v>
      </c>
      <c r="Q44" s="19">
        <f>Balance_Sheet!Q44-Balance_Sheet!P44</f>
        <v>0</v>
      </c>
    </row>
    <row r="45" spans="2:17" x14ac:dyDescent="0.25">
      <c r="B45" s="103" t="s">
        <v>176</v>
      </c>
      <c r="C45" s="104"/>
      <c r="D45" s="23">
        <f>SUM(D13:D27)-SUM(D29:D44)</f>
        <v>2648.5699999999988</v>
      </c>
      <c r="E45" s="23">
        <f t="shared" ref="E45:O45" si="1">SUM(E13:E27)-SUM(E29:E44)</f>
        <v>2601.8600000000042</v>
      </c>
      <c r="F45" s="23">
        <f t="shared" si="1"/>
        <v>2321.3400000000047</v>
      </c>
      <c r="G45" s="23">
        <f t="shared" si="1"/>
        <v>9099.5399999999936</v>
      </c>
      <c r="H45" s="23">
        <f t="shared" si="1"/>
        <v>6023.2344479244803</v>
      </c>
      <c r="I45" s="23">
        <f t="shared" si="1"/>
        <v>9153.9584019872818</v>
      </c>
      <c r="J45" s="23">
        <f t="shared" si="1"/>
        <v>11277.052942270206</v>
      </c>
      <c r="K45" s="23">
        <f t="shared" si="1"/>
        <v>13916.357749523273</v>
      </c>
      <c r="L45" s="23">
        <f t="shared" si="1"/>
        <v>17198.64661526509</v>
      </c>
      <c r="M45" s="23">
        <f t="shared" si="1"/>
        <v>21281.982488307749</v>
      </c>
      <c r="N45" s="23">
        <f t="shared" si="1"/>
        <v>26363.460095038619</v>
      </c>
      <c r="O45" s="23">
        <f t="shared" si="1"/>
        <v>32688.86709820023</v>
      </c>
      <c r="P45" s="23">
        <f t="shared" ref="P45:Q45" si="2">SUM(P13:P27)-SUM(P29:P43)</f>
        <v>40564.739522168325</v>
      </c>
      <c r="Q45" s="23">
        <f t="shared" si="2"/>
        <v>50373.405179086098</v>
      </c>
    </row>
    <row r="46" spans="2:17" x14ac:dyDescent="0.25">
      <c r="B46" s="56"/>
      <c r="C46" s="17"/>
      <c r="D46" s="17"/>
      <c r="E46" s="17"/>
      <c r="F46" s="17"/>
      <c r="G46" s="17"/>
      <c r="H46" s="19"/>
      <c r="I46" s="19"/>
      <c r="J46" s="19"/>
      <c r="K46" s="19"/>
      <c r="L46" s="19"/>
      <c r="M46" s="19"/>
      <c r="N46" s="19"/>
      <c r="O46" s="19"/>
      <c r="P46" s="19"/>
      <c r="Q46" s="19"/>
    </row>
    <row r="47" spans="2:17" x14ac:dyDescent="0.25">
      <c r="B47" s="55" t="s">
        <v>177</v>
      </c>
      <c r="C47" s="17"/>
      <c r="D47" s="17"/>
      <c r="E47" s="17"/>
      <c r="F47" s="17"/>
      <c r="G47" s="17"/>
      <c r="H47" s="19"/>
      <c r="I47" s="19"/>
      <c r="J47" s="19"/>
      <c r="K47" s="19"/>
      <c r="L47" s="19"/>
      <c r="M47" s="19"/>
      <c r="N47" s="19"/>
      <c r="O47" s="19"/>
      <c r="P47" s="19"/>
      <c r="Q47" s="19"/>
    </row>
    <row r="48" spans="2:17" x14ac:dyDescent="0.25">
      <c r="B48" s="56"/>
      <c r="C48" s="17"/>
      <c r="D48" s="17"/>
      <c r="E48" s="17"/>
      <c r="F48" s="17"/>
      <c r="G48" s="17"/>
      <c r="H48" s="19"/>
      <c r="I48" s="19"/>
      <c r="J48" s="19"/>
      <c r="K48" s="19"/>
      <c r="L48" s="19"/>
      <c r="M48" s="19"/>
      <c r="N48" s="19"/>
      <c r="O48" s="19"/>
      <c r="P48" s="19"/>
      <c r="Q48" s="19"/>
    </row>
    <row r="49" spans="2:17" x14ac:dyDescent="0.25">
      <c r="B49" s="56" t="s">
        <v>100</v>
      </c>
      <c r="C49" s="17"/>
      <c r="D49" s="17">
        <f>D29</f>
        <v>131.16</v>
      </c>
      <c r="E49" s="17">
        <f t="shared" ref="E49:Q49" si="3">E29</f>
        <v>86.81</v>
      </c>
      <c r="F49" s="17">
        <f t="shared" si="3"/>
        <v>110.77</v>
      </c>
      <c r="G49" s="17">
        <f t="shared" si="3"/>
        <v>140.58000000000001</v>
      </c>
      <c r="H49" s="19">
        <f t="shared" si="3"/>
        <v>244.47744010236178</v>
      </c>
      <c r="I49" s="19">
        <f t="shared" si="3"/>
        <v>305.14490033999869</v>
      </c>
      <c r="J49" s="19">
        <f t="shared" si="3"/>
        <v>380.86708599583466</v>
      </c>
      <c r="K49" s="19">
        <f t="shared" si="3"/>
        <v>475.3798507965559</v>
      </c>
      <c r="L49" s="19">
        <f t="shared" si="3"/>
        <v>593.34610643101689</v>
      </c>
      <c r="M49" s="19">
        <f t="shared" si="3"/>
        <v>740.58587343769307</v>
      </c>
      <c r="N49" s="19">
        <f t="shared" si="3"/>
        <v>924.36341958070352</v>
      </c>
      <c r="O49" s="19">
        <f t="shared" si="3"/>
        <v>1153.745652064234</v>
      </c>
      <c r="P49" s="19">
        <f t="shared" si="3"/>
        <v>1440.04944533713</v>
      </c>
      <c r="Q49" s="19">
        <f t="shared" si="3"/>
        <v>1797.3999739938531</v>
      </c>
    </row>
    <row r="50" spans="2:17" x14ac:dyDescent="0.25">
      <c r="B50" s="56" t="s">
        <v>173</v>
      </c>
      <c r="C50" s="17"/>
      <c r="D50" s="17">
        <f>D30</f>
        <v>-0.5</v>
      </c>
      <c r="E50" s="17">
        <f t="shared" ref="E50:Q50" si="4">E30</f>
        <v>7.52</v>
      </c>
      <c r="F50" s="17">
        <f t="shared" si="4"/>
        <v>10.75</v>
      </c>
      <c r="G50" s="17">
        <f t="shared" si="4"/>
        <v>16.38</v>
      </c>
      <c r="H50" s="19">
        <f t="shared" si="4"/>
        <v>0</v>
      </c>
      <c r="I50" s="19">
        <f t="shared" si="4"/>
        <v>0</v>
      </c>
      <c r="J50" s="19">
        <f t="shared" si="4"/>
        <v>0</v>
      </c>
      <c r="K50" s="19">
        <f t="shared" si="4"/>
        <v>0</v>
      </c>
      <c r="L50" s="19">
        <f t="shared" si="4"/>
        <v>0</v>
      </c>
      <c r="M50" s="19">
        <f t="shared" si="4"/>
        <v>0</v>
      </c>
      <c r="N50" s="19">
        <f t="shared" si="4"/>
        <v>0</v>
      </c>
      <c r="O50" s="19">
        <f t="shared" si="4"/>
        <v>0</v>
      </c>
      <c r="P50" s="19">
        <f t="shared" si="4"/>
        <v>0</v>
      </c>
      <c r="Q50" s="19">
        <f t="shared" si="4"/>
        <v>0</v>
      </c>
    </row>
    <row r="51" spans="2:17" x14ac:dyDescent="0.25">
      <c r="B51" s="56"/>
      <c r="C51" s="17"/>
      <c r="D51" s="17"/>
      <c r="E51" s="17"/>
      <c r="F51" s="17"/>
      <c r="G51" s="17"/>
      <c r="H51" s="19"/>
      <c r="I51" s="19"/>
      <c r="J51" s="19"/>
      <c r="K51" s="19"/>
      <c r="L51" s="19"/>
      <c r="M51" s="19"/>
      <c r="N51" s="19"/>
      <c r="O51" s="19"/>
      <c r="P51" s="19"/>
      <c r="Q51" s="19"/>
    </row>
    <row r="52" spans="2:17" x14ac:dyDescent="0.25">
      <c r="B52" s="101" t="s">
        <v>172</v>
      </c>
      <c r="C52" s="17"/>
      <c r="D52" s="17"/>
      <c r="E52" s="17"/>
      <c r="F52" s="17"/>
      <c r="G52" s="17"/>
      <c r="H52" s="19"/>
      <c r="I52" s="19"/>
      <c r="J52" s="19"/>
      <c r="K52" s="19"/>
      <c r="L52" s="19"/>
      <c r="M52" s="19"/>
      <c r="N52" s="19"/>
      <c r="O52" s="19"/>
      <c r="P52" s="19"/>
      <c r="Q52" s="19"/>
    </row>
    <row r="53" spans="2:17" x14ac:dyDescent="0.25">
      <c r="B53" s="55" t="s">
        <v>178</v>
      </c>
      <c r="C53" s="17"/>
      <c r="D53" s="17"/>
      <c r="E53" s="17"/>
      <c r="F53" s="17"/>
      <c r="G53" s="17"/>
      <c r="H53" s="19"/>
      <c r="I53" s="19"/>
      <c r="J53" s="19"/>
      <c r="K53" s="19"/>
      <c r="L53" s="19"/>
      <c r="M53" s="19"/>
      <c r="N53" s="19"/>
      <c r="O53" s="19"/>
      <c r="P53" s="19"/>
      <c r="Q53" s="19"/>
    </row>
    <row r="54" spans="2:17" x14ac:dyDescent="0.25">
      <c r="B54" s="56" t="s">
        <v>179</v>
      </c>
      <c r="C54" s="17"/>
      <c r="D54" s="17">
        <f>SUM(Balance_Sheet!D12,Balance_Sheet!D14,Balance_Sheet!D15,Balance_Sheet!D16)-SUM(Balance_Sheet!C12,Balance_Sheet!C14,Balance_Sheet!C15,Balance_Sheet!C16)+'Income Statement'!D24</f>
        <v>1288.9100000000017</v>
      </c>
      <c r="E54" s="17">
        <f>SUM(Balance_Sheet!E12,Balance_Sheet!E14,Balance_Sheet!E15,Balance_Sheet!E16)-SUM(Balance_Sheet!D12,Balance_Sheet!D14,Balance_Sheet!D15,Balance_Sheet!D16)+'Income Statement'!E24</f>
        <v>276.3199999999988</v>
      </c>
      <c r="F54" s="17">
        <f>SUM(Balance_Sheet!F12,Balance_Sheet!F14,Balance_Sheet!F15,Balance_Sheet!F16)-SUM(Balance_Sheet!E12,Balance_Sheet!E14,Balance_Sheet!E15,Balance_Sheet!E16)+'Income Statement'!F24</f>
        <v>1134.47</v>
      </c>
      <c r="G54" s="17">
        <f>SUM(Balance_Sheet!G12,Balance_Sheet!G14,Balance_Sheet!G15,Balance_Sheet!G16)-SUM(Balance_Sheet!F12,Balance_Sheet!F14,Balance_Sheet!F15,Balance_Sheet!F16)+'Income Statement'!G24</f>
        <v>954.96999999999935</v>
      </c>
      <c r="H54" s="19">
        <f>SUM(Balance_Sheet!H12,Balance_Sheet!H14,Balance_Sheet!H15,Balance_Sheet!H16)-SUM(Balance_Sheet!G12,Balance_Sheet!G14,Balance_Sheet!G15,Balance_Sheet!G16)+'Income Statement'!H24</f>
        <v>951.63350000000355</v>
      </c>
      <c r="I54" s="19">
        <f>SUM(Balance_Sheet!I12,Balance_Sheet!I14,Balance_Sheet!I15,Balance_Sheet!I16)-SUM(Balance_Sheet!H12,Balance_Sheet!H14,Balance_Sheet!H15,Balance_Sheet!H16)+'Income Statement'!I24</f>
        <v>956.39166749999993</v>
      </c>
      <c r="J54" s="19">
        <f>SUM(Balance_Sheet!J12,Balance_Sheet!J14,Balance_Sheet!J15,Balance_Sheet!J16)-SUM(Balance_Sheet!I12,Balance_Sheet!I14,Balance_Sheet!I15,Balance_Sheet!I16)+'Income Statement'!J24</f>
        <v>961.17362583749946</v>
      </c>
      <c r="K54" s="19">
        <f>SUM(Balance_Sheet!K12,Balance_Sheet!K14,Balance_Sheet!K15,Balance_Sheet!K16)-SUM(Balance_Sheet!J12,Balance_Sheet!J14,Balance_Sheet!J15,Balance_Sheet!J16)+'Income Statement'!K24</f>
        <v>965.97949396668469</v>
      </c>
      <c r="L54" s="19">
        <f>SUM(Balance_Sheet!L12,Balance_Sheet!L14,Balance_Sheet!L15,Balance_Sheet!L16)-SUM(Balance_Sheet!K12,Balance_Sheet!K14,Balance_Sheet!K15,Balance_Sheet!K16)+'Income Statement'!L24</f>
        <v>970.80939143652063</v>
      </c>
      <c r="M54" s="19">
        <f>SUM(Balance_Sheet!M12,Balance_Sheet!M14,Balance_Sheet!M15,Balance_Sheet!M16)-SUM(Balance_Sheet!L12,Balance_Sheet!L14,Balance_Sheet!L15,Balance_Sheet!L16)+'Income Statement'!M24</f>
        <v>975.66343839370211</v>
      </c>
      <c r="N54" s="19">
        <f>SUM(Balance_Sheet!N12,Balance_Sheet!N14,Balance_Sheet!N15,Balance_Sheet!N16)-SUM(Balance_Sheet!M12,Balance_Sheet!M14,Balance_Sheet!M15,Balance_Sheet!M16)+'Income Statement'!N24</f>
        <v>980.5417555856734</v>
      </c>
      <c r="O54" s="19">
        <f>SUM(Balance_Sheet!O12,Balance_Sheet!O14,Balance_Sheet!O15,Balance_Sheet!O16)-SUM(Balance_Sheet!N12,Balance_Sheet!N14,Balance_Sheet!N15,Balance_Sheet!N16)+'Income Statement'!O24</f>
        <v>985.44446436359908</v>
      </c>
      <c r="P54" s="19">
        <f>SUM(Balance_Sheet!P12,Balance_Sheet!P14,Balance_Sheet!P15,Balance_Sheet!P16)-SUM(Balance_Sheet!O12,Balance_Sheet!O14,Balance_Sheet!O15,Balance_Sheet!O16)+'Income Statement'!P24</f>
        <v>990.37168668541676</v>
      </c>
      <c r="Q54" s="19">
        <f>SUM(Balance_Sheet!Q12,Balance_Sheet!Q14,Balance_Sheet!Q15,Balance_Sheet!Q16)-SUM(Balance_Sheet!P12,Balance_Sheet!P14,Balance_Sheet!P15,Balance_Sheet!P16)+'Income Statement'!Q24</f>
        <v>995.32354511884523</v>
      </c>
    </row>
    <row r="55" spans="2:17" x14ac:dyDescent="0.25">
      <c r="B55" s="56" t="s">
        <v>23</v>
      </c>
      <c r="C55" s="17"/>
      <c r="D55" s="17">
        <f>Balance_Sheet!D13-Balance_Sheet!C13</f>
        <v>-208.85</v>
      </c>
      <c r="E55" s="17">
        <f>Balance_Sheet!E13-Balance_Sheet!D13</f>
        <v>-93.890000000000015</v>
      </c>
      <c r="F55" s="17">
        <f>Balance_Sheet!F13-Balance_Sheet!E13</f>
        <v>-0.22999999999998977</v>
      </c>
      <c r="G55" s="17">
        <f>Balance_Sheet!G13-Balance_Sheet!F13</f>
        <v>31.03</v>
      </c>
      <c r="H55" s="19">
        <f>Balance_Sheet!H13-Balance_Sheet!G13</f>
        <v>31.185149999999993</v>
      </c>
      <c r="I55" s="19">
        <f>Balance_Sheet!I13-Balance_Sheet!H13</f>
        <v>31.341075749999987</v>
      </c>
      <c r="J55" s="19">
        <f>Balance_Sheet!J13-Balance_Sheet!I13</f>
        <v>31.497781128749978</v>
      </c>
      <c r="K55" s="19">
        <f>Balance_Sheet!K13-Balance_Sheet!J13</f>
        <v>31.655270034393766</v>
      </c>
      <c r="L55" s="19">
        <f>Balance_Sheet!L13-Balance_Sheet!K13</f>
        <v>31.813546384565711</v>
      </c>
      <c r="M55" s="19">
        <f>Balance_Sheet!M13-Balance_Sheet!L13</f>
        <v>31.972614116488558</v>
      </c>
      <c r="N55" s="19">
        <f>Balance_Sheet!N13-Balance_Sheet!M13</f>
        <v>32.132477187070947</v>
      </c>
      <c r="O55" s="19">
        <f>Balance_Sheet!O13-Balance_Sheet!N13</f>
        <v>32.293139573006329</v>
      </c>
      <c r="P55" s="19">
        <f>Balance_Sheet!P13-Balance_Sheet!O13</f>
        <v>32.454605270871355</v>
      </c>
      <c r="Q55" s="19">
        <f>Balance_Sheet!Q13-Balance_Sheet!P13</f>
        <v>32.616878297225696</v>
      </c>
    </row>
    <row r="56" spans="2:17" x14ac:dyDescent="0.25">
      <c r="B56" s="56" t="s">
        <v>27</v>
      </c>
      <c r="C56" s="17"/>
      <c r="D56" s="17">
        <f>Balance_Sheet!D17-Balance_Sheet!C17</f>
        <v>-29.500000000000014</v>
      </c>
      <c r="E56" s="17">
        <f>Balance_Sheet!E17-Balance_Sheet!D17</f>
        <v>-1.6400000000000006</v>
      </c>
      <c r="F56" s="17">
        <f>Balance_Sheet!F17-Balance_Sheet!E17</f>
        <v>28.340000000000003</v>
      </c>
      <c r="G56" s="17">
        <f>Balance_Sheet!G17-Balance_Sheet!F17</f>
        <v>115.66999999999999</v>
      </c>
      <c r="H56" s="19">
        <f>Balance_Sheet!H17-Balance_Sheet!G17</f>
        <v>0</v>
      </c>
      <c r="I56" s="19">
        <f>Balance_Sheet!I17-Balance_Sheet!H17</f>
        <v>0</v>
      </c>
      <c r="J56" s="19">
        <f>Balance_Sheet!J17-Balance_Sheet!I17</f>
        <v>0</v>
      </c>
      <c r="K56" s="19">
        <f>Balance_Sheet!K17-Balance_Sheet!J17</f>
        <v>0</v>
      </c>
      <c r="L56" s="19">
        <f>Balance_Sheet!L17-Balance_Sheet!K17</f>
        <v>0</v>
      </c>
      <c r="M56" s="19">
        <f>Balance_Sheet!M17-Balance_Sheet!L17</f>
        <v>0</v>
      </c>
      <c r="N56" s="19">
        <f>Balance_Sheet!N17-Balance_Sheet!M17</f>
        <v>0</v>
      </c>
      <c r="O56" s="19">
        <f>Balance_Sheet!O17-Balance_Sheet!N17</f>
        <v>0</v>
      </c>
      <c r="P56" s="19">
        <f>Balance_Sheet!P17-Balance_Sheet!O17</f>
        <v>0</v>
      </c>
      <c r="Q56" s="19">
        <f>Balance_Sheet!Q17-Balance_Sheet!P17</f>
        <v>0</v>
      </c>
    </row>
    <row r="57" spans="2:17" x14ac:dyDescent="0.25">
      <c r="B57" s="56" t="s">
        <v>28</v>
      </c>
      <c r="C57" s="17"/>
      <c r="D57" s="17">
        <f>Balance_Sheet!D18-Balance_Sheet!C18</f>
        <v>-63.730000000000004</v>
      </c>
      <c r="E57" s="17">
        <f>Balance_Sheet!E18-Balance_Sheet!D18</f>
        <v>5.32</v>
      </c>
      <c r="F57" s="17">
        <f>Balance_Sheet!F18-Balance_Sheet!E18</f>
        <v>8.6700000000000017</v>
      </c>
      <c r="G57" s="17">
        <f>Balance_Sheet!G18-Balance_Sheet!F18</f>
        <v>73.849999999999994</v>
      </c>
      <c r="H57" s="19">
        <f>Balance_Sheet!H18-Balance_Sheet!G18</f>
        <v>16.201444992927748</v>
      </c>
      <c r="I57" s="19">
        <f>Balance_Sheet!I18-Balance_Sheet!H18</f>
        <v>34.58270234483075</v>
      </c>
      <c r="J57" s="19">
        <f>Balance_Sheet!J18-Balance_Sheet!I18</f>
        <v>42.974443898198672</v>
      </c>
      <c r="K57" s="19">
        <f>Balance_Sheet!K18-Balance_Sheet!J18</f>
        <v>53.424198952081326</v>
      </c>
      <c r="L57" s="19">
        <f>Balance_Sheet!L18-Balance_Sheet!K18</f>
        <v>66.439530827251531</v>
      </c>
      <c r="M57" s="19">
        <f>Balance_Sheet!M18-Balance_Sheet!L18</f>
        <v>82.653552607026711</v>
      </c>
      <c r="N57" s="19">
        <f>Balance_Sheet!N18-Balance_Sheet!M18</f>
        <v>102.85603075147441</v>
      </c>
      <c r="O57" s="19">
        <f>Balance_Sheet!O18-Balance_Sheet!N18</f>
        <v>128.03220047321713</v>
      </c>
      <c r="P57" s="19">
        <f>Balance_Sheet!P18-Balance_Sheet!O18</f>
        <v>159.41120570638236</v>
      </c>
      <c r="Q57" s="19">
        <f>Balance_Sheet!Q18-Balance_Sheet!P18</f>
        <v>198.52655106264751</v>
      </c>
    </row>
    <row r="58" spans="2:17" x14ac:dyDescent="0.25">
      <c r="B58" s="56" t="s">
        <v>29</v>
      </c>
      <c r="C58" s="17"/>
      <c r="D58" s="17">
        <f>Balance_Sheet!D19-Balance_Sheet!C19</f>
        <v>0</v>
      </c>
      <c r="E58" s="17">
        <f>Balance_Sheet!E19-Balance_Sheet!D19</f>
        <v>0</v>
      </c>
      <c r="F58" s="17">
        <f>Balance_Sheet!F19-Balance_Sheet!E19</f>
        <v>0</v>
      </c>
      <c r="G58" s="17">
        <f>Balance_Sheet!G19-Balance_Sheet!F19</f>
        <v>0</v>
      </c>
      <c r="H58" s="19">
        <f>Balance_Sheet!H19-Balance_Sheet!G19</f>
        <v>0</v>
      </c>
      <c r="I58" s="19">
        <f>Balance_Sheet!I19-Balance_Sheet!H19</f>
        <v>0</v>
      </c>
      <c r="J58" s="19">
        <f>Balance_Sheet!J19-Balance_Sheet!I19</f>
        <v>0</v>
      </c>
      <c r="K58" s="19">
        <f>Balance_Sheet!K19-Balance_Sheet!J19</f>
        <v>0</v>
      </c>
      <c r="L58" s="19">
        <f>Balance_Sheet!L19-Balance_Sheet!K19</f>
        <v>0</v>
      </c>
      <c r="M58" s="19">
        <f>Balance_Sheet!M19-Balance_Sheet!L19</f>
        <v>0</v>
      </c>
      <c r="N58" s="19">
        <f>Balance_Sheet!N19-Balance_Sheet!M19</f>
        <v>0</v>
      </c>
      <c r="O58" s="19">
        <f>Balance_Sheet!O19-Balance_Sheet!N19</f>
        <v>0</v>
      </c>
      <c r="P58" s="19">
        <f>Balance_Sheet!P19-Balance_Sheet!O19</f>
        <v>0</v>
      </c>
      <c r="Q58" s="19">
        <f>Balance_Sheet!Q19-Balance_Sheet!P19</f>
        <v>0</v>
      </c>
    </row>
    <row r="59" spans="2:17" x14ac:dyDescent="0.25">
      <c r="B59" s="56" t="s">
        <v>157</v>
      </c>
      <c r="C59" s="17"/>
      <c r="D59" s="17">
        <f>Balance_Sheet!D20-Balance_Sheet!C20</f>
        <v>137.74</v>
      </c>
      <c r="E59" s="17">
        <f>Balance_Sheet!E20-Balance_Sheet!D20</f>
        <v>142.05999999999995</v>
      </c>
      <c r="F59" s="17">
        <f>Balance_Sheet!F20-Balance_Sheet!E20</f>
        <v>333.85</v>
      </c>
      <c r="G59" s="17">
        <f>Balance_Sheet!G20-Balance_Sheet!F20</f>
        <v>-109.44000000000005</v>
      </c>
      <c r="H59" s="19">
        <f>Balance_Sheet!H20-Balance_Sheet!G20</f>
        <v>693.67519305058681</v>
      </c>
      <c r="I59" s="19">
        <f>Balance_Sheet!I20-Balance_Sheet!H20</f>
        <v>445.00517798066949</v>
      </c>
      <c r="J59" s="19">
        <f>Balance_Sheet!J20-Balance_Sheet!I20</f>
        <v>552.98888631809677</v>
      </c>
      <c r="K59" s="19">
        <f>Balance_Sheet!K20-Balance_Sheet!J20</f>
        <v>687.45481270058326</v>
      </c>
      <c r="L59" s="19">
        <f>Balance_Sheet!L20-Balance_Sheet!K20</f>
        <v>854.93420803052368</v>
      </c>
      <c r="M59" s="19">
        <f>Balance_Sheet!M20-Balance_Sheet!L20</f>
        <v>1063.5738792726952</v>
      </c>
      <c r="N59" s="19">
        <f>Balance_Sheet!N20-Balance_Sheet!M20</f>
        <v>1323.5364262326575</v>
      </c>
      <c r="O59" s="19">
        <f>Balance_Sheet!O20-Balance_Sheet!N20</f>
        <v>1647.4997121604956</v>
      </c>
      <c r="P59" s="19">
        <f>Balance_Sheet!P20-Balance_Sheet!O20</f>
        <v>2051.2801822176098</v>
      </c>
      <c r="Q59" s="19">
        <f>Balance_Sheet!Q20-Balance_Sheet!P20</f>
        <v>2554.6107504443571</v>
      </c>
    </row>
    <row r="60" spans="2:17" x14ac:dyDescent="0.25">
      <c r="B60" s="56" t="s">
        <v>163</v>
      </c>
      <c r="C60" s="17"/>
      <c r="D60" s="17"/>
      <c r="E60" s="17"/>
      <c r="F60" s="17"/>
      <c r="G60" s="17"/>
      <c r="H60" s="19"/>
      <c r="I60" s="19"/>
      <c r="J60" s="19"/>
      <c r="K60" s="19"/>
      <c r="L60" s="19"/>
      <c r="M60" s="19"/>
      <c r="N60" s="19"/>
      <c r="O60" s="19"/>
      <c r="P60" s="19"/>
      <c r="Q60" s="19"/>
    </row>
    <row r="61" spans="2:17" x14ac:dyDescent="0.25">
      <c r="B61" s="56" t="s">
        <v>158</v>
      </c>
      <c r="C61" s="17"/>
      <c r="D61" s="17">
        <f>Balance_Sheet!D22-Balance_Sheet!C22</f>
        <v>3440.5999999999985</v>
      </c>
      <c r="E61" s="17">
        <f>Balance_Sheet!E22-Balance_Sheet!D22</f>
        <v>-571.98999999999978</v>
      </c>
      <c r="F61" s="17">
        <f>Balance_Sheet!F22-Balance_Sheet!E22</f>
        <v>4755.6500000000015</v>
      </c>
      <c r="G61" s="17">
        <f>Balance_Sheet!G22-Balance_Sheet!F22</f>
        <v>7746.8600000000006</v>
      </c>
      <c r="H61" s="19">
        <f>Balance_Sheet!H22-Balance_Sheet!G22</f>
        <v>6362.7121278779778</v>
      </c>
      <c r="I61" s="19">
        <f>Balance_Sheet!I22-Balance_Sheet!H22</f>
        <v>8033.0335612997224</v>
      </c>
      <c r="J61" s="19">
        <f>Balance_Sheet!J22-Balance_Sheet!I22</f>
        <v>9982.3069542170415</v>
      </c>
      <c r="K61" s="19">
        <f>Balance_Sheet!K22-Balance_Sheet!J22</f>
        <v>12409.625450562038</v>
      </c>
      <c r="L61" s="19">
        <f>Balance_Sheet!L22-Balance_Sheet!K22</f>
        <v>15432.888257562539</v>
      </c>
      <c r="M61" s="19">
        <f>Balance_Sheet!M22-Balance_Sheet!L22</f>
        <v>19199.157874721233</v>
      </c>
      <c r="N61" s="19">
        <f>Balance_Sheet!N22-Balance_Sheet!M22</f>
        <v>23891.884988339356</v>
      </c>
      <c r="O61" s="19">
        <f>Balance_Sheet!O22-Balance_Sheet!N22</f>
        <v>29739.924690475833</v>
      </c>
      <c r="P61" s="19">
        <f>Balance_Sheet!P22-Balance_Sheet!O22</f>
        <v>37028.788343893946</v>
      </c>
      <c r="Q61" s="19">
        <f>Balance_Sheet!Q22-Balance_Sheet!P22</f>
        <v>46114.685648147715</v>
      </c>
    </row>
    <row r="62" spans="2:17" x14ac:dyDescent="0.25">
      <c r="B62" s="56" t="s">
        <v>156</v>
      </c>
      <c r="C62" s="17"/>
      <c r="D62" s="17">
        <f>Balance_Sheet!D23-Balance_Sheet!C23</f>
        <v>-88.19</v>
      </c>
      <c r="E62" s="17">
        <f>Balance_Sheet!E23-Balance_Sheet!D23</f>
        <v>-81.519999999999982</v>
      </c>
      <c r="F62" s="17">
        <f>Balance_Sheet!F23-Balance_Sheet!E23</f>
        <v>98.639999999999986</v>
      </c>
      <c r="G62" s="17">
        <f>Balance_Sheet!G23-Balance_Sheet!F23</f>
        <v>22.170000000000016</v>
      </c>
      <c r="H62" s="19">
        <f>Balance_Sheet!H23-Balance_Sheet!G23</f>
        <v>488.16609636926182</v>
      </c>
      <c r="I62" s="19">
        <f>Balance_Sheet!I23-Balance_Sheet!H23</f>
        <v>239.53164000525533</v>
      </c>
      <c r="J62" s="19">
        <f>Balance_Sheet!J23-Balance_Sheet!I23</f>
        <v>297.65571593013556</v>
      </c>
      <c r="K62" s="19">
        <f>Balance_Sheet!K23-Balance_Sheet!J23</f>
        <v>370.03429816906419</v>
      </c>
      <c r="L62" s="19">
        <f>Balance_Sheet!L23-Balance_Sheet!K23</f>
        <v>460.18294410731846</v>
      </c>
      <c r="M62" s="19">
        <f>Balance_Sheet!M23-Balance_Sheet!L23</f>
        <v>572.48681178268635</v>
      </c>
      <c r="N62" s="19">
        <f>Balance_Sheet!N23-Balance_Sheet!M23</f>
        <v>712.41609416952633</v>
      </c>
      <c r="O62" s="19">
        <f>Balance_Sheet!O23-Balance_Sheet!N23</f>
        <v>886.79486776473459</v>
      </c>
      <c r="P62" s="19">
        <f>Balance_Sheet!P23-Balance_Sheet!O23</f>
        <v>1104.1366044019533</v>
      </c>
      <c r="Q62" s="19">
        <f>Balance_Sheet!Q23-Balance_Sheet!P23</f>
        <v>1375.0628822021808</v>
      </c>
    </row>
    <row r="63" spans="2:17" x14ac:dyDescent="0.25">
      <c r="B63" s="56" t="s">
        <v>34</v>
      </c>
      <c r="C63" s="17"/>
      <c r="D63" s="17">
        <f>Balance_Sheet!D24-Balance_Sheet!C24</f>
        <v>1.2000000000000002</v>
      </c>
      <c r="E63" s="17">
        <f>Balance_Sheet!E24-Balance_Sheet!D24</f>
        <v>18.22</v>
      </c>
      <c r="F63" s="17">
        <f>Balance_Sheet!F24-Balance_Sheet!E24</f>
        <v>21.95</v>
      </c>
      <c r="G63" s="17">
        <f>Balance_Sheet!G24-Balance_Sheet!F24</f>
        <v>16.269999999999996</v>
      </c>
      <c r="H63" s="19">
        <f>Balance_Sheet!H24-Balance_Sheet!G24</f>
        <v>-14.958718014760898</v>
      </c>
      <c r="I63" s="19">
        <f>Balance_Sheet!I24-Balance_Sheet!H24</f>
        <v>11.991806892332818</v>
      </c>
      <c r="J63" s="19">
        <f>Balance_Sheet!J24-Balance_Sheet!I24</f>
        <v>14.901705118183735</v>
      </c>
      <c r="K63" s="19">
        <f>Balance_Sheet!K24-Balance_Sheet!J24</f>
        <v>18.525234691692347</v>
      </c>
      <c r="L63" s="19">
        <f>Balance_Sheet!L24-Balance_Sheet!K24</f>
        <v>23.038396934781034</v>
      </c>
      <c r="M63" s="19">
        <f>Balance_Sheet!M24-Balance_Sheet!L24</f>
        <v>28.660728474762777</v>
      </c>
      <c r="N63" s="19">
        <f>Balance_Sheet!N24-Balance_Sheet!M24</f>
        <v>35.666086651782251</v>
      </c>
      <c r="O63" s="19">
        <f>Balance_Sheet!O24-Balance_Sheet!N24</f>
        <v>44.396109036422871</v>
      </c>
      <c r="P63" s="19">
        <f>Balance_Sheet!P24-Balance_Sheet!O24</f>
        <v>55.277010345914192</v>
      </c>
      <c r="Q63" s="19">
        <f>Balance_Sheet!Q24-Balance_Sheet!P24</f>
        <v>68.840544605386356</v>
      </c>
    </row>
    <row r="64" spans="2:17" x14ac:dyDescent="0.25">
      <c r="B64" s="56" t="s">
        <v>35</v>
      </c>
      <c r="C64" s="17"/>
      <c r="D64" s="17">
        <f>Balance_Sheet!D25-Balance_Sheet!C25</f>
        <v>-38.02000000000001</v>
      </c>
      <c r="E64" s="17">
        <f>Balance_Sheet!E25-Balance_Sheet!D25</f>
        <v>23.47999999999999</v>
      </c>
      <c r="F64" s="17">
        <f>Balance_Sheet!F25-Balance_Sheet!E25</f>
        <v>23.400000000000006</v>
      </c>
      <c r="G64" s="17">
        <f>Balance_Sheet!G25-Balance_Sheet!F25</f>
        <v>-40.400000000000006</v>
      </c>
      <c r="H64" s="19">
        <f>Balance_Sheet!H25-Balance_Sheet!G25</f>
        <v>221.50627092238869</v>
      </c>
      <c r="I64" s="19">
        <f>Balance_Sheet!I25-Balance_Sheet!H25</f>
        <v>95.952544729766203</v>
      </c>
      <c r="J64" s="19">
        <f>Balance_Sheet!J25-Balance_Sheet!I25</f>
        <v>119.236120106013</v>
      </c>
      <c r="K64" s="19">
        <f>Balance_Sheet!K25-Balance_Sheet!J25</f>
        <v>148.22982277345795</v>
      </c>
      <c r="L64" s="19">
        <f>Balance_Sheet!L25-Balance_Sheet!K25</f>
        <v>184.34192880474643</v>
      </c>
      <c r="M64" s="19">
        <f>Balance_Sheet!M25-Balance_Sheet!L25</f>
        <v>229.32906238847693</v>
      </c>
      <c r="N64" s="19">
        <f>Balance_Sheet!N25-Balance_Sheet!M25</f>
        <v>285.38249535847103</v>
      </c>
      <c r="O64" s="19">
        <f>Balance_Sheet!O25-Balance_Sheet!N25</f>
        <v>355.23584363825944</v>
      </c>
      <c r="P64" s="19">
        <f>Balance_Sheet!P25-Balance_Sheet!O25</f>
        <v>442.29946790881581</v>
      </c>
      <c r="Q64" s="19">
        <f>Balance_Sheet!Q25-Balance_Sheet!P25</f>
        <v>550.82820251993053</v>
      </c>
    </row>
    <row r="65" spans="2:17" x14ac:dyDescent="0.25">
      <c r="B65" s="56" t="s">
        <v>36</v>
      </c>
      <c r="C65" s="17"/>
      <c r="D65" s="17">
        <f>Balance_Sheet!D26-Balance_Sheet!C26</f>
        <v>-273.63</v>
      </c>
      <c r="E65" s="17">
        <f>Balance_Sheet!E26-Balance_Sheet!D26</f>
        <v>-11.599999999999966</v>
      </c>
      <c r="F65" s="17">
        <f>Balance_Sheet!F26-Balance_Sheet!E26</f>
        <v>-8.7700000000000387</v>
      </c>
      <c r="G65" s="17">
        <f>Balance_Sheet!G26-Balance_Sheet!F26</f>
        <v>165.43</v>
      </c>
      <c r="H65" s="19">
        <f>Balance_Sheet!H26-Balance_Sheet!G26</f>
        <v>389.72732615705655</v>
      </c>
      <c r="I65" s="19">
        <f>Balance_Sheet!I26-Balance_Sheet!H26</f>
        <v>210.76803458392305</v>
      </c>
      <c r="J65" s="19">
        <f>Balance_Sheet!J26-Balance_Sheet!I26</f>
        <v>261.9124146934771</v>
      </c>
      <c r="K65" s="19">
        <f>Balance_Sheet!K26-Balance_Sheet!J26</f>
        <v>325.59958155016125</v>
      </c>
      <c r="L65" s="19">
        <f>Balance_Sheet!L26-Balance_Sheet!K26</f>
        <v>404.92293492590261</v>
      </c>
      <c r="M65" s="19">
        <f>Balance_Sheet!M26-Balance_Sheet!L26</f>
        <v>503.74105125321103</v>
      </c>
      <c r="N65" s="19">
        <f>Balance_Sheet!N26-Balance_Sheet!M26</f>
        <v>626.86724797931311</v>
      </c>
      <c r="O65" s="19">
        <f>Balance_Sheet!O26-Balance_Sheet!N26</f>
        <v>780.30614808875453</v>
      </c>
      <c r="P65" s="19">
        <f>Balance_Sheet!P26-Balance_Sheet!O26</f>
        <v>971.5489027539752</v>
      </c>
      <c r="Q65" s="19">
        <f>Balance_Sheet!Q26-Balance_Sheet!P26</f>
        <v>1209.9416223455883</v>
      </c>
    </row>
    <row r="66" spans="2:17" x14ac:dyDescent="0.25">
      <c r="B66" s="56"/>
      <c r="C66" s="17"/>
      <c r="D66" s="17"/>
      <c r="E66" s="17"/>
      <c r="F66" s="17"/>
      <c r="G66" s="17"/>
      <c r="H66" s="19"/>
      <c r="I66" s="19"/>
      <c r="J66" s="19"/>
      <c r="K66" s="19"/>
      <c r="L66" s="19"/>
      <c r="M66" s="19"/>
      <c r="N66" s="19"/>
      <c r="O66" s="19"/>
      <c r="P66" s="19"/>
      <c r="Q66" s="19"/>
    </row>
    <row r="67" spans="2:17" x14ac:dyDescent="0.25">
      <c r="B67" s="103" t="s">
        <v>177</v>
      </c>
      <c r="C67" s="104"/>
      <c r="D67" s="23">
        <f>SUM(D49:D50)-SUM(D54:D65)</f>
        <v>-4035.87</v>
      </c>
      <c r="E67" s="23">
        <f t="shared" ref="E67:Q67" si="5">SUM(E49:E50)-SUM(E54:E65)</f>
        <v>389.57000000000096</v>
      </c>
      <c r="F67" s="23">
        <f t="shared" si="5"/>
        <v>-6274.4500000000007</v>
      </c>
      <c r="G67" s="23">
        <f t="shared" si="5"/>
        <v>-8819.4500000000025</v>
      </c>
      <c r="H67" s="23">
        <f t="shared" si="5"/>
        <v>-8895.3709512530804</v>
      </c>
      <c r="I67" s="23">
        <f t="shared" si="5"/>
        <v>-9753.4533107465013</v>
      </c>
      <c r="J67" s="23">
        <f t="shared" si="5"/>
        <v>-11883.78056125156</v>
      </c>
      <c r="K67" s="23">
        <f t="shared" si="5"/>
        <v>-14535.1483126036</v>
      </c>
      <c r="L67" s="23">
        <f t="shared" si="5"/>
        <v>-17836.025032583133</v>
      </c>
      <c r="M67" s="23">
        <f t="shared" si="5"/>
        <v>-21946.653139572591</v>
      </c>
      <c r="N67" s="23">
        <f t="shared" si="5"/>
        <v>-27066.920182674621</v>
      </c>
      <c r="O67" s="23">
        <f t="shared" si="5"/>
        <v>-33446.181523510088</v>
      </c>
      <c r="P67" s="23">
        <f t="shared" si="5"/>
        <v>-41395.518563847749</v>
      </c>
      <c r="Q67" s="23">
        <f t="shared" si="5"/>
        <v>-51303.036650750022</v>
      </c>
    </row>
    <row r="68" spans="2:17" x14ac:dyDescent="0.25">
      <c r="B68" s="56"/>
      <c r="C68" s="17"/>
      <c r="D68" s="17"/>
      <c r="E68" s="17"/>
      <c r="F68" s="17"/>
      <c r="G68" s="17"/>
      <c r="H68" s="19"/>
      <c r="I68" s="19"/>
      <c r="J68" s="19"/>
      <c r="K68" s="19"/>
      <c r="L68" s="19"/>
      <c r="M68" s="19"/>
      <c r="N68" s="19"/>
      <c r="O68" s="19"/>
      <c r="P68" s="19"/>
      <c r="Q68" s="19"/>
    </row>
    <row r="69" spans="2:17" x14ac:dyDescent="0.25">
      <c r="B69" s="55" t="s">
        <v>180</v>
      </c>
      <c r="C69" s="17"/>
      <c r="D69" s="17"/>
      <c r="E69" s="17"/>
      <c r="F69" s="17"/>
      <c r="G69" s="17"/>
      <c r="H69" s="19"/>
      <c r="I69" s="19"/>
      <c r="J69" s="19"/>
      <c r="K69" s="19"/>
      <c r="L69" s="19"/>
      <c r="M69" s="19"/>
      <c r="N69" s="19"/>
      <c r="O69" s="19"/>
      <c r="P69" s="19"/>
      <c r="Q69" s="19"/>
    </row>
    <row r="70" spans="2:17" x14ac:dyDescent="0.25">
      <c r="B70" s="56"/>
      <c r="C70" s="17"/>
      <c r="D70" s="17"/>
      <c r="E70" s="17"/>
      <c r="F70" s="17"/>
      <c r="G70" s="17"/>
      <c r="H70" s="19"/>
      <c r="I70" s="19"/>
      <c r="J70" s="19"/>
      <c r="K70" s="19"/>
      <c r="L70" s="19"/>
      <c r="M70" s="19"/>
      <c r="N70" s="19"/>
      <c r="O70" s="19"/>
      <c r="P70" s="19"/>
      <c r="Q70" s="19"/>
    </row>
    <row r="71" spans="2:17" x14ac:dyDescent="0.25">
      <c r="B71" s="55" t="s">
        <v>181</v>
      </c>
      <c r="C71" s="17"/>
      <c r="D71" s="17"/>
      <c r="E71" s="17"/>
      <c r="F71" s="17"/>
      <c r="G71" s="17"/>
      <c r="H71" s="19"/>
      <c r="I71" s="19"/>
      <c r="J71" s="19"/>
      <c r="K71" s="19"/>
      <c r="L71" s="19"/>
      <c r="M71" s="19"/>
      <c r="N71" s="19"/>
      <c r="O71" s="19"/>
      <c r="P71" s="19"/>
      <c r="Q71" s="19"/>
    </row>
    <row r="72" spans="2:17" x14ac:dyDescent="0.25">
      <c r="B72" s="56" t="s">
        <v>168</v>
      </c>
      <c r="C72" s="17"/>
      <c r="D72" s="17">
        <f>Balance_Sheet!D58-Balance_Sheet!C58</f>
        <v>2255.9299999999985</v>
      </c>
      <c r="E72" s="17">
        <f>Balance_Sheet!E58-Balance_Sheet!D58</f>
        <v>-267.32999999999993</v>
      </c>
      <c r="F72" s="17">
        <f>Balance_Sheet!F58-Balance_Sheet!E58</f>
        <v>4205.5600000000013</v>
      </c>
      <c r="G72" s="17">
        <f>Balance_Sheet!G58-Balance_Sheet!F58</f>
        <v>7192.8499999999985</v>
      </c>
      <c r="H72" s="19">
        <f>Balance_Sheet!H58-Balance_Sheet!G58</f>
        <v>7747.5250335279343</v>
      </c>
      <c r="I72" s="19">
        <f>Balance_Sheet!I58-Balance_Sheet!H58</f>
        <v>8196.5889137388658</v>
      </c>
      <c r="J72" s="19">
        <f>Balance_Sheet!J58-Balance_Sheet!I58</f>
        <v>10185.5501897387</v>
      </c>
      <c r="K72" s="19">
        <f>Balance_Sheet!K58-Balance_Sheet!J58</f>
        <v>12662.289733452933</v>
      </c>
      <c r="L72" s="19">
        <f>Balance_Sheet!L58-Balance_Sheet!K58</f>
        <v>15747.107220904087</v>
      </c>
      <c r="M72" s="19">
        <f>Balance_Sheet!M58-Balance_Sheet!L58</f>
        <v>19590.059395145945</v>
      </c>
      <c r="N72" s="19">
        <f>Balance_Sheet!N58-Balance_Sheet!M58</f>
        <v>24378.332062148271</v>
      </c>
      <c r="O72" s="19">
        <f>Balance_Sheet!O58-Balance_Sheet!N58</f>
        <v>30345.439883104656</v>
      </c>
      <c r="P72" s="19">
        <f>Balance_Sheet!P58-Balance_Sheet!O58</f>
        <v>37782.707331255922</v>
      </c>
      <c r="Q72" s="19">
        <f>Balance_Sheet!Q58-Balance_Sheet!P58</f>
        <v>47053.596659317758</v>
      </c>
    </row>
    <row r="73" spans="2:17" x14ac:dyDescent="0.25">
      <c r="B73" s="56" t="s">
        <v>169</v>
      </c>
      <c r="C73" s="17"/>
      <c r="D73" s="17">
        <f>Balance_Sheet!D59-Balance_Sheet!C59</f>
        <v>2.6999999999999886</v>
      </c>
      <c r="E73" s="17">
        <f>Balance_Sheet!E59-Balance_Sheet!D59</f>
        <v>15.120000000000005</v>
      </c>
      <c r="F73" s="17">
        <f>Balance_Sheet!F59-Balance_Sheet!E59</f>
        <v>28.400000000000006</v>
      </c>
      <c r="G73" s="17">
        <f>Balance_Sheet!G59-Balance_Sheet!F59</f>
        <v>-37.759999999999991</v>
      </c>
      <c r="H73" s="19">
        <f>Balance_Sheet!H59-Balance_Sheet!G59</f>
        <v>165.26914459597654</v>
      </c>
      <c r="I73" s="19">
        <f>Balance_Sheet!I59-Balance_Sheet!H59</f>
        <v>75.313757418541684</v>
      </c>
      <c r="J73" s="19">
        <f>Balance_Sheet!J59-Balance_Sheet!I59</f>
        <v>93.58918255355627</v>
      </c>
      <c r="K73" s="19">
        <f>Balance_Sheet!K59-Balance_Sheet!J59</f>
        <v>116.34652260650734</v>
      </c>
      <c r="L73" s="19">
        <f>Balance_Sheet!L59-Balance_Sheet!K59</f>
        <v>144.69114234715914</v>
      </c>
      <c r="M73" s="19">
        <f>Balance_Sheet!M59-Balance_Sheet!L59</f>
        <v>180.00182717811117</v>
      </c>
      <c r="N73" s="19">
        <f>Balance_Sheet!N59-Balance_Sheet!M59</f>
        <v>223.99852017951127</v>
      </c>
      <c r="O73" s="19">
        <f>Balance_Sheet!O59-Balance_Sheet!N59</f>
        <v>278.82685372744754</v>
      </c>
      <c r="P73" s="19">
        <f>Balance_Sheet!P59-Balance_Sheet!O59</f>
        <v>347.16364142556085</v>
      </c>
      <c r="Q73" s="19">
        <f>Balance_Sheet!Q59-Balance_Sheet!P59</f>
        <v>432.34852958525062</v>
      </c>
    </row>
    <row r="74" spans="2:17" x14ac:dyDescent="0.25">
      <c r="B74" s="56" t="s">
        <v>170</v>
      </c>
      <c r="C74" s="17"/>
      <c r="D74" s="17">
        <f>Balance_Sheet!D60-Balance_Sheet!C60</f>
        <v>3.6500000000000057</v>
      </c>
      <c r="E74" s="17">
        <f>Balance_Sheet!E60-Balance_Sheet!D60</f>
        <v>-28.350000000000023</v>
      </c>
      <c r="F74" s="17">
        <f>Balance_Sheet!F60-Balance_Sheet!E60</f>
        <v>20.810000000000002</v>
      </c>
      <c r="G74" s="17">
        <f>Balance_Sheet!G60-Balance_Sheet!F60</f>
        <v>-36.599999999999994</v>
      </c>
      <c r="H74" s="19">
        <f>Balance_Sheet!H60-Balance_Sheet!G60</f>
        <v>197.07378121427982</v>
      </c>
      <c r="I74" s="19">
        <f>Balance_Sheet!I60-Balance_Sheet!H60</f>
        <v>77.218651534910975</v>
      </c>
      <c r="J74" s="19">
        <f>Balance_Sheet!J60-Balance_Sheet!I60</f>
        <v>95.956312933353161</v>
      </c>
      <c r="K74" s="19">
        <f>Balance_Sheet!K60-Balance_Sheet!J60</f>
        <v>119.28924932695901</v>
      </c>
      <c r="L74" s="19">
        <f>Balance_Sheet!L60-Balance_Sheet!K60</f>
        <v>148.35078323077812</v>
      </c>
      <c r="M74" s="19">
        <f>Balance_Sheet!M60-Balance_Sheet!L60</f>
        <v>184.55457335995152</v>
      </c>
      <c r="N74" s="19">
        <f>Balance_Sheet!N60-Balance_Sheet!M60</f>
        <v>229.66406493243221</v>
      </c>
      <c r="O74" s="19">
        <f>Balance_Sheet!O60-Balance_Sheet!N60</f>
        <v>285.87915932680153</v>
      </c>
      <c r="P74" s="19">
        <f>Balance_Sheet!P60-Balance_Sheet!O60</f>
        <v>355.94437419784572</v>
      </c>
      <c r="Q74" s="19">
        <f>Balance_Sheet!Q60-Balance_Sheet!P60</f>
        <v>443.28382478836966</v>
      </c>
    </row>
    <row r="75" spans="2:17" x14ac:dyDescent="0.25">
      <c r="B75" s="56" t="s">
        <v>59</v>
      </c>
      <c r="C75" s="17"/>
      <c r="D75" s="17">
        <f>Balance_Sheet!D61-Balance_Sheet!C61</f>
        <v>0.84000000000000341</v>
      </c>
      <c r="E75" s="17">
        <f>Balance_Sheet!E61-Balance_Sheet!D61</f>
        <v>54.610000000000014</v>
      </c>
      <c r="F75" s="17">
        <f>Balance_Sheet!F61-Balance_Sheet!E61</f>
        <v>349.28999999999996</v>
      </c>
      <c r="G75" s="17">
        <f>Balance_Sheet!G61-Balance_Sheet!F61</f>
        <v>224.23000000000002</v>
      </c>
      <c r="H75" s="19">
        <f>Balance_Sheet!H61-Balance_Sheet!G61</f>
        <v>-99.070376272286467</v>
      </c>
      <c r="I75" s="19">
        <f>Balance_Sheet!I61-Balance_Sheet!H61</f>
        <v>180.48878990418393</v>
      </c>
      <c r="J75" s="19">
        <f>Balance_Sheet!J61-Balance_Sheet!I61</f>
        <v>224.28569342703508</v>
      </c>
      <c r="K75" s="19">
        <f>Balance_Sheet!K61-Balance_Sheet!J61</f>
        <v>278.8234685743937</v>
      </c>
      <c r="L75" s="19">
        <f>Balance_Sheet!L61-Balance_Sheet!K61</f>
        <v>346.75111277429687</v>
      </c>
      <c r="M75" s="19">
        <f>Balance_Sheet!M61-Balance_Sheet!L61</f>
        <v>431.37287371511434</v>
      </c>
      <c r="N75" s="19">
        <f>Balance_Sheet!N61-Balance_Sheet!M61</f>
        <v>536.81058060681153</v>
      </c>
      <c r="O75" s="19">
        <f>Balance_Sheet!O61-Balance_Sheet!N61</f>
        <v>668.20622349759697</v>
      </c>
      <c r="P75" s="19">
        <f>Balance_Sheet!P61-Balance_Sheet!O61</f>
        <v>831.97476380594571</v>
      </c>
      <c r="Q75" s="19">
        <f>Balance_Sheet!Q61-Balance_Sheet!P61</f>
        <v>1036.1196359920777</v>
      </c>
    </row>
    <row r="76" spans="2:17" x14ac:dyDescent="0.25">
      <c r="B76" s="56" t="s">
        <v>60</v>
      </c>
      <c r="C76" s="17"/>
      <c r="D76" s="17">
        <f>Balance_Sheet!D62-Balance_Sheet!C62</f>
        <v>47.519999999999982</v>
      </c>
      <c r="E76" s="17">
        <f>Balance_Sheet!E62-Balance_Sheet!D62</f>
        <v>-70.259999999999991</v>
      </c>
      <c r="F76" s="17">
        <f>Balance_Sheet!F62-Balance_Sheet!E62</f>
        <v>406.17</v>
      </c>
      <c r="G76" s="17">
        <f>Balance_Sheet!G62-Balance_Sheet!F62</f>
        <v>324.82999999999993</v>
      </c>
      <c r="H76" s="19">
        <f>Balance_Sheet!H62-Balance_Sheet!G62</f>
        <v>-55.647057467713012</v>
      </c>
      <c r="I76" s="19">
        <f>Balance_Sheet!I62-Balance_Sheet!H62</f>
        <v>235.87561128734797</v>
      </c>
      <c r="J76" s="19">
        <f>Balance_Sheet!J62-Balance_Sheet!I62</f>
        <v>293.11252553797704</v>
      </c>
      <c r="K76" s="19">
        <f>Balance_Sheet!K62-Balance_Sheet!J62</f>
        <v>364.38637616307324</v>
      </c>
      <c r="L76" s="19">
        <f>Balance_Sheet!L62-Balance_Sheet!K62</f>
        <v>453.15906175461282</v>
      </c>
      <c r="M76" s="19">
        <f>Balance_Sheet!M62-Balance_Sheet!L62</f>
        <v>563.74880863431372</v>
      </c>
      <c r="N76" s="19">
        <f>Balance_Sheet!N62-Balance_Sheet!M62</f>
        <v>701.54231691268433</v>
      </c>
      <c r="O76" s="19">
        <f>Balance_Sheet!O62-Balance_Sheet!N62</f>
        <v>873.25950557471378</v>
      </c>
      <c r="P76" s="19">
        <f>Balance_Sheet!P62-Balance_Sheet!O62</f>
        <v>1087.2839032970069</v>
      </c>
      <c r="Q76" s="19">
        <f>Balance_Sheet!Q62-Balance_Sheet!P62</f>
        <v>1354.0749685129931</v>
      </c>
    </row>
    <row r="77" spans="2:17" x14ac:dyDescent="0.25">
      <c r="B77" s="56" t="s">
        <v>61</v>
      </c>
      <c r="C77" s="17"/>
      <c r="D77" s="17">
        <f>Balance_Sheet!D63-Balance_Sheet!C63</f>
        <v>-34.180000000000007</v>
      </c>
      <c r="E77" s="17">
        <f>Balance_Sheet!E63-Balance_Sheet!D63</f>
        <v>-21.839999999999975</v>
      </c>
      <c r="F77" s="17">
        <f>Balance_Sheet!F63-Balance_Sheet!E63</f>
        <v>56.20999999999998</v>
      </c>
      <c r="G77" s="17">
        <f>Balance_Sheet!G63-Balance_Sheet!F63</f>
        <v>33.409999999999997</v>
      </c>
      <c r="H77" s="19">
        <f>Balance_Sheet!H63-Balance_Sheet!G63</f>
        <v>0</v>
      </c>
      <c r="I77" s="19">
        <f>Balance_Sheet!I63-Balance_Sheet!H63</f>
        <v>0</v>
      </c>
      <c r="J77" s="19">
        <f>Balance_Sheet!J63-Balance_Sheet!I63</f>
        <v>0</v>
      </c>
      <c r="K77" s="19">
        <f>Balance_Sheet!K63-Balance_Sheet!J63</f>
        <v>0</v>
      </c>
      <c r="L77" s="19">
        <f>Balance_Sheet!L63-Balance_Sheet!K63</f>
        <v>0</v>
      </c>
      <c r="M77" s="19">
        <f>Balance_Sheet!M63-Balance_Sheet!L63</f>
        <v>0</v>
      </c>
      <c r="N77" s="19">
        <f>Balance_Sheet!N63-Balance_Sheet!M63</f>
        <v>0</v>
      </c>
      <c r="O77" s="19">
        <f>Balance_Sheet!O63-Balance_Sheet!N63</f>
        <v>0</v>
      </c>
      <c r="P77" s="19">
        <f>Balance_Sheet!P63-Balance_Sheet!O63</f>
        <v>0</v>
      </c>
      <c r="Q77" s="19">
        <f>Balance_Sheet!Q63-Balance_Sheet!P63</f>
        <v>0</v>
      </c>
    </row>
    <row r="78" spans="2:17" x14ac:dyDescent="0.25">
      <c r="B78" s="56" t="s">
        <v>62</v>
      </c>
      <c r="C78" s="17"/>
      <c r="D78" s="17">
        <f>Balance_Sheet!D64-Balance_Sheet!C64</f>
        <v>0</v>
      </c>
      <c r="E78" s="17">
        <f>Balance_Sheet!E64-Balance_Sheet!D64</f>
        <v>0</v>
      </c>
      <c r="F78" s="17">
        <f>Balance_Sheet!F64-Balance_Sheet!E64</f>
        <v>13.68</v>
      </c>
      <c r="G78" s="17">
        <f>Balance_Sheet!G64-Balance_Sheet!F64</f>
        <v>-9.86</v>
      </c>
      <c r="H78" s="19">
        <f>Balance_Sheet!H64-Balance_Sheet!G64</f>
        <v>0.8439270775712342</v>
      </c>
      <c r="I78" s="19">
        <f>Balance_Sheet!I64-Balance_Sheet!H64</f>
        <v>1.1098926375903559</v>
      </c>
      <c r="J78" s="19">
        <f>Balance_Sheet!J64-Balance_Sheet!I64</f>
        <v>1.3792160719990694</v>
      </c>
      <c r="K78" s="19">
        <f>Balance_Sheet!K64-Balance_Sheet!J64</f>
        <v>1.7145891172654597</v>
      </c>
      <c r="L78" s="19">
        <f>Balance_Sheet!L64-Balance_Sheet!K64</f>
        <v>2.1323014429248701</v>
      </c>
      <c r="M78" s="19">
        <f>Balance_Sheet!M64-Balance_Sheet!L64</f>
        <v>2.6526720958502086</v>
      </c>
      <c r="N78" s="19">
        <f>Balance_Sheet!N64-Balance_Sheet!M64</f>
        <v>3.3010477354986865</v>
      </c>
      <c r="O78" s="19">
        <f>Balance_Sheet!O64-Balance_Sheet!N64</f>
        <v>4.1090483694070485</v>
      </c>
      <c r="P78" s="19">
        <f>Balance_Sheet!P64-Balance_Sheet!O64</f>
        <v>5.116121979095773</v>
      </c>
      <c r="Q78" s="19">
        <f>Balance_Sheet!Q64-Balance_Sheet!P64</f>
        <v>6.3714846570853396</v>
      </c>
    </row>
    <row r="79" spans="2:17" x14ac:dyDescent="0.25">
      <c r="B79" s="56" t="s">
        <v>50</v>
      </c>
      <c r="C79" s="17"/>
      <c r="D79" s="17">
        <f>Balance_Sheet!D50-Balance_Sheet!C50</f>
        <v>0</v>
      </c>
      <c r="E79" s="17">
        <f>Balance_Sheet!E50-Balance_Sheet!D50</f>
        <v>0</v>
      </c>
      <c r="F79" s="17">
        <f>Balance_Sheet!F50-Balance_Sheet!E50</f>
        <v>6.0000000000002274E-2</v>
      </c>
      <c r="G79" s="17">
        <f>Balance_Sheet!G50-Balance_Sheet!F50</f>
        <v>1.999999999998181E-2</v>
      </c>
      <c r="H79" s="19">
        <f>Balance_Sheet!H50-Balance_Sheet!G50</f>
        <v>0</v>
      </c>
      <c r="I79" s="19">
        <f>Balance_Sheet!I50-Balance_Sheet!H50</f>
        <v>0</v>
      </c>
      <c r="J79" s="19">
        <f>Balance_Sheet!J50-Balance_Sheet!I50</f>
        <v>0</v>
      </c>
      <c r="K79" s="19">
        <f>Balance_Sheet!K50-Balance_Sheet!J50</f>
        <v>0</v>
      </c>
      <c r="L79" s="19">
        <f>Balance_Sheet!L50-Balance_Sheet!K50</f>
        <v>0</v>
      </c>
      <c r="M79" s="19">
        <f>Balance_Sheet!M50-Balance_Sheet!L50</f>
        <v>0</v>
      </c>
      <c r="N79" s="19">
        <f>Balance_Sheet!N50-Balance_Sheet!M50</f>
        <v>0</v>
      </c>
      <c r="O79" s="19">
        <f>Balance_Sheet!O50-Balance_Sheet!N50</f>
        <v>0</v>
      </c>
      <c r="P79" s="19">
        <f>Balance_Sheet!P50-Balance_Sheet!O50</f>
        <v>0</v>
      </c>
      <c r="Q79" s="19">
        <f>Balance_Sheet!Q50-Balance_Sheet!P50</f>
        <v>0</v>
      </c>
    </row>
    <row r="80" spans="2:17" x14ac:dyDescent="0.25">
      <c r="B80" s="56" t="s">
        <v>51</v>
      </c>
      <c r="C80" s="17"/>
      <c r="D80" s="17">
        <f>Balance_Sheet!D51-Balance_Sheet!C51-'Income Statement'!D41</f>
        <v>142.81000000000125</v>
      </c>
      <c r="E80" s="17">
        <f>Balance_Sheet!E51-Balance_Sheet!D51-'Income Statement'!E41</f>
        <v>-272.68000000000529</v>
      </c>
      <c r="F80" s="17">
        <f>Balance_Sheet!F51-Balance_Sheet!E51-'Income Statement'!F41</f>
        <v>-111.68000000000211</v>
      </c>
      <c r="G80" s="17">
        <f>Balance_Sheet!G51-Balance_Sheet!F51-'Income Statement'!G41</f>
        <v>-2245.6699999999951</v>
      </c>
      <c r="H80" s="19">
        <f>Balance_Sheet!H51-Balance_Sheet!G51-'Income Statement'!H41</f>
        <v>-556.19956660647858</v>
      </c>
      <c r="I80" s="19">
        <f>Balance_Sheet!I51-Balance_Sheet!H51-'Income Statement'!I41</f>
        <v>-732.08238323102614</v>
      </c>
      <c r="J80" s="19">
        <f>Balance_Sheet!J51-Balance_Sheet!I51-'Income Statement'!J41</f>
        <v>-950.92996025668435</v>
      </c>
      <c r="K80" s="19">
        <f>Balance_Sheet!K51-Balance_Sheet!J51-'Income Statement'!K41</f>
        <v>-1223.2888804398472</v>
      </c>
      <c r="L80" s="19">
        <f>Balance_Sheet!L51-Balance_Sheet!K51-'Income Statement'!L41</f>
        <v>-1562.3079406976849</v>
      </c>
      <c r="M80" s="19">
        <f>Balance_Sheet!M51-Balance_Sheet!L51-'Income Statement'!M41</f>
        <v>-1984.3819760210799</v>
      </c>
      <c r="N80" s="19">
        <f>Balance_Sheet!N51-Balance_Sheet!M51-'Income Statement'!N41</f>
        <v>-2509.9552026881483</v>
      </c>
      <c r="O80" s="19">
        <f>Balance_Sheet!O51-Balance_Sheet!N51-'Income Statement'!O41</f>
        <v>-3164.5236340611427</v>
      </c>
      <c r="P80" s="19">
        <f>Balance_Sheet!P51-Balance_Sheet!O51-'Income Statement'!P41</f>
        <v>-3979.8859333882865</v>
      </c>
      <c r="Q80" s="19">
        <f>Balance_Sheet!Q51-Balance_Sheet!P51-'Income Statement'!Q41</f>
        <v>-4995.7043132978215</v>
      </c>
    </row>
    <row r="81" spans="2:18" x14ac:dyDescent="0.25">
      <c r="B81" s="56" t="s">
        <v>52</v>
      </c>
      <c r="C81" s="17"/>
      <c r="D81" s="17">
        <f>Balance_Sheet!D52-Balance_Sheet!C52</f>
        <v>161.20000000000005</v>
      </c>
      <c r="E81" s="17">
        <f>Balance_Sheet!E52-Balance_Sheet!D52</f>
        <v>17.990000000000009</v>
      </c>
      <c r="F81" s="17">
        <f>Balance_Sheet!F52-Balance_Sheet!E52</f>
        <v>958.54</v>
      </c>
      <c r="G81" s="17">
        <f>Balance_Sheet!G52-Balance_Sheet!F52</f>
        <v>565.15999999999985</v>
      </c>
      <c r="H81" s="19">
        <f>Balance_Sheet!H52-Balance_Sheet!G52</f>
        <v>0</v>
      </c>
      <c r="I81" s="19">
        <f>Balance_Sheet!I52-Balance_Sheet!H52</f>
        <v>0</v>
      </c>
      <c r="J81" s="19">
        <f>Balance_Sheet!J52-Balance_Sheet!I52</f>
        <v>0</v>
      </c>
      <c r="K81" s="19">
        <f>Balance_Sheet!K52-Balance_Sheet!J52</f>
        <v>0</v>
      </c>
      <c r="L81" s="19">
        <f>Balance_Sheet!L52-Balance_Sheet!K52</f>
        <v>0</v>
      </c>
      <c r="M81" s="19">
        <f>Balance_Sheet!M52-Balance_Sheet!L52</f>
        <v>0</v>
      </c>
      <c r="N81" s="19">
        <f>Balance_Sheet!N52-Balance_Sheet!M52</f>
        <v>0</v>
      </c>
      <c r="O81" s="19">
        <f>Balance_Sheet!O52-Balance_Sheet!N52</f>
        <v>0</v>
      </c>
      <c r="P81" s="19">
        <f>Balance_Sheet!P52-Balance_Sheet!O52</f>
        <v>0</v>
      </c>
      <c r="Q81" s="19">
        <f>Balance_Sheet!Q52-Balance_Sheet!P52</f>
        <v>0</v>
      </c>
    </row>
    <row r="82" spans="2:18" x14ac:dyDescent="0.25">
      <c r="B82" s="56"/>
      <c r="C82" s="17"/>
      <c r="D82" s="17"/>
      <c r="E82" s="17"/>
      <c r="F82" s="17"/>
      <c r="G82" s="17"/>
      <c r="H82" s="19"/>
      <c r="I82" s="19"/>
      <c r="J82" s="19"/>
      <c r="K82" s="19"/>
      <c r="L82" s="19"/>
      <c r="M82" s="19"/>
      <c r="N82" s="19"/>
      <c r="O82" s="19"/>
      <c r="P82" s="19"/>
      <c r="Q82" s="19"/>
    </row>
    <row r="83" spans="2:18" x14ac:dyDescent="0.25">
      <c r="B83" s="101" t="s">
        <v>182</v>
      </c>
      <c r="C83" s="17"/>
      <c r="D83" s="17"/>
      <c r="E83" s="17"/>
      <c r="F83" s="17"/>
      <c r="G83" s="17"/>
      <c r="H83" s="19"/>
      <c r="I83" s="19"/>
      <c r="J83" s="19"/>
      <c r="K83" s="19"/>
      <c r="L83" s="19"/>
      <c r="M83" s="19"/>
      <c r="N83" s="19"/>
      <c r="O83" s="19"/>
      <c r="P83" s="19"/>
      <c r="Q83" s="19"/>
    </row>
    <row r="84" spans="2:18" x14ac:dyDescent="0.25">
      <c r="B84" s="56" t="s">
        <v>183</v>
      </c>
      <c r="C84" s="17"/>
      <c r="D84" s="17">
        <f>'Income Statement'!D28</f>
        <v>1900.64</v>
      </c>
      <c r="E84" s="17">
        <f>'Income Statement'!E28</f>
        <v>1869.05</v>
      </c>
      <c r="F84" s="17">
        <f>'Income Statement'!F28</f>
        <v>2093.5</v>
      </c>
      <c r="G84" s="17">
        <f>'Income Statement'!G28</f>
        <v>2982.25</v>
      </c>
      <c r="H84" s="19">
        <f>'Income Statement'!H28</f>
        <v>4152.1811704347601</v>
      </c>
      <c r="I84" s="19">
        <f>'Income Statement'!I28</f>
        <v>5140.2916692392864</v>
      </c>
      <c r="J84" s="19">
        <f>'Income Statement'!J28</f>
        <v>6368.17429022953</v>
      </c>
      <c r="K84" s="19">
        <f>'Income Statement'!K28</f>
        <v>7894.6314001570281</v>
      </c>
      <c r="L84" s="19">
        <f>'Income Statement'!L28</f>
        <v>9792.9676635134747</v>
      </c>
      <c r="M84" s="19">
        <f>'Income Statement'!M28</f>
        <v>12154.577299456312</v>
      </c>
      <c r="N84" s="19">
        <f>'Income Statement'!N28</f>
        <v>15093.420043365957</v>
      </c>
      <c r="O84" s="19">
        <f>'Income Statement'!O28</f>
        <v>18751.606156503578</v>
      </c>
      <c r="P84" s="19">
        <f>'Income Statement'!P28</f>
        <v>23306.365481409521</v>
      </c>
      <c r="Q84" s="19">
        <f>'Income Statement'!Q28</f>
        <v>28978.743754236333</v>
      </c>
    </row>
    <row r="85" spans="2:18" x14ac:dyDescent="0.25">
      <c r="B85" s="56"/>
      <c r="C85" s="17"/>
      <c r="D85" s="17"/>
      <c r="E85" s="17"/>
      <c r="F85" s="17"/>
      <c r="G85" s="17"/>
      <c r="H85" s="19"/>
      <c r="I85" s="19"/>
      <c r="J85" s="19"/>
      <c r="K85" s="19"/>
      <c r="L85" s="19"/>
      <c r="M85" s="19"/>
      <c r="N85" s="19"/>
      <c r="O85" s="19"/>
      <c r="P85" s="19"/>
      <c r="Q85" s="19"/>
    </row>
    <row r="86" spans="2:18" x14ac:dyDescent="0.25">
      <c r="B86" s="95" t="s">
        <v>180</v>
      </c>
      <c r="C86" s="105"/>
      <c r="D86" s="93">
        <f>SUM(D72:D81)-D84</f>
        <v>679.83000000000015</v>
      </c>
      <c r="E86" s="93">
        <f t="shared" ref="E86:Q86" si="6">SUM(E72:E81)-E84</f>
        <v>-2441.7900000000054</v>
      </c>
      <c r="F86" s="93">
        <f t="shared" si="6"/>
        <v>3833.54</v>
      </c>
      <c r="G86" s="93">
        <f t="shared" si="6"/>
        <v>3028.3600000000024</v>
      </c>
      <c r="H86" s="93">
        <f t="shared" si="6"/>
        <v>3247.613715634523</v>
      </c>
      <c r="I86" s="93">
        <f t="shared" si="6"/>
        <v>2894.2215640511304</v>
      </c>
      <c r="J86" s="93">
        <f t="shared" si="6"/>
        <v>3574.7688697764061</v>
      </c>
      <c r="K86" s="93">
        <f t="shared" si="6"/>
        <v>4424.9296586442579</v>
      </c>
      <c r="L86" s="93">
        <f t="shared" si="6"/>
        <v>5486.9160182427022</v>
      </c>
      <c r="M86" s="93">
        <f t="shared" si="6"/>
        <v>6813.4308746518946</v>
      </c>
      <c r="N86" s="93">
        <f t="shared" si="6"/>
        <v>8470.273346461101</v>
      </c>
      <c r="O86" s="93">
        <f t="shared" si="6"/>
        <v>10539.590883035904</v>
      </c>
      <c r="P86" s="93">
        <f t="shared" si="6"/>
        <v>13123.938721163577</v>
      </c>
      <c r="Q86" s="93">
        <f t="shared" si="6"/>
        <v>16351.347035319384</v>
      </c>
    </row>
    <row r="87" spans="2:18" x14ac:dyDescent="0.25">
      <c r="B87" s="56"/>
      <c r="C87" s="17"/>
      <c r="D87" s="17"/>
      <c r="E87" s="17"/>
      <c r="F87" s="17"/>
      <c r="G87" s="17"/>
      <c r="H87" s="19"/>
      <c r="I87" s="19"/>
      <c r="J87" s="19"/>
      <c r="K87" s="19"/>
      <c r="L87" s="19"/>
      <c r="M87" s="19"/>
      <c r="N87" s="19"/>
      <c r="O87" s="19"/>
      <c r="P87" s="19"/>
      <c r="Q87" s="19"/>
    </row>
    <row r="88" spans="2:18" x14ac:dyDescent="0.25">
      <c r="B88" s="106" t="s">
        <v>184</v>
      </c>
      <c r="C88" s="107"/>
      <c r="D88" s="108">
        <f>SUM(D45,D67,D86)</f>
        <v>-707.47000000000094</v>
      </c>
      <c r="E88" s="108">
        <f t="shared" ref="E88:Q88" si="7">SUM(E45,E67,E86)</f>
        <v>549.63999999999987</v>
      </c>
      <c r="F88" s="108">
        <f t="shared" si="7"/>
        <v>-119.56999999999607</v>
      </c>
      <c r="G88" s="108">
        <f t="shared" si="7"/>
        <v>3308.4499999999935</v>
      </c>
      <c r="H88" s="108">
        <f t="shared" si="7"/>
        <v>375.47721230592288</v>
      </c>
      <c r="I88" s="108">
        <f t="shared" si="7"/>
        <v>2294.7266552919109</v>
      </c>
      <c r="J88" s="108">
        <f t="shared" si="7"/>
        <v>2968.0412507950514</v>
      </c>
      <c r="K88" s="108">
        <f t="shared" si="7"/>
        <v>3806.1390955639308</v>
      </c>
      <c r="L88" s="108">
        <f t="shared" si="7"/>
        <v>4849.5376009246593</v>
      </c>
      <c r="M88" s="108">
        <f t="shared" si="7"/>
        <v>6148.760223387053</v>
      </c>
      <c r="N88" s="108">
        <f t="shared" si="7"/>
        <v>7766.8132588250992</v>
      </c>
      <c r="O88" s="108">
        <f t="shared" si="7"/>
        <v>9782.2764577260459</v>
      </c>
      <c r="P88" s="108">
        <f t="shared" si="7"/>
        <v>12293.159679484153</v>
      </c>
      <c r="Q88" s="108">
        <f t="shared" si="7"/>
        <v>15421.71556365546</v>
      </c>
    </row>
    <row r="89" spans="2:18" x14ac:dyDescent="0.25">
      <c r="B89" s="102" t="s">
        <v>185</v>
      </c>
      <c r="C89" s="97"/>
      <c r="D89" s="97">
        <f>C90</f>
        <v>2188.2399999999998</v>
      </c>
      <c r="E89" s="97">
        <f t="shared" ref="E89:Q89" si="8">D90</f>
        <v>1480.7699999999988</v>
      </c>
      <c r="F89" s="97">
        <f t="shared" si="8"/>
        <v>2030.4099999999987</v>
      </c>
      <c r="G89" s="97">
        <f t="shared" si="8"/>
        <v>1910.8400000000026</v>
      </c>
      <c r="H89" s="98">
        <f t="shared" si="8"/>
        <v>5219.2899999999963</v>
      </c>
      <c r="I89" s="98">
        <f t="shared" si="8"/>
        <v>5594.7672123059192</v>
      </c>
      <c r="J89" s="98">
        <f t="shared" si="8"/>
        <v>7889.4938675978301</v>
      </c>
      <c r="K89" s="98">
        <f t="shared" si="8"/>
        <v>10857.535118392881</v>
      </c>
      <c r="L89" s="98">
        <f t="shared" si="8"/>
        <v>14663.674213956812</v>
      </c>
      <c r="M89" s="98">
        <f t="shared" si="8"/>
        <v>19513.21181488147</v>
      </c>
      <c r="N89" s="98">
        <f t="shared" si="8"/>
        <v>25661.972038268523</v>
      </c>
      <c r="O89" s="98">
        <f t="shared" si="8"/>
        <v>33428.785297093622</v>
      </c>
      <c r="P89" s="98">
        <f t="shared" si="8"/>
        <v>43211.061754819668</v>
      </c>
      <c r="Q89" s="98">
        <f t="shared" si="8"/>
        <v>55504.221434303821</v>
      </c>
    </row>
    <row r="90" spans="2:18" x14ac:dyDescent="0.25">
      <c r="B90" s="102" t="s">
        <v>186</v>
      </c>
      <c r="C90" s="97">
        <f>Balance_Sheet!C35</f>
        <v>2188.2399999999998</v>
      </c>
      <c r="D90" s="97">
        <f>SUM(D88:D89)</f>
        <v>1480.7699999999988</v>
      </c>
      <c r="E90" s="97">
        <f t="shared" ref="E90:Q90" si="9">SUM(E88:E89)</f>
        <v>2030.4099999999987</v>
      </c>
      <c r="F90" s="97">
        <f t="shared" si="9"/>
        <v>1910.8400000000026</v>
      </c>
      <c r="G90" s="97">
        <f t="shared" si="9"/>
        <v>5219.2899999999963</v>
      </c>
      <c r="H90" s="98">
        <f t="shared" si="9"/>
        <v>5594.7672123059192</v>
      </c>
      <c r="I90" s="98">
        <f t="shared" si="9"/>
        <v>7889.4938675978301</v>
      </c>
      <c r="J90" s="98">
        <f t="shared" si="9"/>
        <v>10857.535118392881</v>
      </c>
      <c r="K90" s="98">
        <f t="shared" si="9"/>
        <v>14663.674213956812</v>
      </c>
      <c r="L90" s="98">
        <f t="shared" si="9"/>
        <v>19513.21181488147</v>
      </c>
      <c r="M90" s="98">
        <f t="shared" si="9"/>
        <v>25661.972038268523</v>
      </c>
      <c r="N90" s="98">
        <f t="shared" si="9"/>
        <v>33428.785297093622</v>
      </c>
      <c r="O90" s="98">
        <f t="shared" si="9"/>
        <v>43211.061754819668</v>
      </c>
      <c r="P90" s="98">
        <f t="shared" si="9"/>
        <v>55504.221434303821</v>
      </c>
      <c r="Q90" s="98">
        <f t="shared" si="9"/>
        <v>70925.936997959274</v>
      </c>
    </row>
    <row r="91" spans="2:18" x14ac:dyDescent="0.25">
      <c r="B91" s="56"/>
      <c r="C91" s="17"/>
      <c r="D91" s="17"/>
      <c r="E91" s="17"/>
      <c r="F91" s="17"/>
      <c r="G91" s="17"/>
      <c r="H91" s="19"/>
      <c r="I91" s="19"/>
      <c r="J91" s="19"/>
      <c r="K91" s="19"/>
      <c r="L91" s="19"/>
      <c r="M91" s="19"/>
      <c r="N91" s="19"/>
      <c r="O91" s="19"/>
      <c r="P91" s="19"/>
      <c r="Q91" s="19"/>
    </row>
    <row r="92" spans="2:18" x14ac:dyDescent="0.25">
      <c r="B92" s="56" t="s">
        <v>187</v>
      </c>
      <c r="C92" s="17" t="str">
        <f>IF(ROUND(C90,0)=ROUND(Balance_Sheet!C35,0)&lt;&gt;0,"OK","ERROR")</f>
        <v>OK</v>
      </c>
      <c r="D92" s="17" t="str">
        <f>IF(ROUND(D90,0)=ROUND(Balance_Sheet!D35,0)&lt;&gt;0,"OK","ERROR")</f>
        <v>OK</v>
      </c>
      <c r="E92" s="17" t="str">
        <f>IF(ROUND(E90,0)=ROUND(Balance_Sheet!E35,0)&lt;&gt;0,"OK","ERROR")</f>
        <v>OK</v>
      </c>
      <c r="F92" s="17" t="str">
        <f>IF(ROUND(F90,0)=ROUND(Balance_Sheet!F35,0)&lt;&gt;0,"OK","ERROR")</f>
        <v>OK</v>
      </c>
      <c r="G92" s="17" t="str">
        <f>IF(ROUND(G90,0)=ROUND(Balance_Sheet!G35,0)&lt;&gt;0,"OK","ERROR")</f>
        <v>OK</v>
      </c>
      <c r="H92" s="19" t="str">
        <f>IF(ROUND(H90,0)=ROUND(Balance_Sheet!H35,0)&lt;&gt;0,"OK","ERROR")</f>
        <v>OK</v>
      </c>
      <c r="I92" s="19" t="str">
        <f>IF(ROUND(I90,0)=ROUND(Balance_Sheet!I35,0)&lt;&gt;0,"OK","ERROR")</f>
        <v>OK</v>
      </c>
      <c r="J92" s="19" t="str">
        <f>IF(ROUND(J90,0)=ROUND(Balance_Sheet!J35,0)&lt;&gt;0,"OK","ERROR")</f>
        <v>OK</v>
      </c>
      <c r="K92" s="19" t="str">
        <f>IF(ROUND(K90,0)=ROUND(Balance_Sheet!K35,0)&lt;&gt;0,"OK","ERROR")</f>
        <v>OK</v>
      </c>
      <c r="L92" s="19" t="str">
        <f>IF(ROUND(L90,0)=ROUND(Balance_Sheet!L35,0)&lt;&gt;0,"OK","ERROR")</f>
        <v>OK</v>
      </c>
      <c r="M92" s="19" t="str">
        <f>IF(ROUND(M90,0)=ROUND(Balance_Sheet!M35,0)&lt;&gt;0,"OK","ERROR")</f>
        <v>OK</v>
      </c>
      <c r="N92" s="19" t="str">
        <f>IF(ROUND(N90,0)=ROUND(Balance_Sheet!N35,0)&lt;&gt;0,"OK","ERROR")</f>
        <v>OK</v>
      </c>
      <c r="O92" s="19" t="str">
        <f>IF(ROUND(O90,0)=ROUND(Balance_Sheet!O35,0)&lt;&gt;0,"OK","ERROR")</f>
        <v>OK</v>
      </c>
      <c r="P92" s="19" t="str">
        <f>IF(ROUND(P90,0)=ROUND(Balance_Sheet!P35,0)&lt;&gt;0,"OK","ERROR")</f>
        <v>OK</v>
      </c>
      <c r="Q92" s="19" t="str">
        <f>IF(ROUND(Q90,0)=ROUND(Balance_Sheet!Q35,0)&lt;&gt;0,"OK","ERROR")</f>
        <v>OK</v>
      </c>
      <c r="R92" s="1"/>
    </row>
    <row r="93" spans="2:18" x14ac:dyDescent="0.25">
      <c r="C93" s="1"/>
      <c r="D93" s="1"/>
      <c r="E93" s="1"/>
      <c r="F93" s="1"/>
      <c r="G93" s="1"/>
      <c r="H93" s="1"/>
      <c r="I93" s="1"/>
      <c r="J93" s="1"/>
      <c r="K93" s="1"/>
      <c r="L93" s="1"/>
      <c r="M93" s="1"/>
      <c r="N93" s="1"/>
      <c r="O93" s="1"/>
      <c r="P93" s="1"/>
      <c r="Q93" s="1"/>
    </row>
  </sheetData>
  <mergeCells count="2">
    <mergeCell ref="B8:B9"/>
    <mergeCell ref="B7:Q7"/>
  </mergeCells>
  <pageMargins left="0.7" right="0.7" top="0.75" bottom="0.75" header="0.3" footer="0.3"/>
  <pageSetup orientation="portrait" horizontalDpi="300" verticalDpi="0" copies="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5D15C-7672-4D61-8DFC-4C5E332A497D}">
  <dimension ref="B6:BL71"/>
  <sheetViews>
    <sheetView showGridLines="0" topLeftCell="A7" zoomScale="80" zoomScaleNormal="80" workbookViewId="0">
      <selection activeCell="S25" sqref="S25"/>
    </sheetView>
  </sheetViews>
  <sheetFormatPr defaultRowHeight="15" x14ac:dyDescent="0.25"/>
  <cols>
    <col min="1" max="1" width="0.85546875" customWidth="1"/>
    <col min="2" max="2" width="28.140625" customWidth="1"/>
    <col min="3" max="3" width="12.7109375" bestFit="1" customWidth="1"/>
    <col min="4" max="7" width="13.7109375" bestFit="1" customWidth="1"/>
    <col min="8" max="8" width="13.7109375" style="6" bestFit="1" customWidth="1"/>
    <col min="9" max="12" width="13.7109375" bestFit="1" customWidth="1"/>
    <col min="13" max="16" width="14.7109375" bestFit="1" customWidth="1"/>
    <col min="17" max="17" width="14.85546875" bestFit="1" customWidth="1"/>
    <col min="18" max="18" width="13.5703125" customWidth="1"/>
    <col min="19" max="19" width="189.42578125" style="166" customWidth="1"/>
    <col min="20" max="64" width="9.140625" style="166"/>
  </cols>
  <sheetData>
    <row r="6" spans="2:64" x14ac:dyDescent="0.25">
      <c r="Q6" t="s">
        <v>274</v>
      </c>
    </row>
    <row r="7" spans="2:64" ht="15.75" customHeight="1" x14ac:dyDescent="0.25">
      <c r="B7" s="235" t="s">
        <v>290</v>
      </c>
      <c r="C7" s="235"/>
      <c r="D7" s="235"/>
      <c r="E7" s="235"/>
      <c r="F7" s="235"/>
      <c r="G7" s="235"/>
      <c r="H7" s="235"/>
      <c r="I7" s="235"/>
      <c r="J7" s="235"/>
      <c r="K7" s="235"/>
      <c r="L7" s="235"/>
      <c r="M7" s="235"/>
      <c r="N7" s="235"/>
      <c r="O7" s="235"/>
      <c r="P7" s="235"/>
      <c r="Q7" s="235"/>
      <c r="R7" s="113"/>
      <c r="S7" s="113"/>
      <c r="T7" s="171"/>
      <c r="U7" s="171"/>
      <c r="V7" s="171"/>
      <c r="W7" s="171"/>
      <c r="X7" s="171"/>
      <c r="Y7" s="171"/>
      <c r="Z7" s="171"/>
      <c r="AA7" s="171"/>
      <c r="AB7" s="171"/>
      <c r="AC7" s="171"/>
      <c r="AD7" s="171"/>
      <c r="AE7" s="171"/>
      <c r="AF7" s="171"/>
      <c r="AG7" s="171"/>
      <c r="AH7" s="171"/>
      <c r="AI7" s="171"/>
      <c r="AJ7" s="171"/>
      <c r="AK7" s="171"/>
      <c r="AL7" s="171"/>
      <c r="AM7" s="171"/>
      <c r="AN7" s="171"/>
      <c r="AO7" s="171"/>
      <c r="AP7" s="171"/>
      <c r="AQ7" s="171"/>
      <c r="AR7" s="171"/>
      <c r="AS7" s="171"/>
      <c r="AT7" s="171"/>
      <c r="AU7" s="171"/>
      <c r="AV7" s="171"/>
      <c r="AW7" s="171"/>
      <c r="AX7" s="171"/>
      <c r="AY7" s="171"/>
      <c r="AZ7" s="171"/>
      <c r="BA7" s="171"/>
      <c r="BB7" s="171"/>
      <c r="BC7" s="171"/>
      <c r="BD7" s="171"/>
      <c r="BE7" s="171"/>
      <c r="BF7" s="171"/>
      <c r="BG7" s="171"/>
      <c r="BH7" s="171"/>
      <c r="BI7" s="171"/>
      <c r="BJ7" s="171"/>
      <c r="BK7" s="171"/>
      <c r="BL7" s="171"/>
    </row>
    <row r="8" spans="2:64" ht="15.75" x14ac:dyDescent="0.25">
      <c r="B8" s="240" t="s">
        <v>0</v>
      </c>
      <c r="C8" s="38">
        <v>2020</v>
      </c>
      <c r="D8" s="38">
        <v>2021</v>
      </c>
      <c r="E8" s="38">
        <v>2022</v>
      </c>
      <c r="F8" s="38">
        <v>2023</v>
      </c>
      <c r="G8" s="38">
        <v>2024</v>
      </c>
      <c r="H8" s="39">
        <f>G8+1</f>
        <v>2025</v>
      </c>
      <c r="I8" s="39">
        <f t="shared" ref="I8:Q8" si="0">H8+1</f>
        <v>2026</v>
      </c>
      <c r="J8" s="39">
        <f t="shared" si="0"/>
        <v>2027</v>
      </c>
      <c r="K8" s="39">
        <f t="shared" si="0"/>
        <v>2028</v>
      </c>
      <c r="L8" s="39">
        <f t="shared" si="0"/>
        <v>2029</v>
      </c>
      <c r="M8" s="39">
        <f t="shared" si="0"/>
        <v>2030</v>
      </c>
      <c r="N8" s="39">
        <f t="shared" si="0"/>
        <v>2031</v>
      </c>
      <c r="O8" s="39">
        <f t="shared" si="0"/>
        <v>2032</v>
      </c>
      <c r="P8" s="39">
        <f t="shared" si="0"/>
        <v>2033</v>
      </c>
      <c r="Q8" s="39">
        <f t="shared" si="0"/>
        <v>2034</v>
      </c>
      <c r="R8" s="154"/>
      <c r="S8" s="165" t="s">
        <v>291</v>
      </c>
      <c r="T8" s="172"/>
      <c r="U8" s="172"/>
      <c r="V8" s="172"/>
      <c r="W8" s="172"/>
      <c r="X8" s="172"/>
      <c r="Y8" s="172"/>
      <c r="Z8" s="172"/>
      <c r="AA8" s="172"/>
      <c r="AB8" s="172"/>
      <c r="AC8" s="172"/>
      <c r="AD8" s="172"/>
      <c r="AE8" s="172"/>
      <c r="AF8" s="172"/>
      <c r="AG8" s="172"/>
      <c r="AH8" s="172"/>
      <c r="AI8" s="172"/>
      <c r="AJ8" s="172"/>
      <c r="AK8" s="172"/>
      <c r="AL8" s="172"/>
      <c r="AM8" s="172"/>
      <c r="AN8" s="172"/>
      <c r="AO8" s="172"/>
      <c r="AP8" s="172"/>
      <c r="AQ8" s="172"/>
      <c r="AR8" s="172"/>
      <c r="AS8" s="172"/>
      <c r="AT8" s="172"/>
      <c r="AU8" s="172"/>
      <c r="AV8" s="172"/>
      <c r="AW8" s="172"/>
      <c r="AX8" s="172"/>
      <c r="AY8" s="172"/>
      <c r="AZ8" s="172"/>
      <c r="BA8" s="172"/>
      <c r="BB8" s="172"/>
      <c r="BC8" s="172"/>
      <c r="BD8" s="172"/>
      <c r="BE8" s="172"/>
      <c r="BF8" s="172"/>
      <c r="BG8" s="172"/>
      <c r="BH8" s="172"/>
      <c r="BI8" s="172"/>
      <c r="BJ8" s="172"/>
      <c r="BK8" s="172"/>
      <c r="BL8" s="172"/>
    </row>
    <row r="9" spans="2:64" x14ac:dyDescent="0.25">
      <c r="B9" s="241"/>
      <c r="C9" s="41" t="s">
        <v>1</v>
      </c>
      <c r="D9" s="41" t="s">
        <v>1</v>
      </c>
      <c r="E9" s="41" t="s">
        <v>1</v>
      </c>
      <c r="F9" s="41" t="s">
        <v>1</v>
      </c>
      <c r="G9" s="41" t="s">
        <v>1</v>
      </c>
      <c r="H9" s="42" t="s">
        <v>315</v>
      </c>
      <c r="I9" s="42" t="s">
        <v>315</v>
      </c>
      <c r="J9" s="42" t="s">
        <v>315</v>
      </c>
      <c r="K9" s="42" t="s">
        <v>315</v>
      </c>
      <c r="L9" s="42" t="s">
        <v>315</v>
      </c>
      <c r="M9" s="42" t="s">
        <v>315</v>
      </c>
      <c r="N9" s="42" t="s">
        <v>315</v>
      </c>
      <c r="O9" s="42" t="s">
        <v>315</v>
      </c>
      <c r="P9" s="42" t="s">
        <v>315</v>
      </c>
      <c r="Q9" s="42" t="s">
        <v>315</v>
      </c>
      <c r="R9" s="154"/>
      <c r="S9" s="113"/>
      <c r="T9" s="171"/>
      <c r="U9" s="171"/>
      <c r="V9" s="171"/>
      <c r="W9" s="171"/>
      <c r="X9" s="171"/>
      <c r="Y9" s="171"/>
      <c r="Z9" s="171"/>
      <c r="AA9" s="171"/>
      <c r="AB9" s="171"/>
      <c r="AC9" s="171"/>
      <c r="AD9" s="171"/>
      <c r="AE9" s="171"/>
      <c r="AF9" s="171"/>
      <c r="AG9" s="171"/>
      <c r="AH9" s="171"/>
      <c r="AI9" s="171"/>
      <c r="AJ9" s="171"/>
      <c r="AK9" s="171"/>
      <c r="AL9" s="171"/>
      <c r="AM9" s="171"/>
      <c r="AN9" s="171"/>
      <c r="AO9" s="171"/>
      <c r="AP9" s="171"/>
      <c r="AQ9" s="171"/>
      <c r="AR9" s="171"/>
      <c r="AS9" s="171"/>
      <c r="AT9" s="171"/>
      <c r="AU9" s="171"/>
      <c r="AV9" s="171"/>
      <c r="AW9" s="171"/>
      <c r="AX9" s="171"/>
      <c r="AY9" s="171"/>
      <c r="AZ9" s="171"/>
      <c r="BA9" s="171"/>
      <c r="BB9" s="171"/>
      <c r="BC9" s="171"/>
      <c r="BD9" s="171"/>
      <c r="BE9" s="171"/>
      <c r="BF9" s="171"/>
      <c r="BG9" s="171"/>
      <c r="BH9" s="171"/>
      <c r="BI9" s="171"/>
      <c r="BJ9" s="171"/>
      <c r="BK9" s="171"/>
      <c r="BL9" s="171"/>
    </row>
    <row r="10" spans="2:64" x14ac:dyDescent="0.25">
      <c r="B10" s="91"/>
      <c r="C10" s="9"/>
      <c r="D10" s="9"/>
      <c r="E10" s="9"/>
      <c r="F10" s="9"/>
      <c r="G10" s="9"/>
      <c r="H10" s="110"/>
      <c r="I10" s="110"/>
      <c r="J10" s="110"/>
      <c r="K10" s="110"/>
      <c r="L10" s="110"/>
      <c r="M10" s="110"/>
      <c r="N10" s="110"/>
      <c r="O10" s="110"/>
      <c r="P10" s="110"/>
      <c r="Q10" s="110"/>
    </row>
    <row r="11" spans="2:64" x14ac:dyDescent="0.25">
      <c r="B11" s="48" t="s">
        <v>188</v>
      </c>
      <c r="C11" s="13"/>
      <c r="D11" s="13"/>
      <c r="E11" s="13"/>
      <c r="F11" s="13"/>
      <c r="G11" s="13"/>
      <c r="H11" s="88"/>
      <c r="I11" s="88"/>
      <c r="J11" s="88"/>
      <c r="K11" s="88"/>
      <c r="L11" s="88"/>
      <c r="M11" s="88"/>
      <c r="N11" s="88"/>
      <c r="O11" s="88"/>
      <c r="P11" s="88"/>
      <c r="Q11" s="88"/>
    </row>
    <row r="12" spans="2:64" ht="72" x14ac:dyDescent="0.25">
      <c r="B12" s="173" t="s">
        <v>189</v>
      </c>
      <c r="C12" s="169">
        <f>Cost_Buildup!C24</f>
        <v>0.39202059835262387</v>
      </c>
      <c r="D12" s="169">
        <f>Cost_Buildup!D24</f>
        <v>0.38072796993949864</v>
      </c>
      <c r="E12" s="169">
        <f>Cost_Buildup!E24</f>
        <v>0.3286900444598595</v>
      </c>
      <c r="F12" s="169">
        <f>Cost_Buildup!F24</f>
        <v>0.30844487744945137</v>
      </c>
      <c r="G12" s="169">
        <f>Cost_Buildup!G24</f>
        <v>0.36167085675151078</v>
      </c>
      <c r="H12" s="170">
        <f>Cost_Buildup!H24</f>
        <v>0.35431086939058898</v>
      </c>
      <c r="I12" s="170">
        <f>Cost_Buildup!I24</f>
        <v>0.35431086939058898</v>
      </c>
      <c r="J12" s="170">
        <f>Cost_Buildup!J24</f>
        <v>0.35431086939058892</v>
      </c>
      <c r="K12" s="170">
        <f>Cost_Buildup!K24</f>
        <v>0.35431086939058892</v>
      </c>
      <c r="L12" s="170">
        <f>Cost_Buildup!L24</f>
        <v>0.35431086939058887</v>
      </c>
      <c r="M12" s="170">
        <f>Cost_Buildup!M24</f>
        <v>0.35431086939058903</v>
      </c>
      <c r="N12" s="170">
        <f>Cost_Buildup!N24</f>
        <v>0.35431086939058903</v>
      </c>
      <c r="O12" s="170">
        <f>Cost_Buildup!O24</f>
        <v>0.35431086939058898</v>
      </c>
      <c r="P12" s="170">
        <f>Cost_Buildup!P24</f>
        <v>0.35431086939058892</v>
      </c>
      <c r="Q12" s="170">
        <f>Cost_Buildup!Q24</f>
        <v>0.35431086939058892</v>
      </c>
      <c r="S12" s="195" t="s">
        <v>349</v>
      </c>
      <c r="T12" s="145"/>
      <c r="U12" s="145"/>
      <c r="V12" s="145"/>
      <c r="W12" s="145"/>
      <c r="X12" s="145"/>
      <c r="Y12" s="145"/>
      <c r="Z12" s="145"/>
      <c r="AA12" s="145"/>
      <c r="AB12" s="145"/>
      <c r="AC12" s="145"/>
      <c r="AD12" s="145"/>
      <c r="AE12" s="145"/>
      <c r="AF12" s="145"/>
      <c r="AG12" s="145"/>
      <c r="AH12" s="145"/>
      <c r="AI12" s="145"/>
      <c r="AJ12" s="145"/>
      <c r="AK12" s="145"/>
      <c r="AL12" s="145"/>
      <c r="AM12" s="145"/>
      <c r="AN12" s="145"/>
      <c r="AO12" s="145"/>
      <c r="AP12" s="145"/>
      <c r="AQ12" s="145"/>
      <c r="AR12" s="145"/>
      <c r="AS12" s="145"/>
      <c r="AT12" s="145"/>
      <c r="AU12" s="145"/>
      <c r="AV12" s="145"/>
      <c r="AW12" s="145"/>
      <c r="AX12" s="145"/>
      <c r="AY12" s="145"/>
      <c r="AZ12" s="145"/>
      <c r="BA12" s="145"/>
      <c r="BB12" s="145"/>
      <c r="BC12" s="145"/>
      <c r="BD12" s="145"/>
      <c r="BE12" s="145"/>
      <c r="BF12" s="145"/>
      <c r="BG12" s="145"/>
      <c r="BH12" s="145"/>
      <c r="BI12" s="145"/>
      <c r="BJ12" s="145"/>
      <c r="BK12" s="145"/>
      <c r="BL12" s="145"/>
    </row>
    <row r="13" spans="2:64" x14ac:dyDescent="0.25">
      <c r="B13" s="173"/>
      <c r="C13" s="176"/>
      <c r="D13" s="176"/>
      <c r="E13" s="176"/>
      <c r="F13" s="176"/>
      <c r="G13" s="176"/>
      <c r="H13" s="170"/>
      <c r="I13" s="177"/>
      <c r="J13" s="177"/>
      <c r="K13" s="177"/>
      <c r="L13" s="177"/>
      <c r="M13" s="177"/>
      <c r="N13" s="177"/>
      <c r="O13" s="177"/>
      <c r="P13" s="177"/>
      <c r="Q13" s="177"/>
      <c r="S13" s="141"/>
      <c r="T13" s="145"/>
      <c r="U13" s="145"/>
      <c r="V13" s="145"/>
      <c r="W13" s="145"/>
      <c r="X13" s="145"/>
      <c r="Y13" s="145"/>
      <c r="Z13" s="145"/>
      <c r="AA13" s="145"/>
      <c r="AB13" s="145"/>
      <c r="AC13" s="145"/>
      <c r="AD13" s="145"/>
      <c r="AE13" s="145"/>
      <c r="AF13" s="145"/>
      <c r="AG13" s="145"/>
      <c r="AH13" s="145"/>
      <c r="AI13" s="145"/>
      <c r="AJ13" s="145"/>
      <c r="AK13" s="145"/>
      <c r="AL13" s="145"/>
      <c r="AM13" s="145"/>
      <c r="AN13" s="145"/>
      <c r="AO13" s="145"/>
      <c r="AP13" s="145"/>
      <c r="AQ13" s="145"/>
      <c r="AR13" s="145"/>
      <c r="AS13" s="145"/>
      <c r="AT13" s="145"/>
      <c r="AU13" s="145"/>
      <c r="AV13" s="145"/>
      <c r="AW13" s="145"/>
      <c r="AX13" s="145"/>
      <c r="AY13" s="145"/>
      <c r="AZ13" s="145"/>
      <c r="BA13" s="145"/>
      <c r="BB13" s="145"/>
      <c r="BC13" s="145"/>
      <c r="BD13" s="145"/>
      <c r="BE13" s="145"/>
      <c r="BF13" s="145"/>
      <c r="BG13" s="145"/>
      <c r="BH13" s="145"/>
      <c r="BI13" s="145"/>
      <c r="BJ13" s="145"/>
      <c r="BK13" s="145"/>
      <c r="BL13" s="145"/>
    </row>
    <row r="14" spans="2:64" ht="72" x14ac:dyDescent="0.25">
      <c r="B14" s="173" t="s">
        <v>190</v>
      </c>
      <c r="C14" s="178">
        <f>'Income Statement'!C22/'Income Statement'!C11</f>
        <v>0.14729671677310707</v>
      </c>
      <c r="D14" s="178">
        <f>'Income Statement'!D22/'Income Statement'!D11</f>
        <v>0.12657691694809828</v>
      </c>
      <c r="E14" s="178">
        <f>'Income Statement'!E22/'Income Statement'!E11</f>
        <v>0.10539406909668181</v>
      </c>
      <c r="F14" s="178">
        <f>'Income Statement'!F22/'Income Statement'!F11</f>
        <v>0.12221219698314964</v>
      </c>
      <c r="G14" s="178">
        <f>'Income Statement'!G22/'Income Statement'!G11</f>
        <v>0.17346055875174479</v>
      </c>
      <c r="H14" s="179">
        <f>'Income Statement'!H22/'Income Statement'!H11</f>
        <v>0.13498809171055662</v>
      </c>
      <c r="I14" s="179">
        <f>'Income Statement'!I22/'Income Statement'!I11</f>
        <v>0.13498809171055662</v>
      </c>
      <c r="J14" s="179">
        <f>'Income Statement'!J22/'Income Statement'!J11</f>
        <v>0.13498809171055651</v>
      </c>
      <c r="K14" s="179">
        <f>'Income Statement'!K22/'Income Statement'!K11</f>
        <v>0.13498809171055653</v>
      </c>
      <c r="L14" s="179">
        <f>'Income Statement'!L22/'Income Statement'!L11</f>
        <v>0.13498809171055645</v>
      </c>
      <c r="M14" s="179">
        <f>'Income Statement'!M22/'Income Statement'!M11</f>
        <v>0.13498809171055659</v>
      </c>
      <c r="N14" s="179">
        <f>'Income Statement'!N22/'Income Statement'!N11</f>
        <v>0.13498809171055667</v>
      </c>
      <c r="O14" s="179">
        <f>'Income Statement'!O22/'Income Statement'!O11</f>
        <v>0.13498809171055659</v>
      </c>
      <c r="P14" s="179">
        <f>'Income Statement'!P22/'Income Statement'!P11</f>
        <v>0.13498809171055648</v>
      </c>
      <c r="Q14" s="179">
        <f>'Income Statement'!Q22/'Income Statement'!Q11</f>
        <v>0.13498809171055642</v>
      </c>
      <c r="S14" s="195" t="s">
        <v>348</v>
      </c>
      <c r="T14" s="145"/>
      <c r="U14" s="145"/>
      <c r="V14" s="145"/>
      <c r="W14" s="145"/>
      <c r="X14" s="145"/>
      <c r="Y14" s="145"/>
      <c r="Z14" s="145"/>
      <c r="AA14" s="145"/>
      <c r="AB14" s="145"/>
      <c r="AC14" s="145"/>
      <c r="AD14" s="145"/>
      <c r="AE14" s="145"/>
      <c r="AF14" s="145"/>
      <c r="AG14" s="145"/>
      <c r="AH14" s="145"/>
      <c r="AI14" s="145"/>
      <c r="AJ14" s="145"/>
      <c r="AK14" s="145"/>
      <c r="AL14" s="145"/>
      <c r="AM14" s="145"/>
      <c r="AN14" s="145"/>
      <c r="AO14" s="145"/>
      <c r="AP14" s="145"/>
      <c r="AQ14" s="145"/>
      <c r="AR14" s="145"/>
      <c r="AS14" s="145"/>
      <c r="AT14" s="145"/>
      <c r="AU14" s="145"/>
      <c r="AV14" s="145"/>
      <c r="AW14" s="145"/>
      <c r="AX14" s="145"/>
      <c r="AY14" s="145"/>
      <c r="AZ14" s="145"/>
      <c r="BA14" s="145"/>
      <c r="BB14" s="145"/>
      <c r="BC14" s="145"/>
      <c r="BD14" s="145"/>
      <c r="BE14" s="145"/>
      <c r="BF14" s="145"/>
      <c r="BG14" s="145"/>
      <c r="BH14" s="145"/>
      <c r="BI14" s="145"/>
      <c r="BJ14" s="145"/>
      <c r="BK14" s="145"/>
      <c r="BL14" s="145"/>
    </row>
    <row r="15" spans="2:64" x14ac:dyDescent="0.25">
      <c r="B15" s="173"/>
      <c r="C15" s="176"/>
      <c r="D15" s="176"/>
      <c r="E15" s="176"/>
      <c r="F15" s="176"/>
      <c r="G15" s="176"/>
      <c r="H15" s="179"/>
      <c r="I15" s="177"/>
      <c r="J15" s="177"/>
      <c r="K15" s="177"/>
      <c r="L15" s="177"/>
      <c r="M15" s="177"/>
      <c r="N15" s="177"/>
      <c r="O15" s="177"/>
      <c r="P15" s="177"/>
      <c r="Q15" s="177"/>
      <c r="S15" s="141"/>
      <c r="T15" s="145"/>
      <c r="U15" s="145"/>
      <c r="V15" s="145"/>
      <c r="W15" s="145"/>
      <c r="X15" s="145"/>
      <c r="Y15" s="145"/>
      <c r="Z15" s="145"/>
      <c r="AA15" s="145"/>
      <c r="AB15" s="145"/>
      <c r="AC15" s="145"/>
      <c r="AD15" s="145"/>
      <c r="AE15" s="145"/>
      <c r="AF15" s="145"/>
      <c r="AG15" s="145"/>
      <c r="AH15" s="145"/>
      <c r="AI15" s="145"/>
      <c r="AJ15" s="145"/>
      <c r="AK15" s="145"/>
      <c r="AL15" s="145"/>
      <c r="AM15" s="145"/>
      <c r="AN15" s="145"/>
      <c r="AO15" s="145"/>
      <c r="AP15" s="145"/>
      <c r="AQ15" s="145"/>
      <c r="AR15" s="145"/>
      <c r="AS15" s="145"/>
      <c r="AT15" s="145"/>
      <c r="AU15" s="145"/>
      <c r="AV15" s="145"/>
      <c r="AW15" s="145"/>
      <c r="AX15" s="145"/>
      <c r="AY15" s="145"/>
      <c r="AZ15" s="145"/>
      <c r="BA15" s="145"/>
      <c r="BB15" s="145"/>
      <c r="BC15" s="145"/>
      <c r="BD15" s="145"/>
      <c r="BE15" s="145"/>
      <c r="BF15" s="145"/>
      <c r="BG15" s="145"/>
      <c r="BH15" s="145"/>
      <c r="BI15" s="145"/>
      <c r="BJ15" s="145"/>
      <c r="BK15" s="145"/>
      <c r="BL15" s="145"/>
    </row>
    <row r="16" spans="2:64" ht="57.75" x14ac:dyDescent="0.25">
      <c r="B16" s="173" t="s">
        <v>191</v>
      </c>
      <c r="C16" s="178">
        <f>'Income Statement'!C26/'Income Statement'!C11</f>
        <v>0.11313058424410079</v>
      </c>
      <c r="D16" s="178">
        <f>'Income Statement'!D26/'Income Statement'!D11</f>
        <v>8.362350352881906E-2</v>
      </c>
      <c r="E16" s="178">
        <f>'Income Statement'!E26/'Income Statement'!E11</f>
        <v>7.2388959928955887E-2</v>
      </c>
      <c r="F16" s="178">
        <f>'Income Statement'!F26/'Income Statement'!F11</f>
        <v>0.10060999313697733</v>
      </c>
      <c r="G16" s="178">
        <f>'Income Statement'!G26/'Income Statement'!G11</f>
        <v>0.15320991364173978</v>
      </c>
      <c r="H16" s="179">
        <f>'Income Statement'!H26/'Income Statement'!H11</f>
        <v>0.1185353996599762</v>
      </c>
      <c r="I16" s="179">
        <f>'Income Statement'!I26/'Income Statement'!I11</f>
        <v>0.12163162570748659</v>
      </c>
      <c r="J16" s="179">
        <f>'Income Statement'!J26/'Income Statement'!J11</f>
        <v>0.1241530535291185</v>
      </c>
      <c r="K16" s="179">
        <f>'Income Statement'!K26/'Income Statement'!K11</f>
        <v>0.12620434930084595</v>
      </c>
      <c r="L16" s="179">
        <f>'Income Statement'!L26/'Income Statement'!L11</f>
        <v>0.12787164518725794</v>
      </c>
      <c r="M16" s="179">
        <f>'Income Statement'!M26/'Income Statement'!M11</f>
        <v>0.12922568758825717</v>
      </c>
      <c r="N16" s="179">
        <f>'Income Statement'!N26/'Income Statement'!N11</f>
        <v>0.13032448438599878</v>
      </c>
      <c r="O16" s="179">
        <f>'Income Statement'!O26/'Income Statement'!O11</f>
        <v>0.13121552243847484</v>
      </c>
      <c r="P16" s="179">
        <f>'Income Statement'!P26/'Income Statement'!P11</f>
        <v>0.13193761857218339</v>
      </c>
      <c r="Q16" s="179">
        <f>'Income Statement'!Q26/'Income Statement'!Q11</f>
        <v>0.13252245967110782</v>
      </c>
      <c r="S16" s="195" t="s">
        <v>347</v>
      </c>
      <c r="T16" s="145"/>
      <c r="U16" s="145"/>
      <c r="V16" s="145"/>
      <c r="W16" s="145"/>
      <c r="X16" s="145"/>
      <c r="Y16" s="145"/>
      <c r="Z16" s="145"/>
      <c r="AA16" s="145"/>
      <c r="AB16" s="145"/>
      <c r="AC16" s="145"/>
      <c r="AD16" s="145"/>
      <c r="AE16" s="145"/>
      <c r="AF16" s="145"/>
      <c r="AG16" s="145"/>
      <c r="AH16" s="145"/>
      <c r="AI16" s="145"/>
      <c r="AJ16" s="145"/>
      <c r="AK16" s="145"/>
      <c r="AL16" s="145"/>
      <c r="AM16" s="145"/>
      <c r="AN16" s="145"/>
      <c r="AO16" s="145"/>
      <c r="AP16" s="145"/>
      <c r="AQ16" s="145"/>
      <c r="AR16" s="145"/>
      <c r="AS16" s="145"/>
      <c r="AT16" s="145"/>
      <c r="AU16" s="145"/>
      <c r="AV16" s="145"/>
      <c r="AW16" s="145"/>
      <c r="AX16" s="145"/>
      <c r="AY16" s="145"/>
      <c r="AZ16" s="145"/>
      <c r="BA16" s="145"/>
      <c r="BB16" s="145"/>
      <c r="BC16" s="145"/>
      <c r="BD16" s="145"/>
      <c r="BE16" s="145"/>
      <c r="BF16" s="145"/>
      <c r="BG16" s="145"/>
      <c r="BH16" s="145"/>
      <c r="BI16" s="145"/>
      <c r="BJ16" s="145"/>
      <c r="BK16" s="145"/>
      <c r="BL16" s="145"/>
    </row>
    <row r="17" spans="2:64" x14ac:dyDescent="0.25">
      <c r="B17" s="173"/>
      <c r="C17" s="176"/>
      <c r="D17" s="176"/>
      <c r="E17" s="176"/>
      <c r="F17" s="176"/>
      <c r="G17" s="176"/>
      <c r="H17" s="177"/>
      <c r="I17" s="177"/>
      <c r="J17" s="177"/>
      <c r="K17" s="177"/>
      <c r="L17" s="177"/>
      <c r="M17" s="177"/>
      <c r="N17" s="177"/>
      <c r="O17" s="177"/>
      <c r="P17" s="170"/>
      <c r="Q17" s="177"/>
      <c r="S17" s="195"/>
      <c r="T17" s="145"/>
      <c r="U17" s="145"/>
      <c r="V17" s="145"/>
      <c r="W17" s="145"/>
      <c r="X17" s="145"/>
      <c r="Y17" s="145"/>
      <c r="Z17" s="145"/>
      <c r="AA17" s="145"/>
      <c r="AB17" s="145"/>
      <c r="AC17" s="145"/>
      <c r="AD17" s="145"/>
      <c r="AE17" s="145"/>
      <c r="AF17" s="145"/>
      <c r="AG17" s="145"/>
      <c r="AH17" s="145"/>
      <c r="AI17" s="145"/>
      <c r="AJ17" s="145"/>
      <c r="AK17" s="145"/>
      <c r="AL17" s="145"/>
      <c r="AM17" s="145"/>
      <c r="AN17" s="145"/>
      <c r="AO17" s="145"/>
      <c r="AP17" s="145"/>
      <c r="AQ17" s="145"/>
      <c r="AR17" s="145"/>
      <c r="AS17" s="145"/>
      <c r="AT17" s="145"/>
      <c r="AU17" s="145"/>
      <c r="AV17" s="145"/>
      <c r="AW17" s="145"/>
      <c r="AX17" s="145"/>
      <c r="AY17" s="145"/>
      <c r="AZ17" s="145"/>
      <c r="BA17" s="145"/>
      <c r="BB17" s="145"/>
      <c r="BC17" s="145"/>
      <c r="BD17" s="145"/>
      <c r="BE17" s="145"/>
      <c r="BF17" s="145"/>
      <c r="BG17" s="145"/>
      <c r="BH17" s="145"/>
      <c r="BI17" s="145"/>
      <c r="BJ17" s="145"/>
      <c r="BK17" s="145"/>
      <c r="BL17" s="145"/>
    </row>
    <row r="18" spans="2:64" ht="43.5" x14ac:dyDescent="0.25">
      <c r="B18" s="173" t="s">
        <v>192</v>
      </c>
      <c r="C18" s="178">
        <f>'Income Statement'!C37/'Income Statement'!C11</f>
        <v>3.3672766997080453E-2</v>
      </c>
      <c r="D18" s="178">
        <f>'Income Statement'!D37/'Income Statement'!D11</f>
        <v>-3.4481163353740972E-3</v>
      </c>
      <c r="E18" s="178">
        <f>'Income Statement'!E37/'Income Statement'!E11</f>
        <v>-7.6071524536771252E-3</v>
      </c>
      <c r="F18" s="178">
        <f>'Income Statement'!F37/'Income Statement'!F11</f>
        <v>5.4438407970705011E-2</v>
      </c>
      <c r="G18" s="178">
        <f>'Income Statement'!G37/'Income Statement'!G11</f>
        <v>8.9670509082205335E-2</v>
      </c>
      <c r="H18" s="179">
        <f>'Income Statement'!H37/'Income Statement'!H11</f>
        <v>4.9546858665069048E-2</v>
      </c>
      <c r="I18" s="179">
        <f>'Income Statement'!I37/'Income Statement'!I11</f>
        <v>5.2678568788775158E-2</v>
      </c>
      <c r="J18" s="179">
        <f>'Income Statement'!J37/'Income Statement'!J11</f>
        <v>5.5232584152934125E-2</v>
      </c>
      <c r="K18" s="179">
        <f>'Income Statement'!K37/'Income Statement'!K11</f>
        <v>5.731376568227755E-2</v>
      </c>
      <c r="L18" s="179">
        <f>'Income Statement'!L37/'Income Statement'!L11</f>
        <v>5.9008434521245767E-2</v>
      </c>
      <c r="M18" s="179">
        <f>'Income Statement'!M37/'Income Statement'!M11</f>
        <v>6.0387519002127188E-2</v>
      </c>
      <c r="N18" s="179">
        <f>'Income Statement'!N37/'Income Statement'!N11</f>
        <v>6.1509200952475869E-2</v>
      </c>
      <c r="O18" s="179">
        <f>'Income Statement'!O37/'Income Statement'!O11</f>
        <v>6.2421132541355173E-2</v>
      </c>
      <c r="P18" s="179">
        <f>'Income Statement'!P37/'Income Statement'!P11</f>
        <v>6.3162286872166365E-2</v>
      </c>
      <c r="Q18" s="179">
        <f>'Income Statement'!Q37/'Income Statement'!Q11</f>
        <v>6.3764497877828133E-2</v>
      </c>
      <c r="S18" s="195" t="s">
        <v>344</v>
      </c>
      <c r="T18" s="145"/>
      <c r="U18" s="145"/>
      <c r="V18" s="145"/>
      <c r="W18" s="145"/>
      <c r="X18" s="145"/>
      <c r="Y18" s="145"/>
      <c r="Z18" s="145"/>
      <c r="AA18" s="145"/>
      <c r="AB18" s="145"/>
      <c r="AC18" s="145"/>
      <c r="AD18" s="145"/>
      <c r="AE18" s="145"/>
      <c r="AF18" s="145"/>
      <c r="AG18" s="145"/>
      <c r="AH18" s="145"/>
      <c r="AI18" s="145"/>
      <c r="AJ18" s="145"/>
      <c r="AK18" s="145"/>
      <c r="AL18" s="145"/>
      <c r="AM18" s="145"/>
      <c r="AN18" s="145"/>
      <c r="AO18" s="145"/>
      <c r="AP18" s="145"/>
      <c r="AQ18" s="145"/>
      <c r="AR18" s="145"/>
      <c r="AS18" s="145"/>
      <c r="AT18" s="145"/>
      <c r="AU18" s="145"/>
      <c r="AV18" s="145"/>
      <c r="AW18" s="145"/>
      <c r="AX18" s="145"/>
      <c r="AY18" s="145"/>
      <c r="AZ18" s="145"/>
      <c r="BA18" s="145"/>
      <c r="BB18" s="145"/>
      <c r="BC18" s="145"/>
      <c r="BD18" s="145"/>
      <c r="BE18" s="145"/>
      <c r="BF18" s="145"/>
      <c r="BG18" s="145"/>
      <c r="BH18" s="145"/>
      <c r="BI18" s="145"/>
      <c r="BJ18" s="145"/>
      <c r="BK18" s="145"/>
      <c r="BL18" s="145"/>
    </row>
    <row r="19" spans="2:64" x14ac:dyDescent="0.25">
      <c r="B19" s="173"/>
      <c r="C19" s="176"/>
      <c r="D19" s="176"/>
      <c r="E19" s="176"/>
      <c r="F19" s="176"/>
      <c r="G19" s="176"/>
      <c r="H19" s="177"/>
      <c r="I19" s="177"/>
      <c r="J19" s="177"/>
      <c r="K19" s="177"/>
      <c r="L19" s="177"/>
      <c r="M19" s="177"/>
      <c r="N19" s="177"/>
      <c r="O19" s="177"/>
      <c r="P19" s="177"/>
      <c r="Q19" s="177"/>
      <c r="S19" s="195"/>
      <c r="T19" s="145"/>
      <c r="U19" s="145"/>
      <c r="V19" s="145"/>
      <c r="W19" s="145"/>
      <c r="X19" s="145"/>
      <c r="Y19" s="145"/>
      <c r="Z19" s="145"/>
      <c r="AA19" s="145"/>
      <c r="AB19" s="145"/>
      <c r="AC19" s="145"/>
      <c r="AD19" s="145"/>
      <c r="AE19" s="145"/>
      <c r="AF19" s="145"/>
      <c r="AG19" s="145"/>
      <c r="AH19" s="145"/>
      <c r="AI19" s="145"/>
      <c r="AJ19" s="145"/>
      <c r="AK19" s="145"/>
      <c r="AL19" s="145"/>
      <c r="AM19" s="145"/>
      <c r="AN19" s="145"/>
      <c r="AO19" s="145"/>
      <c r="AP19" s="145"/>
      <c r="AQ19" s="145"/>
      <c r="AR19" s="145"/>
      <c r="AS19" s="145"/>
      <c r="AT19" s="145"/>
      <c r="AU19" s="145"/>
      <c r="AV19" s="145"/>
      <c r="AW19" s="145"/>
      <c r="AX19" s="145"/>
      <c r="AY19" s="145"/>
      <c r="AZ19" s="145"/>
      <c r="BA19" s="145"/>
      <c r="BB19" s="145"/>
      <c r="BC19" s="145"/>
      <c r="BD19" s="145"/>
      <c r="BE19" s="145"/>
      <c r="BF19" s="145"/>
      <c r="BG19" s="145"/>
      <c r="BH19" s="145"/>
      <c r="BI19" s="145"/>
      <c r="BJ19" s="145"/>
      <c r="BK19" s="145"/>
      <c r="BL19" s="145"/>
    </row>
    <row r="20" spans="2:64" ht="43.5" x14ac:dyDescent="0.25">
      <c r="B20" s="173" t="s">
        <v>193</v>
      </c>
      <c r="C20" s="178">
        <f>'Income Statement'!C39/'Income Statement'!C37</f>
        <v>0.3779425293576481</v>
      </c>
      <c r="D20" s="178">
        <f>'Income Statement'!D39/'Income Statement'!D37</f>
        <v>-3.7567084078711302E-2</v>
      </c>
      <c r="E20" s="178">
        <f>'Income Statement'!E39/'Income Statement'!E37</f>
        <v>-0.43018187283933179</v>
      </c>
      <c r="F20" s="178">
        <f>'Income Statement'!F39/'Income Statement'!F37</f>
        <v>0.39977695396700125</v>
      </c>
      <c r="G20" s="178">
        <f>'Income Statement'!G39/'Income Statement'!G37</f>
        <v>0.3433282920164541</v>
      </c>
      <c r="H20" s="179">
        <f>'Income Statement'!H39/'Income Statement'!H37</f>
        <v>0.3</v>
      </c>
      <c r="I20" s="179">
        <f>'Income Statement'!I39/'Income Statement'!I37</f>
        <v>0.3</v>
      </c>
      <c r="J20" s="179">
        <f>'Income Statement'!J39/'Income Statement'!J37</f>
        <v>0.3</v>
      </c>
      <c r="K20" s="179">
        <f>'Income Statement'!K39/'Income Statement'!K37</f>
        <v>0.3</v>
      </c>
      <c r="L20" s="179">
        <f>'Income Statement'!L39/'Income Statement'!L37</f>
        <v>0.3</v>
      </c>
      <c r="M20" s="179">
        <f>'Income Statement'!M39/'Income Statement'!M37</f>
        <v>0.3</v>
      </c>
      <c r="N20" s="179">
        <f>'Income Statement'!N39/'Income Statement'!N37</f>
        <v>0.3</v>
      </c>
      <c r="O20" s="179">
        <f>'Income Statement'!O39/'Income Statement'!O37</f>
        <v>0.3</v>
      </c>
      <c r="P20" s="179">
        <f>'Income Statement'!P39/'Income Statement'!P37</f>
        <v>0.3</v>
      </c>
      <c r="Q20" s="179">
        <f>'Income Statement'!Q39/'Income Statement'!Q37</f>
        <v>0.3</v>
      </c>
      <c r="S20" s="195" t="s">
        <v>332</v>
      </c>
      <c r="T20" s="145"/>
      <c r="U20" s="145"/>
      <c r="V20" s="145"/>
      <c r="W20" s="145"/>
      <c r="X20" s="145"/>
      <c r="Y20" s="145"/>
      <c r="Z20" s="145"/>
      <c r="AA20" s="145"/>
      <c r="AB20" s="145"/>
      <c r="AC20" s="145"/>
      <c r="AD20" s="145"/>
      <c r="AE20" s="145"/>
      <c r="AF20" s="145"/>
      <c r="AG20" s="145"/>
      <c r="AH20" s="145"/>
      <c r="AI20" s="145"/>
      <c r="AJ20" s="145"/>
      <c r="AK20" s="145"/>
      <c r="AL20" s="145"/>
      <c r="AM20" s="145"/>
      <c r="AN20" s="145"/>
      <c r="AO20" s="145"/>
      <c r="AP20" s="145"/>
      <c r="AQ20" s="145"/>
      <c r="AR20" s="145"/>
      <c r="AS20" s="145"/>
      <c r="AT20" s="145"/>
      <c r="AU20" s="145"/>
      <c r="AV20" s="145"/>
      <c r="AW20" s="145"/>
      <c r="AX20" s="145"/>
      <c r="AY20" s="145"/>
      <c r="AZ20" s="145"/>
      <c r="BA20" s="145"/>
      <c r="BB20" s="145"/>
      <c r="BC20" s="145"/>
      <c r="BD20" s="145"/>
      <c r="BE20" s="145"/>
      <c r="BF20" s="145"/>
      <c r="BG20" s="145"/>
      <c r="BH20" s="145"/>
      <c r="BI20" s="145"/>
      <c r="BJ20" s="145"/>
      <c r="BK20" s="145"/>
      <c r="BL20" s="145"/>
    </row>
    <row r="21" spans="2:64" x14ac:dyDescent="0.25">
      <c r="B21" s="173"/>
      <c r="C21" s="176"/>
      <c r="D21" s="176"/>
      <c r="E21" s="176"/>
      <c r="F21" s="176"/>
      <c r="G21" s="176"/>
      <c r="H21" s="177"/>
      <c r="I21" s="177"/>
      <c r="J21" s="177"/>
      <c r="K21" s="177"/>
      <c r="L21" s="177"/>
      <c r="M21" s="177"/>
      <c r="N21" s="177"/>
      <c r="O21" s="177"/>
      <c r="P21" s="177"/>
      <c r="Q21" s="177"/>
      <c r="S21" s="195"/>
      <c r="T21" s="145"/>
      <c r="U21" s="145"/>
      <c r="V21" s="145"/>
      <c r="W21" s="145"/>
      <c r="X21" s="145"/>
      <c r="Y21" s="145"/>
      <c r="Z21" s="145"/>
      <c r="AA21" s="145"/>
      <c r="AB21" s="145"/>
      <c r="AC21" s="145"/>
      <c r="AD21" s="145"/>
      <c r="AE21" s="145"/>
      <c r="AF21" s="145"/>
      <c r="AG21" s="145"/>
      <c r="AH21" s="145"/>
      <c r="AI21" s="145"/>
      <c r="AJ21" s="145"/>
      <c r="AK21" s="145"/>
      <c r="AL21" s="145"/>
      <c r="AM21" s="145"/>
      <c r="AN21" s="145"/>
      <c r="AO21" s="145"/>
      <c r="AP21" s="145"/>
      <c r="AQ21" s="145"/>
      <c r="AR21" s="145"/>
      <c r="AS21" s="145"/>
      <c r="AT21" s="145"/>
      <c r="AU21" s="145"/>
      <c r="AV21" s="145"/>
      <c r="AW21" s="145"/>
      <c r="AX21" s="145"/>
      <c r="AY21" s="145"/>
      <c r="AZ21" s="145"/>
      <c r="BA21" s="145"/>
      <c r="BB21" s="145"/>
      <c r="BC21" s="145"/>
      <c r="BD21" s="145"/>
      <c r="BE21" s="145"/>
      <c r="BF21" s="145"/>
      <c r="BG21" s="145"/>
      <c r="BH21" s="145"/>
      <c r="BI21" s="145"/>
      <c r="BJ21" s="145"/>
      <c r="BK21" s="145"/>
      <c r="BL21" s="145"/>
    </row>
    <row r="22" spans="2:64" ht="86.25" x14ac:dyDescent="0.25">
      <c r="B22" s="173" t="s">
        <v>194</v>
      </c>
      <c r="C22" s="178">
        <f>'Income Statement'!C41/'Income Statement'!C11</f>
        <v>2.094639626773313E-2</v>
      </c>
      <c r="D22" s="178">
        <f>'Income Statement'!D41/'Income Statement'!D11</f>
        <v>-3.5776520116582735E-3</v>
      </c>
      <c r="E22" s="178">
        <f>'Income Statement'!E41/'Income Statement'!E11</f>
        <v>-1.087961154317427E-2</v>
      </c>
      <c r="F22" s="178">
        <f>'Income Statement'!F41/'Income Statement'!F11</f>
        <v>3.2675187053363641E-2</v>
      </c>
      <c r="G22" s="178">
        <f>'Income Statement'!G41/'Income Statement'!G11</f>
        <v>5.8884086354765844E-2</v>
      </c>
      <c r="H22" s="179">
        <f>'Income Statement'!H41/'Income Statement'!H11</f>
        <v>3.4682801065548337E-2</v>
      </c>
      <c r="I22" s="179">
        <f>'Income Statement'!I41/'Income Statement'!I11</f>
        <v>3.687499815214261E-2</v>
      </c>
      <c r="J22" s="179">
        <f>'Income Statement'!J41/'Income Statement'!J11</f>
        <v>3.8662808907053883E-2</v>
      </c>
      <c r="K22" s="179">
        <f>'Income Statement'!K41/'Income Statement'!K11</f>
        <v>4.0119635977594284E-2</v>
      </c>
      <c r="L22" s="179">
        <f>'Income Statement'!L41/'Income Statement'!L11</f>
        <v>4.1305904164872044E-2</v>
      </c>
      <c r="M22" s="179">
        <f>'Income Statement'!M41/'Income Statement'!M11</f>
        <v>4.2271263301489032E-2</v>
      </c>
      <c r="N22" s="179">
        <f>'Income Statement'!N41/'Income Statement'!N11</f>
        <v>4.3056440666733115E-2</v>
      </c>
      <c r="O22" s="179">
        <f>'Income Statement'!O41/'Income Statement'!O11</f>
        <v>4.3694792778948624E-2</v>
      </c>
      <c r="P22" s="179">
        <f>'Income Statement'!P41/'Income Statement'!P11</f>
        <v>4.4213600810516458E-2</v>
      </c>
      <c r="Q22" s="179">
        <f>'Income Statement'!Q41/'Income Statement'!Q11</f>
        <v>4.4635148514479694E-2</v>
      </c>
      <c r="S22" s="195" t="s">
        <v>350</v>
      </c>
      <c r="T22" s="145"/>
      <c r="U22" s="145"/>
      <c r="V22" s="145"/>
      <c r="W22" s="145"/>
      <c r="X22" s="145"/>
      <c r="Y22" s="145"/>
      <c r="Z22" s="145"/>
      <c r="AA22" s="145"/>
      <c r="AB22" s="145"/>
      <c r="AC22" s="145"/>
      <c r="AD22" s="145"/>
      <c r="AE22" s="145"/>
      <c r="AF22" s="145"/>
      <c r="AG22" s="145"/>
      <c r="AH22" s="145"/>
      <c r="AI22" s="145"/>
      <c r="AJ22" s="145"/>
      <c r="AK22" s="145"/>
      <c r="AL22" s="145"/>
      <c r="AM22" s="145"/>
      <c r="AN22" s="145"/>
      <c r="AO22" s="145"/>
      <c r="AP22" s="145"/>
      <c r="AQ22" s="145"/>
      <c r="AR22" s="145"/>
      <c r="AS22" s="145"/>
      <c r="AT22" s="145"/>
      <c r="AU22" s="145"/>
      <c r="AV22" s="145"/>
      <c r="AW22" s="145"/>
      <c r="AX22" s="145"/>
      <c r="AY22" s="145"/>
      <c r="AZ22" s="145"/>
      <c r="BA22" s="145"/>
      <c r="BB22" s="145"/>
      <c r="BC22" s="145"/>
      <c r="BD22" s="145"/>
      <c r="BE22" s="145"/>
      <c r="BF22" s="145"/>
      <c r="BG22" s="145"/>
      <c r="BH22" s="145"/>
      <c r="BI22" s="145"/>
      <c r="BJ22" s="145"/>
      <c r="BK22" s="145"/>
      <c r="BL22" s="145"/>
    </row>
    <row r="23" spans="2:64" x14ac:dyDescent="0.25">
      <c r="B23" s="173"/>
      <c r="C23" s="176"/>
      <c r="D23" s="176"/>
      <c r="E23" s="176"/>
      <c r="F23" s="176"/>
      <c r="G23" s="176"/>
      <c r="H23" s="177"/>
      <c r="I23" s="177"/>
      <c r="J23" s="177"/>
      <c r="K23" s="177"/>
      <c r="L23" s="177"/>
      <c r="M23" s="177"/>
      <c r="N23" s="177"/>
      <c r="O23" s="177"/>
      <c r="P23" s="177"/>
      <c r="Q23" s="177"/>
      <c r="S23" s="195"/>
      <c r="T23" s="145"/>
      <c r="U23" s="145"/>
      <c r="V23" s="145"/>
      <c r="W23" s="145"/>
      <c r="X23" s="145"/>
      <c r="Y23" s="145"/>
      <c r="Z23" s="145"/>
      <c r="AA23" s="145"/>
      <c r="AB23" s="145"/>
      <c r="AC23" s="145"/>
      <c r="AD23" s="145"/>
      <c r="AE23" s="145"/>
      <c r="AF23" s="145"/>
      <c r="AG23" s="145"/>
      <c r="AH23" s="145"/>
      <c r="AI23" s="145"/>
      <c r="AJ23" s="145"/>
      <c r="AK23" s="145"/>
      <c r="AL23" s="145"/>
      <c r="AM23" s="145"/>
      <c r="AN23" s="145"/>
      <c r="AO23" s="145"/>
      <c r="AP23" s="145"/>
      <c r="AQ23" s="145"/>
      <c r="AR23" s="145"/>
      <c r="AS23" s="145"/>
      <c r="AT23" s="145"/>
      <c r="AU23" s="145"/>
      <c r="AV23" s="145"/>
      <c r="AW23" s="145"/>
      <c r="AX23" s="145"/>
      <c r="AY23" s="145"/>
      <c r="AZ23" s="145"/>
      <c r="BA23" s="145"/>
      <c r="BB23" s="145"/>
      <c r="BC23" s="145"/>
      <c r="BD23" s="145"/>
      <c r="BE23" s="145"/>
      <c r="BF23" s="145"/>
      <c r="BG23" s="145"/>
      <c r="BH23" s="145"/>
      <c r="BI23" s="145"/>
      <c r="BJ23" s="145"/>
      <c r="BK23" s="145"/>
      <c r="BL23" s="145"/>
    </row>
    <row r="24" spans="2:64" x14ac:dyDescent="0.25">
      <c r="B24" s="174" t="s">
        <v>196</v>
      </c>
      <c r="C24" s="176"/>
      <c r="D24" s="176"/>
      <c r="E24" s="176"/>
      <c r="F24" s="176"/>
      <c r="G24" s="176"/>
      <c r="H24" s="177"/>
      <c r="I24" s="177"/>
      <c r="J24" s="177"/>
      <c r="K24" s="177"/>
      <c r="L24" s="177"/>
      <c r="M24" s="177"/>
      <c r="N24" s="177"/>
      <c r="O24" s="177"/>
      <c r="P24" s="177"/>
      <c r="Q24" s="177"/>
      <c r="S24" s="195"/>
      <c r="T24" s="145"/>
      <c r="U24" s="145"/>
      <c r="V24" s="145"/>
      <c r="W24" s="145"/>
      <c r="X24" s="145"/>
      <c r="Y24" s="145"/>
      <c r="Z24" s="145"/>
      <c r="AA24" s="145"/>
      <c r="AB24" s="145"/>
      <c r="AC24" s="145"/>
      <c r="AD24" s="145"/>
      <c r="AE24" s="145"/>
      <c r="AF24" s="145"/>
      <c r="AG24" s="145"/>
      <c r="AH24" s="145"/>
      <c r="AI24" s="145"/>
      <c r="AJ24" s="145"/>
      <c r="AK24" s="145"/>
      <c r="AL24" s="145"/>
      <c r="AM24" s="145"/>
      <c r="AN24" s="145"/>
      <c r="AO24" s="145"/>
      <c r="AP24" s="145"/>
      <c r="AQ24" s="145"/>
      <c r="AR24" s="145"/>
      <c r="AS24" s="145"/>
      <c r="AT24" s="145"/>
      <c r="AU24" s="145"/>
      <c r="AV24" s="145"/>
      <c r="AW24" s="145"/>
      <c r="AX24" s="145"/>
      <c r="AY24" s="145"/>
      <c r="AZ24" s="145"/>
      <c r="BA24" s="145"/>
      <c r="BB24" s="145"/>
      <c r="BC24" s="145"/>
      <c r="BD24" s="145"/>
      <c r="BE24" s="145"/>
      <c r="BF24" s="145"/>
      <c r="BG24" s="145"/>
      <c r="BH24" s="145"/>
      <c r="BI24" s="145"/>
      <c r="BJ24" s="145"/>
      <c r="BK24" s="145"/>
      <c r="BL24" s="145"/>
    </row>
    <row r="25" spans="2:64" ht="86.25" x14ac:dyDescent="0.25">
      <c r="B25" s="213" t="s">
        <v>84</v>
      </c>
      <c r="C25" s="176"/>
      <c r="D25" s="178">
        <f>'Income Statement'!D11/AVERAGE(Balance_Sheet!C45:D45)</f>
        <v>0.48517758183838056</v>
      </c>
      <c r="E25" s="178">
        <f>'Income Statement'!E11/AVERAGE(Balance_Sheet!D45:E45)</f>
        <v>0.61253343590024933</v>
      </c>
      <c r="F25" s="178">
        <f>'Income Statement'!F11/AVERAGE(Balance_Sheet!E45:F45)</f>
        <v>0.84761298538553764</v>
      </c>
      <c r="G25" s="178">
        <f>'Income Statement'!G11/AVERAGE(Balance_Sheet!F45:G45)</f>
        <v>0.74828038044925449</v>
      </c>
      <c r="H25" s="179">
        <f>'Income Statement'!H11/AVERAGE(Balance_Sheet!G45:H45)</f>
        <v>0.73513620937507174</v>
      </c>
      <c r="I25" s="179">
        <f>'Income Statement'!I11/AVERAGE(Balance_Sheet!H45:I45)</f>
        <v>0.73059343754535344</v>
      </c>
      <c r="J25" s="179">
        <f>'Income Statement'!J11/AVERAGE(Balance_Sheet!I45:J45)</f>
        <v>0.73981733949868234</v>
      </c>
      <c r="K25" s="179">
        <f>'Income Statement'!K11/AVERAGE(Balance_Sheet!J45:K45)</f>
        <v>0.7469404497451213</v>
      </c>
      <c r="L25" s="179">
        <f>'Income Statement'!L11/AVERAGE(Balance_Sheet!K45:L45)</f>
        <v>0.7523844428261135</v>
      </c>
      <c r="M25" s="179">
        <f>'Income Statement'!M11/AVERAGE(Balance_Sheet!L45:M45)</f>
        <v>0.75650554187438279</v>
      </c>
      <c r="N25" s="179">
        <f>'Income Statement'!N11/AVERAGE(Balance_Sheet!M45:N45)</f>
        <v>0.7595971676919534</v>
      </c>
      <c r="O25" s="179">
        <f>'Income Statement'!O11/AVERAGE(Balance_Sheet!N45:O45)</f>
        <v>0.76189627576469765</v>
      </c>
      <c r="P25" s="179">
        <f>'Income Statement'!P11/AVERAGE(Balance_Sheet!O45:P45)</f>
        <v>0.7635912109345826</v>
      </c>
      <c r="Q25" s="179">
        <f>'Income Statement'!Q11/AVERAGE(Balance_Sheet!P45:Q45)</f>
        <v>0.76482973964806833</v>
      </c>
      <c r="S25" s="195" t="s">
        <v>351</v>
      </c>
      <c r="T25" s="145"/>
      <c r="U25" s="145"/>
      <c r="V25" s="145"/>
      <c r="W25" s="145"/>
      <c r="X25" s="145"/>
      <c r="Y25" s="145"/>
      <c r="Z25" s="145"/>
      <c r="AA25" s="145"/>
      <c r="AB25" s="145"/>
      <c r="AC25" s="145"/>
      <c r="AD25" s="145"/>
      <c r="AE25" s="145"/>
      <c r="AF25" s="145"/>
      <c r="AG25" s="145"/>
      <c r="AH25" s="145"/>
      <c r="AI25" s="145"/>
      <c r="AJ25" s="145"/>
      <c r="AK25" s="145"/>
      <c r="AL25" s="145"/>
      <c r="AM25" s="145"/>
      <c r="AN25" s="145"/>
      <c r="AO25" s="145"/>
      <c r="AP25" s="145"/>
      <c r="AQ25" s="145"/>
      <c r="AR25" s="145"/>
      <c r="AS25" s="145"/>
      <c r="AT25" s="145"/>
      <c r="AU25" s="145"/>
      <c r="AV25" s="145"/>
      <c r="AW25" s="145"/>
      <c r="AX25" s="145"/>
      <c r="AY25" s="145"/>
      <c r="AZ25" s="145"/>
      <c r="BA25" s="145"/>
      <c r="BB25" s="145"/>
      <c r="BC25" s="145"/>
      <c r="BD25" s="145"/>
      <c r="BE25" s="145"/>
      <c r="BF25" s="145"/>
      <c r="BG25" s="145"/>
      <c r="BH25" s="145"/>
      <c r="BI25" s="145"/>
      <c r="BJ25" s="145"/>
      <c r="BK25" s="145"/>
      <c r="BL25" s="145"/>
    </row>
    <row r="26" spans="2:64" x14ac:dyDescent="0.25">
      <c r="B26" s="173"/>
      <c r="C26" s="176"/>
      <c r="D26" s="176"/>
      <c r="E26" s="176"/>
      <c r="F26" s="176"/>
      <c r="G26" s="176"/>
      <c r="H26" s="177"/>
      <c r="I26" s="177"/>
      <c r="J26" s="177"/>
      <c r="K26" s="177"/>
      <c r="L26" s="177"/>
      <c r="M26" s="177"/>
      <c r="N26" s="177"/>
      <c r="O26" s="177"/>
      <c r="P26" s="177"/>
      <c r="Q26" s="177"/>
      <c r="S26" s="195"/>
      <c r="T26" s="145"/>
      <c r="U26" s="145"/>
      <c r="V26" s="145"/>
      <c r="W26" s="145"/>
      <c r="X26" s="145"/>
      <c r="Y26" s="145"/>
      <c r="Z26" s="145"/>
      <c r="AA26" s="145"/>
      <c r="AB26" s="145"/>
      <c r="AC26" s="145"/>
      <c r="AD26" s="145"/>
      <c r="AE26" s="145"/>
      <c r="AF26" s="145"/>
      <c r="AG26" s="145"/>
      <c r="AH26" s="145"/>
      <c r="AI26" s="145"/>
      <c r="AJ26" s="145"/>
      <c r="AK26" s="145"/>
      <c r="AL26" s="145"/>
      <c r="AM26" s="145"/>
      <c r="AN26" s="145"/>
      <c r="AO26" s="145"/>
      <c r="AP26" s="145"/>
      <c r="AQ26" s="145"/>
      <c r="AR26" s="145"/>
      <c r="AS26" s="145"/>
      <c r="AT26" s="145"/>
      <c r="AU26" s="145"/>
      <c r="AV26" s="145"/>
      <c r="AW26" s="145"/>
      <c r="AX26" s="145"/>
      <c r="AY26" s="145"/>
      <c r="AZ26" s="145"/>
      <c r="BA26" s="145"/>
      <c r="BB26" s="145"/>
      <c r="BC26" s="145"/>
      <c r="BD26" s="145"/>
      <c r="BE26" s="145"/>
      <c r="BF26" s="145"/>
      <c r="BG26" s="145"/>
      <c r="BH26" s="145"/>
      <c r="BI26" s="145"/>
      <c r="BJ26" s="145"/>
      <c r="BK26" s="145"/>
      <c r="BL26" s="145"/>
    </row>
    <row r="27" spans="2:64" ht="43.5" x14ac:dyDescent="0.25">
      <c r="B27" s="213" t="s">
        <v>197</v>
      </c>
      <c r="C27" s="176"/>
      <c r="D27" s="178">
        <f>'Income Statement'!D37/AVERAGE(Balance_Sheet!C45:D45)</f>
        <v>-1.6729487454942228E-3</v>
      </c>
      <c r="E27" s="178">
        <f>'Income Statement'!E37/AVERAGE(Balance_Sheet!D45:E45)</f>
        <v>-4.6596352298678622E-3</v>
      </c>
      <c r="F27" s="178">
        <f>'Income Statement'!F37/AVERAGE(Balance_Sheet!E45:F45)</f>
        <v>4.6142701499685121E-2</v>
      </c>
      <c r="G27" s="178">
        <f>'Income Statement'!G37/AVERAGE(Balance_Sheet!F45:G45)</f>
        <v>6.709868265111095E-2</v>
      </c>
      <c r="H27" s="179">
        <f>'Income Statement'!H37/AVERAGE(Balance_Sheet!G45:H45)</f>
        <v>3.6423689865481286E-2</v>
      </c>
      <c r="I27" s="179">
        <f>'Income Statement'!I37/AVERAGE(Balance_Sheet!H45:I45)</f>
        <v>3.8486616656360606E-2</v>
      </c>
      <c r="J27" s="179">
        <f>'Income Statement'!J37/AVERAGE(Balance_Sheet!I45:J45)</f>
        <v>4.0862023461660804E-2</v>
      </c>
      <c r="K27" s="179">
        <f>'Income Statement'!K37/AVERAGE(Balance_Sheet!J45:K45)</f>
        <v>4.2809969915306889E-2</v>
      </c>
      <c r="L27" s="179">
        <f>'Income Statement'!L37/AVERAGE(Balance_Sheet!K45:L45)</f>
        <v>4.4397028129308694E-2</v>
      </c>
      <c r="M27" s="179">
        <f>'Income Statement'!M37/AVERAGE(Balance_Sheet!L45:M45)</f>
        <v>4.5683492785153816E-2</v>
      </c>
      <c r="N27" s="179">
        <f>'Income Statement'!N37/AVERAGE(Balance_Sheet!M45:N45)</f>
        <v>4.6722214830495871E-2</v>
      </c>
      <c r="O27" s="179">
        <f>'Income Statement'!O37/AVERAGE(Balance_Sheet!N45:O45)</f>
        <v>4.7558428412273084E-2</v>
      </c>
      <c r="P27" s="179">
        <f>'Income Statement'!P37/AVERAGE(Balance_Sheet!O45:P45)</f>
        <v>4.8230167118115001E-2</v>
      </c>
      <c r="Q27" s="179">
        <f>'Income Statement'!Q37/AVERAGE(Balance_Sheet!P45:Q45)</f>
        <v>4.8768984310689094E-2</v>
      </c>
      <c r="S27" s="195" t="s">
        <v>310</v>
      </c>
      <c r="T27" s="145"/>
      <c r="U27" s="145"/>
      <c r="V27" s="145"/>
      <c r="W27" s="145"/>
      <c r="X27" s="145"/>
      <c r="Y27" s="145"/>
      <c r="Z27" s="145"/>
      <c r="AA27" s="145"/>
      <c r="AB27" s="145"/>
      <c r="AC27" s="145"/>
      <c r="AD27" s="145"/>
      <c r="AE27" s="145"/>
      <c r="AF27" s="145"/>
      <c r="AG27" s="145"/>
      <c r="AH27" s="145"/>
      <c r="AI27" s="145"/>
      <c r="AJ27" s="145"/>
      <c r="AK27" s="145"/>
      <c r="AL27" s="145"/>
      <c r="AM27" s="145"/>
      <c r="AN27" s="145"/>
      <c r="AO27" s="145"/>
      <c r="AP27" s="145"/>
      <c r="AQ27" s="145"/>
      <c r="AR27" s="145"/>
      <c r="AS27" s="145"/>
      <c r="AT27" s="145"/>
      <c r="AU27" s="145"/>
      <c r="AV27" s="145"/>
      <c r="AW27" s="145"/>
      <c r="AX27" s="145"/>
      <c r="AY27" s="145"/>
      <c r="AZ27" s="145"/>
      <c r="BA27" s="145"/>
      <c r="BB27" s="145"/>
      <c r="BC27" s="145"/>
      <c r="BD27" s="145"/>
      <c r="BE27" s="145"/>
      <c r="BF27" s="145"/>
      <c r="BG27" s="145"/>
      <c r="BH27" s="145"/>
      <c r="BI27" s="145"/>
      <c r="BJ27" s="145"/>
      <c r="BK27" s="145"/>
      <c r="BL27" s="145"/>
    </row>
    <row r="28" spans="2:64" x14ac:dyDescent="0.25">
      <c r="B28" s="173"/>
      <c r="C28" s="176"/>
      <c r="D28" s="176"/>
      <c r="E28" s="176"/>
      <c r="F28" s="176"/>
      <c r="G28" s="176"/>
      <c r="H28" s="177"/>
      <c r="I28" s="177"/>
      <c r="J28" s="177"/>
      <c r="K28" s="177"/>
      <c r="L28" s="177"/>
      <c r="M28" s="177"/>
      <c r="N28" s="177"/>
      <c r="O28" s="177"/>
      <c r="P28" s="177"/>
      <c r="Q28" s="177"/>
      <c r="S28" s="195"/>
      <c r="T28" s="145"/>
      <c r="U28" s="145"/>
      <c r="V28" s="145"/>
      <c r="W28" s="145"/>
      <c r="X28" s="145"/>
      <c r="Y28" s="145"/>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145"/>
      <c r="AV28" s="145"/>
      <c r="AW28" s="145"/>
      <c r="AX28" s="145"/>
      <c r="AY28" s="145"/>
      <c r="AZ28" s="145"/>
      <c r="BA28" s="145"/>
      <c r="BB28" s="145"/>
      <c r="BC28" s="145"/>
      <c r="BD28" s="145"/>
      <c r="BE28" s="145"/>
      <c r="BF28" s="145"/>
      <c r="BG28" s="145"/>
      <c r="BH28" s="145"/>
      <c r="BI28" s="145"/>
      <c r="BJ28" s="145"/>
      <c r="BK28" s="145"/>
      <c r="BL28" s="145"/>
    </row>
    <row r="29" spans="2:64" ht="43.5" x14ac:dyDescent="0.25">
      <c r="B29" s="213" t="s">
        <v>198</v>
      </c>
      <c r="C29" s="176"/>
      <c r="D29" s="178">
        <f>'Income Statement'!D37/AVERAGE(Balance_Sheet!C54:D54)</f>
        <v>-7.4425044893015341E-3</v>
      </c>
      <c r="E29" s="178">
        <f>'Income Statement'!E37/AVERAGE(Balance_Sheet!D54:E54)</f>
        <v>-2.2526503262330078E-2</v>
      </c>
      <c r="F29" s="178">
        <f>'Income Statement'!F37/AVERAGE(Balance_Sheet!E54:F54)</f>
        <v>0.23400914956495741</v>
      </c>
      <c r="G29" s="178">
        <f>'Income Statement'!G37/AVERAGE(Balance_Sheet!F54:G54)</f>
        <v>0.36315482947447331</v>
      </c>
      <c r="H29" s="179">
        <f>'Income Statement'!H37/AVERAGE(Balance_Sheet!G54:H54)</f>
        <v>0.22418142897678445</v>
      </c>
      <c r="I29" s="179">
        <f>'Income Statement'!I37/AVERAGE(Balance_Sheet!H54:I54)</f>
        <v>0.26106042245630767</v>
      </c>
      <c r="J29" s="179">
        <f>'Income Statement'!J37/AVERAGE(Balance_Sheet!I54:J54)</f>
        <v>0.29472081824150348</v>
      </c>
      <c r="K29" s="179">
        <f>'Income Statement'!K37/AVERAGE(Balance_Sheet!J54:K54)</f>
        <v>0.32430146920959196</v>
      </c>
      <c r="L29" s="179">
        <f>'Income Statement'!L37/AVERAGE(Balance_Sheet!K54:L54)</f>
        <v>0.34943136163359867</v>
      </c>
      <c r="M29" s="179">
        <f>'Income Statement'!M37/AVERAGE(Balance_Sheet!L54:M54)</f>
        <v>0.37015886327126785</v>
      </c>
      <c r="N29" s="179">
        <f>'Income Statement'!N37/AVERAGE(Balance_Sheet!M54:N54)</f>
        <v>0.38682797180698592</v>
      </c>
      <c r="O29" s="179">
        <f>'Income Statement'!O37/AVERAGE(Balance_Sheet!N54:O54)</f>
        <v>0.39994853346214115</v>
      </c>
      <c r="P29" s="179">
        <f>'Income Statement'!P37/AVERAGE(Balance_Sheet!O54:P54)</f>
        <v>0.41008974321461122</v>
      </c>
      <c r="Q29" s="179">
        <f>'Income Statement'!Q37/AVERAGE(Balance_Sheet!P54:Q54)</f>
        <v>0.41780724881908826</v>
      </c>
      <c r="S29" s="195" t="s">
        <v>333</v>
      </c>
      <c r="T29" s="145"/>
      <c r="U29" s="145"/>
      <c r="V29" s="145"/>
      <c r="W29" s="145"/>
      <c r="X29" s="145"/>
      <c r="Y29" s="145"/>
      <c r="Z29" s="145"/>
      <c r="AA29" s="145"/>
      <c r="AB29" s="145"/>
      <c r="AC29" s="145"/>
      <c r="AD29" s="145"/>
      <c r="AE29" s="145"/>
      <c r="AF29" s="145"/>
      <c r="AG29" s="145"/>
      <c r="AH29" s="145"/>
      <c r="AI29" s="145"/>
      <c r="AJ29" s="145"/>
      <c r="AK29" s="145"/>
      <c r="AL29" s="145"/>
      <c r="AM29" s="145"/>
      <c r="AN29" s="145"/>
      <c r="AO29" s="145"/>
      <c r="AP29" s="145"/>
      <c r="AQ29" s="145"/>
      <c r="AR29" s="145"/>
      <c r="AS29" s="145"/>
      <c r="AT29" s="145"/>
      <c r="AU29" s="145"/>
      <c r="AV29" s="145"/>
      <c r="AW29" s="145"/>
      <c r="AX29" s="145"/>
      <c r="AY29" s="145"/>
      <c r="AZ29" s="145"/>
      <c r="BA29" s="145"/>
      <c r="BB29" s="145"/>
      <c r="BC29" s="145"/>
      <c r="BD29" s="145"/>
      <c r="BE29" s="145"/>
      <c r="BF29" s="145"/>
      <c r="BG29" s="145"/>
      <c r="BH29" s="145"/>
      <c r="BI29" s="145"/>
      <c r="BJ29" s="145"/>
      <c r="BK29" s="145"/>
      <c r="BL29" s="145"/>
    </row>
    <row r="30" spans="2:64" x14ac:dyDescent="0.25">
      <c r="B30" s="173"/>
      <c r="C30" s="176"/>
      <c r="D30" s="176"/>
      <c r="E30" s="176"/>
      <c r="F30" s="176"/>
      <c r="G30" s="176"/>
      <c r="H30" s="177"/>
      <c r="I30" s="177"/>
      <c r="J30" s="177"/>
      <c r="K30" s="177"/>
      <c r="L30" s="177"/>
      <c r="M30" s="177"/>
      <c r="N30" s="177"/>
      <c r="O30" s="177"/>
      <c r="P30" s="177"/>
      <c r="Q30" s="177"/>
      <c r="S30" s="19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5"/>
      <c r="AT30" s="145"/>
      <c r="AU30" s="145"/>
      <c r="AV30" s="145"/>
      <c r="AW30" s="145"/>
      <c r="AX30" s="145"/>
      <c r="AY30" s="145"/>
      <c r="AZ30" s="145"/>
      <c r="BA30" s="145"/>
      <c r="BB30" s="145"/>
      <c r="BC30" s="145"/>
      <c r="BD30" s="145"/>
      <c r="BE30" s="145"/>
      <c r="BF30" s="145"/>
      <c r="BG30" s="145"/>
      <c r="BH30" s="145"/>
      <c r="BI30" s="145"/>
      <c r="BJ30" s="145"/>
      <c r="BK30" s="145"/>
      <c r="BL30" s="145"/>
    </row>
    <row r="31" spans="2:64" ht="43.5" x14ac:dyDescent="0.25">
      <c r="B31" s="213" t="s">
        <v>199</v>
      </c>
      <c r="C31" s="180">
        <f>'Income Statement'!C41/'Income Statement'!C39</f>
        <v>1.6459049255441087</v>
      </c>
      <c r="D31" s="180">
        <f>'Income Statement'!D41/'Income Statement'!D39</f>
        <v>-27.6190476190481</v>
      </c>
      <c r="E31" s="180">
        <f>'Income Statement'!E41/'Income Statement'!E39</f>
        <v>-3.3245981830886886</v>
      </c>
      <c r="F31" s="180">
        <f>'Income Statement'!F41/'Income Statement'!F39</f>
        <v>1.5013948154763892</v>
      </c>
      <c r="G31" s="180">
        <f>'Income Statement'!G41/'Income Statement'!G39</f>
        <v>1.9126641271732849</v>
      </c>
      <c r="H31" s="181">
        <f>'Income Statement'!H41/'Income Statement'!H39</f>
        <v>2.3333333333333339</v>
      </c>
      <c r="I31" s="181">
        <f>'Income Statement'!I41/'Income Statement'!I39</f>
        <v>2.3333333333333335</v>
      </c>
      <c r="J31" s="181">
        <f>'Income Statement'!J41/'Income Statement'!J39</f>
        <v>2.3333333333333335</v>
      </c>
      <c r="K31" s="181">
        <f>'Income Statement'!K41/'Income Statement'!K39</f>
        <v>2.3333333333333335</v>
      </c>
      <c r="L31" s="181">
        <f>'Income Statement'!L41/'Income Statement'!L39</f>
        <v>2.3333333333333339</v>
      </c>
      <c r="M31" s="181">
        <f>'Income Statement'!M41/'Income Statement'!M39</f>
        <v>2.3333333333333335</v>
      </c>
      <c r="N31" s="181">
        <f>'Income Statement'!N41/'Income Statement'!N39</f>
        <v>2.3333333333333335</v>
      </c>
      <c r="O31" s="181">
        <f>'Income Statement'!O41/'Income Statement'!O39</f>
        <v>2.3333333333333335</v>
      </c>
      <c r="P31" s="181">
        <f>'Income Statement'!P41/'Income Statement'!P39</f>
        <v>2.3333333333333339</v>
      </c>
      <c r="Q31" s="181">
        <f>'Income Statement'!Q41/'Income Statement'!Q39</f>
        <v>2.3333333333333335</v>
      </c>
      <c r="S31" s="195" t="s">
        <v>322</v>
      </c>
      <c r="T31" s="145"/>
      <c r="U31" s="145"/>
      <c r="V31" s="145"/>
      <c r="W31" s="145"/>
      <c r="X31" s="145"/>
      <c r="Y31" s="145"/>
      <c r="Z31" s="145"/>
      <c r="AA31" s="145"/>
      <c r="AB31" s="145"/>
      <c r="AC31" s="145"/>
      <c r="AD31" s="145"/>
      <c r="AE31" s="145"/>
      <c r="AF31" s="145"/>
      <c r="AG31" s="145"/>
      <c r="AH31" s="145"/>
      <c r="AI31" s="145"/>
      <c r="AJ31" s="145"/>
      <c r="AK31" s="145"/>
      <c r="AL31" s="145"/>
      <c r="AM31" s="145"/>
      <c r="AN31" s="145"/>
      <c r="AO31" s="145"/>
      <c r="AP31" s="145"/>
      <c r="AQ31" s="145"/>
      <c r="AR31" s="145"/>
      <c r="AS31" s="145"/>
      <c r="AT31" s="145"/>
      <c r="AU31" s="145"/>
      <c r="AV31" s="145"/>
      <c r="AW31" s="145"/>
      <c r="AX31" s="145"/>
      <c r="AY31" s="145"/>
      <c r="AZ31" s="145"/>
      <c r="BA31" s="145"/>
      <c r="BB31" s="145"/>
      <c r="BC31" s="145"/>
      <c r="BD31" s="145"/>
      <c r="BE31" s="145"/>
      <c r="BF31" s="145"/>
      <c r="BG31" s="145"/>
      <c r="BH31" s="145"/>
      <c r="BI31" s="145"/>
      <c r="BJ31" s="145"/>
      <c r="BK31" s="145"/>
      <c r="BL31" s="145"/>
    </row>
    <row r="32" spans="2:64" x14ac:dyDescent="0.25">
      <c r="B32" s="173"/>
      <c r="C32" s="176"/>
      <c r="D32" s="176"/>
      <c r="E32" s="176"/>
      <c r="F32" s="176"/>
      <c r="G32" s="176"/>
      <c r="H32" s="177"/>
      <c r="I32" s="177"/>
      <c r="J32" s="177"/>
      <c r="K32" s="177"/>
      <c r="L32" s="177"/>
      <c r="M32" s="177"/>
      <c r="N32" s="177"/>
      <c r="O32" s="177"/>
      <c r="P32" s="177"/>
      <c r="Q32" s="177"/>
      <c r="S32" s="195"/>
      <c r="T32" s="145"/>
      <c r="U32" s="145"/>
      <c r="V32" s="145"/>
      <c r="W32" s="145"/>
      <c r="X32" s="145"/>
      <c r="Y32" s="145"/>
      <c r="Z32" s="145"/>
      <c r="AA32" s="145"/>
      <c r="AB32" s="145"/>
      <c r="AC32" s="145"/>
      <c r="AD32" s="145"/>
      <c r="AE32" s="145"/>
      <c r="AF32" s="145"/>
      <c r="AG32" s="145"/>
      <c r="AH32" s="145"/>
      <c r="AI32" s="145"/>
      <c r="AJ32" s="145"/>
      <c r="AK32" s="145"/>
      <c r="AL32" s="145"/>
      <c r="AM32" s="145"/>
      <c r="AN32" s="145"/>
      <c r="AO32" s="145"/>
      <c r="AP32" s="145"/>
      <c r="AQ32" s="145"/>
      <c r="AR32" s="145"/>
      <c r="AS32" s="145"/>
      <c r="AT32" s="145"/>
      <c r="AU32" s="145"/>
      <c r="AV32" s="145"/>
      <c r="AW32" s="145"/>
      <c r="AX32" s="145"/>
      <c r="AY32" s="145"/>
      <c r="AZ32" s="145"/>
      <c r="BA32" s="145"/>
      <c r="BB32" s="145"/>
      <c r="BC32" s="145"/>
      <c r="BD32" s="145"/>
      <c r="BE32" s="145"/>
      <c r="BF32" s="145"/>
      <c r="BG32" s="145"/>
      <c r="BH32" s="145"/>
      <c r="BI32" s="145"/>
      <c r="BJ32" s="145"/>
      <c r="BK32" s="145"/>
      <c r="BL32" s="145"/>
    </row>
    <row r="33" spans="2:64" ht="86.25" x14ac:dyDescent="0.25">
      <c r="B33" s="213" t="s">
        <v>86</v>
      </c>
      <c r="C33" s="176"/>
      <c r="D33" s="178">
        <f>'Income Statement'!D41/AVERAGE(Balance_Sheet!C54:D54)</f>
        <v>-7.7220976812073109E-3</v>
      </c>
      <c r="E33" s="178">
        <f>'Income Statement'!E41/AVERAGE(Balance_Sheet!D54:E54)</f>
        <v>-3.2216996624240546E-2</v>
      </c>
      <c r="F33" s="178">
        <f>'Income Statement'!F41/AVERAGE(Balance_Sheet!E54:F54)</f>
        <v>0.14045768455147034</v>
      </c>
      <c r="G33" s="178">
        <f>'Income Statement'!G41/AVERAGE(Balance_Sheet!F54:G54)</f>
        <v>0.23847350213347573</v>
      </c>
      <c r="H33" s="179">
        <f>'Income Statement'!H41/AVERAGE(Balance_Sheet!G54:H54)</f>
        <v>0.15692700028374915</v>
      </c>
      <c r="I33" s="179">
        <f>'Income Statement'!I41/AVERAGE(Balance_Sheet!H54:I54)</f>
        <v>0.18274229571941536</v>
      </c>
      <c r="J33" s="179">
        <f>'Income Statement'!J41/AVERAGE(Balance_Sheet!I54:J54)</f>
        <v>0.20630457276905242</v>
      </c>
      <c r="K33" s="179">
        <f>'Income Statement'!K41/AVERAGE(Balance_Sheet!J54:K54)</f>
        <v>0.22701102844671436</v>
      </c>
      <c r="L33" s="179">
        <f>'Income Statement'!L41/AVERAGE(Balance_Sheet!K54:L54)</f>
        <v>0.2446019531435191</v>
      </c>
      <c r="M33" s="179">
        <f>'Income Statement'!M41/AVERAGE(Balance_Sheet!L54:M54)</f>
        <v>0.25911120428988749</v>
      </c>
      <c r="N33" s="179">
        <f>'Income Statement'!N41/AVERAGE(Balance_Sheet!M54:N54)</f>
        <v>0.27077958026489013</v>
      </c>
      <c r="O33" s="179">
        <f>'Income Statement'!O41/AVERAGE(Balance_Sheet!N54:O54)</f>
        <v>0.27996397342349882</v>
      </c>
      <c r="P33" s="179">
        <f>'Income Statement'!P41/AVERAGE(Balance_Sheet!O54:P54)</f>
        <v>0.28706282025022789</v>
      </c>
      <c r="Q33" s="179">
        <f>'Income Statement'!Q41/AVERAGE(Balance_Sheet!P54:Q54)</f>
        <v>0.29246507417336182</v>
      </c>
      <c r="S33" s="195" t="s">
        <v>352</v>
      </c>
      <c r="T33" s="145"/>
      <c r="U33" s="145"/>
      <c r="V33" s="145"/>
      <c r="W33" s="145"/>
      <c r="X33" s="145"/>
      <c r="Y33" s="145"/>
      <c r="Z33" s="145"/>
      <c r="AA33" s="145"/>
      <c r="AB33" s="145"/>
      <c r="AC33" s="145"/>
      <c r="AD33" s="145"/>
      <c r="AE33" s="145"/>
      <c r="AF33" s="145"/>
      <c r="AG33" s="145"/>
      <c r="AH33" s="145"/>
      <c r="AI33" s="145"/>
      <c r="AJ33" s="145"/>
      <c r="AK33" s="145"/>
      <c r="AL33" s="145"/>
      <c r="AM33" s="145"/>
      <c r="AN33" s="145"/>
      <c r="AO33" s="145"/>
      <c r="AP33" s="145"/>
      <c r="AQ33" s="145"/>
      <c r="AR33" s="145"/>
      <c r="AS33" s="145"/>
      <c r="AT33" s="145"/>
      <c r="AU33" s="145"/>
      <c r="AV33" s="145"/>
      <c r="AW33" s="145"/>
      <c r="AX33" s="145"/>
      <c r="AY33" s="145"/>
      <c r="AZ33" s="145"/>
      <c r="BA33" s="145"/>
      <c r="BB33" s="145"/>
      <c r="BC33" s="145"/>
      <c r="BD33" s="145"/>
      <c r="BE33" s="145"/>
      <c r="BF33" s="145"/>
      <c r="BG33" s="145"/>
      <c r="BH33" s="145"/>
      <c r="BI33" s="145"/>
      <c r="BJ33" s="145"/>
      <c r="BK33" s="145"/>
      <c r="BL33" s="145"/>
    </row>
    <row r="34" spans="2:64" x14ac:dyDescent="0.25">
      <c r="B34" s="173"/>
      <c r="C34" s="176"/>
      <c r="D34" s="176"/>
      <c r="E34" s="176"/>
      <c r="F34" s="176"/>
      <c r="G34" s="176"/>
      <c r="H34" s="177"/>
      <c r="I34" s="177"/>
      <c r="J34" s="177"/>
      <c r="K34" s="177"/>
      <c r="L34" s="177"/>
      <c r="M34" s="177"/>
      <c r="N34" s="177"/>
      <c r="O34" s="177"/>
      <c r="P34" s="177"/>
      <c r="Q34" s="177"/>
      <c r="S34" s="195"/>
      <c r="T34" s="145"/>
      <c r="U34" s="145"/>
      <c r="V34" s="145"/>
      <c r="W34" s="145"/>
      <c r="X34" s="145"/>
      <c r="Y34" s="145"/>
      <c r="Z34" s="145"/>
      <c r="AA34" s="145"/>
      <c r="AB34" s="145"/>
      <c r="AC34" s="145"/>
      <c r="AD34" s="145"/>
      <c r="AE34" s="145"/>
      <c r="AF34" s="145"/>
      <c r="AG34" s="145"/>
      <c r="AH34" s="145"/>
      <c r="AI34" s="145"/>
      <c r="AJ34" s="145"/>
      <c r="AK34" s="145"/>
      <c r="AL34" s="145"/>
      <c r="AM34" s="145"/>
      <c r="AN34" s="145"/>
      <c r="AO34" s="145"/>
      <c r="AP34" s="145"/>
      <c r="AQ34" s="145"/>
      <c r="AR34" s="145"/>
      <c r="AS34" s="145"/>
      <c r="AT34" s="145"/>
      <c r="AU34" s="145"/>
      <c r="AV34" s="145"/>
      <c r="AW34" s="145"/>
      <c r="AX34" s="145"/>
      <c r="AY34" s="145"/>
      <c r="AZ34" s="145"/>
      <c r="BA34" s="145"/>
      <c r="BB34" s="145"/>
      <c r="BC34" s="145"/>
      <c r="BD34" s="145"/>
      <c r="BE34" s="145"/>
      <c r="BF34" s="145"/>
      <c r="BG34" s="145"/>
      <c r="BH34" s="145"/>
      <c r="BI34" s="145"/>
      <c r="BJ34" s="145"/>
      <c r="BK34" s="145"/>
      <c r="BL34" s="145"/>
    </row>
    <row r="35" spans="2:64" ht="43.5" x14ac:dyDescent="0.25">
      <c r="B35" s="173" t="s">
        <v>200</v>
      </c>
      <c r="C35" s="182">
        <f>('Income Statement'!C41-'Income Statement'!C46)/'Income Statement'!C41</f>
        <v>1</v>
      </c>
      <c r="D35" s="182">
        <f>('Income Statement'!D41-'Income Statement'!D46)/'Income Statement'!D41</f>
        <v>1</v>
      </c>
      <c r="E35" s="182">
        <f>('Income Statement'!E41-'Income Statement'!E46)/'Income Statement'!E41</f>
        <v>1.6170257488176676</v>
      </c>
      <c r="F35" s="182">
        <f>('Income Statement'!F41-'Income Statement'!F46)/'Income Statement'!F41</f>
        <v>0.78441754916792772</v>
      </c>
      <c r="G35" s="182">
        <f>('Income Statement'!G41-'Income Statement'!G46)/'Income Statement'!G41</f>
        <v>0.71687917695839498</v>
      </c>
      <c r="H35" s="183">
        <f>('Income Statement'!H41-'Income Statement'!H46)/'Income Statement'!H41</f>
        <v>0.71687917695839498</v>
      </c>
      <c r="I35" s="183">
        <f>('Income Statement'!I41-'Income Statement'!I46)/'Income Statement'!I41</f>
        <v>0.71687917695839487</v>
      </c>
      <c r="J35" s="183">
        <f>('Income Statement'!J41-'Income Statement'!J46)/'Income Statement'!J41</f>
        <v>0.71687917695839487</v>
      </c>
      <c r="K35" s="183">
        <f>('Income Statement'!K41-'Income Statement'!K46)/'Income Statement'!K41</f>
        <v>0.71687917695839498</v>
      </c>
      <c r="L35" s="183">
        <f>('Income Statement'!L41-'Income Statement'!L46)/'Income Statement'!L41</f>
        <v>0.71687917695839487</v>
      </c>
      <c r="M35" s="183">
        <f>('Income Statement'!M41-'Income Statement'!M46)/'Income Statement'!M41</f>
        <v>0.71687917695839498</v>
      </c>
      <c r="N35" s="183">
        <f>('Income Statement'!N41-'Income Statement'!N46)/'Income Statement'!N41</f>
        <v>0.71687917695839487</v>
      </c>
      <c r="O35" s="183">
        <f>('Income Statement'!O41-'Income Statement'!O46)/'Income Statement'!O41</f>
        <v>0.71687917695839498</v>
      </c>
      <c r="P35" s="183">
        <f>('Income Statement'!P41-'Income Statement'!P46)/'Income Statement'!P41</f>
        <v>0.71687917695839487</v>
      </c>
      <c r="Q35" s="183">
        <f>('Income Statement'!Q41-'Income Statement'!Q46)/'Income Statement'!Q41</f>
        <v>0.71687917695839487</v>
      </c>
      <c r="S35" s="195" t="s">
        <v>334</v>
      </c>
      <c r="T35" s="145"/>
      <c r="U35" s="145"/>
      <c r="V35" s="145"/>
      <c r="W35" s="145"/>
      <c r="X35" s="145"/>
      <c r="Y35" s="145"/>
      <c r="Z35" s="145"/>
      <c r="AA35" s="145"/>
      <c r="AB35" s="145"/>
      <c r="AC35" s="145"/>
      <c r="AD35" s="145"/>
      <c r="AE35" s="145"/>
      <c r="AF35" s="145"/>
      <c r="AG35" s="145"/>
      <c r="AH35" s="145"/>
      <c r="AI35" s="145"/>
      <c r="AJ35" s="145"/>
      <c r="AK35" s="145"/>
      <c r="AL35" s="145"/>
      <c r="AM35" s="145"/>
      <c r="AN35" s="145"/>
      <c r="AO35" s="145"/>
      <c r="AP35" s="145"/>
      <c r="AQ35" s="145"/>
      <c r="AR35" s="145"/>
      <c r="AS35" s="145"/>
      <c r="AT35" s="145"/>
      <c r="AU35" s="145"/>
      <c r="AV35" s="145"/>
      <c r="AW35" s="145"/>
      <c r="AX35" s="145"/>
      <c r="AY35" s="145"/>
      <c r="AZ35" s="145"/>
      <c r="BA35" s="145"/>
      <c r="BB35" s="145"/>
      <c r="BC35" s="145"/>
      <c r="BD35" s="145"/>
      <c r="BE35" s="145"/>
      <c r="BF35" s="145"/>
      <c r="BG35" s="145"/>
      <c r="BH35" s="145"/>
      <c r="BI35" s="145"/>
      <c r="BJ35" s="145"/>
      <c r="BK35" s="145"/>
      <c r="BL35" s="145"/>
    </row>
    <row r="36" spans="2:64" x14ac:dyDescent="0.25">
      <c r="B36" s="173"/>
      <c r="C36" s="182"/>
      <c r="D36" s="182"/>
      <c r="E36" s="182"/>
      <c r="F36" s="182"/>
      <c r="G36" s="182"/>
      <c r="H36" s="183"/>
      <c r="I36" s="183"/>
      <c r="J36" s="183"/>
      <c r="K36" s="183"/>
      <c r="L36" s="183"/>
      <c r="M36" s="183"/>
      <c r="N36" s="183"/>
      <c r="O36" s="183"/>
      <c r="P36" s="183"/>
      <c r="Q36" s="183"/>
      <c r="S36" s="195"/>
      <c r="T36" s="145"/>
      <c r="U36" s="145"/>
      <c r="V36" s="145"/>
      <c r="W36" s="145"/>
      <c r="X36" s="145"/>
      <c r="Y36" s="145"/>
      <c r="Z36" s="145"/>
      <c r="AA36" s="145"/>
      <c r="AB36" s="145"/>
      <c r="AC36" s="145"/>
      <c r="AD36" s="145"/>
      <c r="AE36" s="145"/>
      <c r="AF36" s="145"/>
      <c r="AG36" s="145"/>
      <c r="AH36" s="145"/>
      <c r="AI36" s="145"/>
      <c r="AJ36" s="145"/>
      <c r="AK36" s="145"/>
      <c r="AL36" s="145"/>
      <c r="AM36" s="145"/>
      <c r="AN36" s="145"/>
      <c r="AO36" s="145"/>
      <c r="AP36" s="145"/>
      <c r="AQ36" s="145"/>
      <c r="AR36" s="145"/>
      <c r="AS36" s="145"/>
      <c r="AT36" s="145"/>
      <c r="AU36" s="145"/>
      <c r="AV36" s="145"/>
      <c r="AW36" s="145"/>
      <c r="AX36" s="145"/>
      <c r="AY36" s="145"/>
      <c r="AZ36" s="145"/>
      <c r="BA36" s="145"/>
      <c r="BB36" s="145"/>
      <c r="BC36" s="145"/>
      <c r="BD36" s="145"/>
      <c r="BE36" s="145"/>
      <c r="BF36" s="145"/>
      <c r="BG36" s="145"/>
      <c r="BH36" s="145"/>
      <c r="BI36" s="145"/>
      <c r="BJ36" s="145"/>
      <c r="BK36" s="145"/>
      <c r="BL36" s="145"/>
    </row>
    <row r="37" spans="2:64" ht="29.25" x14ac:dyDescent="0.25">
      <c r="B37" s="173" t="s">
        <v>218</v>
      </c>
      <c r="C37" s="178">
        <f>'Income Statement'!C26/SUM(Balance_Sheet!C50:C51,Balance_Sheet!C66)</f>
        <v>0.11173662954350762</v>
      </c>
      <c r="D37" s="178">
        <f>'Income Statement'!D26/SUM(Balance_Sheet!D50:D51,Balance_Sheet!D66)</f>
        <v>6.6198734556836461E-2</v>
      </c>
      <c r="E37" s="178">
        <f>'Income Statement'!E26/SUM(Balance_Sheet!E50:E51,Balance_Sheet!E66)</f>
        <v>8.0143097000204028E-2</v>
      </c>
      <c r="F37" s="178">
        <f>'Income Statement'!F26/SUM(Balance_Sheet!F50:F51,Balance_Sheet!F66)</f>
        <v>0.1396221024037948</v>
      </c>
      <c r="G37" s="178">
        <f>'Income Statement'!G26/SUM(Balance_Sheet!G50:G51,Balance_Sheet!G66)</f>
        <v>0.18379557439031535</v>
      </c>
      <c r="H37" s="179">
        <f>'Income Statement'!H26/SUM(Balance_Sheet!H50:H51,Balance_Sheet!H66)</f>
        <v>0.14124734198174954</v>
      </c>
      <c r="I37" s="179">
        <f>'Income Statement'!I26/SUM(Balance_Sheet!I50:I51,Balance_Sheet!I66)</f>
        <v>0.14666091992477873</v>
      </c>
      <c r="J37" s="179">
        <f>'Income Statement'!J26/SUM(Balance_Sheet!J50:J51,Balance_Sheet!J66)</f>
        <v>0.15093740835575675</v>
      </c>
      <c r="K37" s="179">
        <f>'Income Statement'!K26/SUM(Balance_Sheet!K50:K51,Balance_Sheet!K66)</f>
        <v>0.15428111309509207</v>
      </c>
      <c r="L37" s="179">
        <f>'Income Statement'!L26/SUM(Balance_Sheet!L50:L51,Balance_Sheet!L66)</f>
        <v>0.15687302242328358</v>
      </c>
      <c r="M37" s="179">
        <f>'Income Statement'!M26/SUM(Balance_Sheet!M50:M51,Balance_Sheet!M66)</f>
        <v>0.15886740294790422</v>
      </c>
      <c r="N37" s="179">
        <f>'Income Statement'!N26/SUM(Balance_Sheet!N50:N51,Balance_Sheet!N66)</f>
        <v>0.16039214424711939</v>
      </c>
      <c r="O37" s="179">
        <f>'Income Statement'!O26/SUM(Balance_Sheet!O50:O51,Balance_Sheet!O66)</f>
        <v>0.16155111375834116</v>
      </c>
      <c r="P37" s="179">
        <f>'Income Statement'!P26/SUM(Balance_Sheet!P50:P51,Balance_Sheet!P66)</f>
        <v>0.16242736920934098</v>
      </c>
      <c r="Q37" s="179">
        <f>'Income Statement'!Q26/SUM(Balance_Sheet!Q50:Q51,Balance_Sheet!Q66)</f>
        <v>0.16308653600045969</v>
      </c>
      <c r="S37" s="195" t="s">
        <v>335</v>
      </c>
      <c r="T37" s="145"/>
      <c r="U37" s="145"/>
      <c r="V37" s="145"/>
      <c r="W37" s="145"/>
      <c r="X37" s="145"/>
      <c r="Y37" s="145"/>
      <c r="Z37" s="145"/>
      <c r="AA37" s="145"/>
      <c r="AB37" s="145"/>
      <c r="AC37" s="145"/>
      <c r="AD37" s="145"/>
      <c r="AE37" s="145"/>
      <c r="AF37" s="145"/>
      <c r="AG37" s="145"/>
      <c r="AH37" s="145"/>
      <c r="AI37" s="145"/>
      <c r="AJ37" s="145"/>
      <c r="AK37" s="145"/>
      <c r="AL37" s="145"/>
      <c r="AM37" s="145"/>
      <c r="AN37" s="145"/>
      <c r="AO37" s="145"/>
      <c r="AP37" s="145"/>
      <c r="AQ37" s="145"/>
      <c r="AR37" s="145"/>
      <c r="AS37" s="145"/>
      <c r="AT37" s="145"/>
      <c r="AU37" s="145"/>
      <c r="AV37" s="145"/>
      <c r="AW37" s="145"/>
      <c r="AX37" s="145"/>
      <c r="AY37" s="145"/>
      <c r="AZ37" s="145"/>
      <c r="BA37" s="145"/>
      <c r="BB37" s="145"/>
      <c r="BC37" s="145"/>
      <c r="BD37" s="145"/>
      <c r="BE37" s="145"/>
      <c r="BF37" s="145"/>
      <c r="BG37" s="145"/>
      <c r="BH37" s="145"/>
      <c r="BI37" s="145"/>
      <c r="BJ37" s="145"/>
      <c r="BK37" s="145"/>
      <c r="BL37" s="145"/>
    </row>
    <row r="38" spans="2:64" x14ac:dyDescent="0.25">
      <c r="B38" s="173"/>
      <c r="C38" s="176"/>
      <c r="D38" s="176"/>
      <c r="E38" s="176"/>
      <c r="F38" s="176"/>
      <c r="G38" s="176"/>
      <c r="H38" s="177"/>
      <c r="I38" s="177"/>
      <c r="J38" s="177"/>
      <c r="K38" s="177"/>
      <c r="L38" s="177"/>
      <c r="M38" s="177"/>
      <c r="N38" s="177"/>
      <c r="O38" s="177"/>
      <c r="P38" s="177"/>
      <c r="Q38" s="177"/>
      <c r="S38" s="195"/>
      <c r="T38" s="145"/>
      <c r="U38" s="145"/>
      <c r="V38" s="145"/>
      <c r="W38" s="145"/>
      <c r="X38" s="145"/>
      <c r="Y38" s="145"/>
      <c r="Z38" s="145"/>
      <c r="AA38" s="145"/>
      <c r="AB38" s="145"/>
      <c r="AC38" s="145"/>
      <c r="AD38" s="145"/>
      <c r="AE38" s="145"/>
      <c r="AF38" s="145"/>
      <c r="AG38" s="145"/>
      <c r="AH38" s="145"/>
      <c r="AI38" s="145"/>
      <c r="AJ38" s="145"/>
      <c r="AK38" s="145"/>
      <c r="AL38" s="145"/>
      <c r="AM38" s="145"/>
      <c r="AN38" s="145"/>
      <c r="AO38" s="145"/>
      <c r="AP38" s="145"/>
      <c r="AQ38" s="145"/>
      <c r="AR38" s="145"/>
      <c r="AS38" s="145"/>
      <c r="AT38" s="145"/>
      <c r="AU38" s="145"/>
      <c r="AV38" s="145"/>
      <c r="AW38" s="145"/>
      <c r="AX38" s="145"/>
      <c r="AY38" s="145"/>
      <c r="AZ38" s="145"/>
      <c r="BA38" s="145"/>
      <c r="BB38" s="145"/>
      <c r="BC38" s="145"/>
      <c r="BD38" s="145"/>
      <c r="BE38" s="145"/>
      <c r="BF38" s="145"/>
      <c r="BG38" s="145"/>
      <c r="BH38" s="145"/>
      <c r="BI38" s="145"/>
      <c r="BJ38" s="145"/>
      <c r="BK38" s="145"/>
      <c r="BL38" s="145"/>
    </row>
    <row r="39" spans="2:64" ht="43.5" x14ac:dyDescent="0.25">
      <c r="B39" s="173" t="s">
        <v>201</v>
      </c>
      <c r="C39" s="176"/>
      <c r="D39" s="178">
        <f>('Income Statement'!D41-'Income Statement'!C46)/AVERAGE(Balance_Sheet!C54:D54)</f>
        <v>-7.7220976812073109E-3</v>
      </c>
      <c r="E39" s="178">
        <f>('Income Statement'!E41-'Income Statement'!D46)/AVERAGE(Balance_Sheet!D54:E54)</f>
        <v>-3.2216996624240546E-2</v>
      </c>
      <c r="F39" s="178">
        <f>('Income Statement'!F41-'Income Statement'!E46)/AVERAGE(Balance_Sheet!E54:F54)</f>
        <v>0.12228955742718788</v>
      </c>
      <c r="G39" s="178">
        <f>('Income Statement'!G41-'Income Statement'!F46)/AVERAGE(Balance_Sheet!F54:G54)</f>
        <v>0.21251093934418286</v>
      </c>
      <c r="H39" s="179">
        <f>('Income Statement'!H41-'Income Statement'!G46)/AVERAGE(Balance_Sheet!G54:H54)</f>
        <v>9.5947297149382424E-2</v>
      </c>
      <c r="I39" s="179">
        <f>('Income Statement'!I41-'Income Statement'!H46)/AVERAGE(Balance_Sheet!H54:I54)</f>
        <v>0.14343423858848486</v>
      </c>
      <c r="J39" s="179">
        <f>('Income Statement'!J41-'Income Statement'!I46)/AVERAGE(Balance_Sheet!I54:J54)</f>
        <v>0.16133776145697293</v>
      </c>
      <c r="K39" s="179">
        <f>('Income Statement'!K41-'Income Statement'!J46)/AVERAGE(Balance_Sheet!J54:K54)</f>
        <v>0.17704920608704758</v>
      </c>
      <c r="L39" s="179">
        <f>('Income Statement'!L41-'Income Statement'!K46)/AVERAGE(Balance_Sheet!K54:L54)</f>
        <v>0.19037763237490213</v>
      </c>
      <c r="M39" s="179">
        <f>('Income Statement'!M41-'Income Statement'!L46)/AVERAGE(Balance_Sheet!L54:M54)</f>
        <v>0.2013549032487259</v>
      </c>
      <c r="N39" s="179">
        <f>('Income Statement'!N41-'Income Statement'!M46)/AVERAGE(Balance_Sheet!M54:N54)</f>
        <v>0.21016919755901048</v>
      </c>
      <c r="O39" s="179">
        <f>('Income Statement'!O41-'Income Statement'!N46)/AVERAGE(Balance_Sheet!N54:O54)</f>
        <v>0.21709569214066013</v>
      </c>
      <c r="P39" s="179">
        <f>('Income Statement'!P41-'Income Statement'!O46)/AVERAGE(Balance_Sheet!O54:P54)</f>
        <v>0.2224399151176682</v>
      </c>
      <c r="Q39" s="179">
        <f>('Income Statement'!Q41-'Income Statement'!P46)/AVERAGE(Balance_Sheet!P54:Q54)</f>
        <v>0.22649913918719955</v>
      </c>
      <c r="S39" s="195" t="s">
        <v>336</v>
      </c>
      <c r="T39" s="145"/>
      <c r="U39" s="145"/>
      <c r="V39" s="145"/>
      <c r="W39" s="145"/>
      <c r="X39" s="145"/>
      <c r="Y39" s="145"/>
      <c r="Z39" s="145"/>
      <c r="AA39" s="145"/>
      <c r="AB39" s="145"/>
      <c r="AC39" s="145"/>
      <c r="AD39" s="145"/>
      <c r="AE39" s="145"/>
      <c r="AF39" s="145"/>
      <c r="AG39" s="145"/>
      <c r="AH39" s="145"/>
      <c r="AI39" s="145"/>
      <c r="AJ39" s="145"/>
      <c r="AK39" s="145"/>
      <c r="AL39" s="145"/>
      <c r="AM39" s="145"/>
      <c r="AN39" s="145"/>
      <c r="AO39" s="145"/>
      <c r="AP39" s="145"/>
      <c r="AQ39" s="145"/>
      <c r="AR39" s="145"/>
      <c r="AS39" s="145"/>
      <c r="AT39" s="145"/>
      <c r="AU39" s="145"/>
      <c r="AV39" s="145"/>
      <c r="AW39" s="145"/>
      <c r="AX39" s="145"/>
      <c r="AY39" s="145"/>
      <c r="AZ39" s="145"/>
      <c r="BA39" s="145"/>
      <c r="BB39" s="145"/>
      <c r="BC39" s="145"/>
      <c r="BD39" s="145"/>
      <c r="BE39" s="145"/>
      <c r="BF39" s="145"/>
      <c r="BG39" s="145"/>
      <c r="BH39" s="145"/>
      <c r="BI39" s="145"/>
      <c r="BJ39" s="145"/>
      <c r="BK39" s="145"/>
      <c r="BL39" s="145"/>
    </row>
    <row r="40" spans="2:64" x14ac:dyDescent="0.25">
      <c r="B40" s="173"/>
      <c r="C40" s="176"/>
      <c r="D40" s="176"/>
      <c r="E40" s="176"/>
      <c r="F40" s="176"/>
      <c r="G40" s="176"/>
      <c r="H40" s="177"/>
      <c r="I40" s="177"/>
      <c r="J40" s="177"/>
      <c r="K40" s="177"/>
      <c r="L40" s="177"/>
      <c r="M40" s="177"/>
      <c r="N40" s="177"/>
      <c r="O40" s="177"/>
      <c r="P40" s="177"/>
      <c r="Q40" s="177"/>
      <c r="S40" s="195"/>
      <c r="T40" s="145"/>
      <c r="U40" s="145"/>
      <c r="V40" s="145"/>
      <c r="W40" s="145"/>
      <c r="X40" s="145"/>
      <c r="Y40" s="145"/>
      <c r="Z40" s="145"/>
      <c r="AA40" s="145"/>
      <c r="AB40" s="145"/>
      <c r="AC40" s="145"/>
      <c r="AD40" s="145"/>
      <c r="AE40" s="145"/>
      <c r="AF40" s="145"/>
      <c r="AG40" s="145"/>
      <c r="AH40" s="145"/>
      <c r="AI40" s="145"/>
      <c r="AJ40" s="145"/>
      <c r="AK40" s="145"/>
      <c r="AL40" s="145"/>
      <c r="AM40" s="145"/>
      <c r="AN40" s="145"/>
      <c r="AO40" s="145"/>
      <c r="AP40" s="145"/>
      <c r="AQ40" s="145"/>
      <c r="AR40" s="145"/>
      <c r="AS40" s="145"/>
      <c r="AT40" s="145"/>
      <c r="AU40" s="145"/>
      <c r="AV40" s="145"/>
      <c r="AW40" s="145"/>
      <c r="AX40" s="145"/>
      <c r="AY40" s="145"/>
      <c r="AZ40" s="145"/>
      <c r="BA40" s="145"/>
      <c r="BB40" s="145"/>
      <c r="BC40" s="145"/>
      <c r="BD40" s="145"/>
      <c r="BE40" s="145"/>
      <c r="BF40" s="145"/>
      <c r="BG40" s="145"/>
      <c r="BH40" s="145"/>
      <c r="BI40" s="145"/>
      <c r="BJ40" s="145"/>
      <c r="BK40" s="145"/>
      <c r="BL40" s="145"/>
    </row>
    <row r="41" spans="2:64" x14ac:dyDescent="0.25">
      <c r="B41" s="174" t="s">
        <v>202</v>
      </c>
      <c r="C41" s="176"/>
      <c r="D41" s="176"/>
      <c r="E41" s="176"/>
      <c r="F41" s="169"/>
      <c r="G41" s="176"/>
      <c r="H41" s="177"/>
      <c r="I41" s="177"/>
      <c r="J41" s="177"/>
      <c r="K41" s="177"/>
      <c r="L41" s="177"/>
      <c r="M41" s="177"/>
      <c r="N41" s="177"/>
      <c r="O41" s="177"/>
      <c r="P41" s="177"/>
      <c r="Q41" s="177"/>
      <c r="S41" s="19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c r="AP41" s="145"/>
      <c r="AQ41" s="145"/>
      <c r="AR41" s="145"/>
      <c r="AS41" s="145"/>
      <c r="AT41" s="145"/>
      <c r="AU41" s="145"/>
      <c r="AV41" s="145"/>
      <c r="AW41" s="145"/>
      <c r="AX41" s="145"/>
      <c r="AY41" s="145"/>
      <c r="AZ41" s="145"/>
      <c r="BA41" s="145"/>
      <c r="BB41" s="145"/>
      <c r="BC41" s="145"/>
      <c r="BD41" s="145"/>
      <c r="BE41" s="145"/>
      <c r="BF41" s="145"/>
      <c r="BG41" s="145"/>
      <c r="BH41" s="145"/>
      <c r="BI41" s="145"/>
      <c r="BJ41" s="145"/>
      <c r="BK41" s="145"/>
      <c r="BL41" s="145"/>
    </row>
    <row r="42" spans="2:64" ht="86.25" x14ac:dyDescent="0.25">
      <c r="B42" s="213" t="s">
        <v>89</v>
      </c>
      <c r="C42" s="184">
        <f>(Balance_Sheet!C43-Balance_Sheet!C31)/Balance_Sheet!C79</f>
        <v>0.93095076196411397</v>
      </c>
      <c r="D42" s="184">
        <f>(Balance_Sheet!D43-Balance_Sheet!D31)/Balance_Sheet!D79</f>
        <v>0.82736535213698392</v>
      </c>
      <c r="E42" s="184">
        <f>(Balance_Sheet!E43-Balance_Sheet!E31)/Balance_Sheet!E79</f>
        <v>0.86056583165449396</v>
      </c>
      <c r="F42" s="184">
        <f>(Balance_Sheet!F43-Balance_Sheet!F31)/Balance_Sheet!F79</f>
        <v>0.92367742406906406</v>
      </c>
      <c r="G42" s="184">
        <f>(Balance_Sheet!G43-Balance_Sheet!G31)/Balance_Sheet!G79</f>
        <v>0.93684155255765433</v>
      </c>
      <c r="H42" s="185">
        <f>(Balance_Sheet!H43-Balance_Sheet!H31)/Balance_Sheet!H79</f>
        <v>0.9692156876459006</v>
      </c>
      <c r="I42" s="185">
        <f>(Balance_Sheet!I43-Balance_Sheet!I31)/Balance_Sheet!I79</f>
        <v>0.98349404754847181</v>
      </c>
      <c r="J42" s="185">
        <f>(Balance_Sheet!J43-Balance_Sheet!J31)/Balance_Sheet!J79</f>
        <v>0.99724075644846544</v>
      </c>
      <c r="K42" s="185">
        <f>(Balance_Sheet!K43-Balance_Sheet!K31)/Balance_Sheet!K79</f>
        <v>1.0101248529091162</v>
      </c>
      <c r="L42" s="185">
        <f>(Balance_Sheet!L43-Balance_Sheet!L31)/Balance_Sheet!L79</f>
        <v>1.0219576390517431</v>
      </c>
      <c r="M42" s="185">
        <f>(Balance_Sheet!M43-Balance_Sheet!M31)/Balance_Sheet!M79</f>
        <v>1.032652859256225</v>
      </c>
      <c r="N42" s="185">
        <f>(Balance_Sheet!N43-Balance_Sheet!N31)/Balance_Sheet!N79</f>
        <v>1.0421958702580401</v>
      </c>
      <c r="O42" s="185">
        <f>(Balance_Sheet!O43-Balance_Sheet!O31)/Balance_Sheet!O79</f>
        <v>1.0506201977295204</v>
      </c>
      <c r="P42" s="185">
        <f>(Balance_Sheet!P43-Balance_Sheet!P31)/Balance_Sheet!P79</f>
        <v>1.0579900312300159</v>
      </c>
      <c r="Q42" s="185">
        <f>(Balance_Sheet!Q43-Balance_Sheet!Q31)/Balance_Sheet!Q79</f>
        <v>1.0643874059366623</v>
      </c>
      <c r="S42" s="195" t="s">
        <v>353</v>
      </c>
      <c r="T42" s="145"/>
      <c r="U42" s="145"/>
      <c r="V42" s="145"/>
      <c r="W42" s="145"/>
      <c r="X42" s="145"/>
      <c r="Y42" s="145"/>
      <c r="Z42" s="145"/>
      <c r="AA42" s="145"/>
      <c r="AB42" s="145"/>
      <c r="AC42" s="145"/>
      <c r="AD42" s="145"/>
      <c r="AE42" s="145"/>
      <c r="AF42" s="145"/>
      <c r="AG42" s="145"/>
      <c r="AH42" s="145"/>
      <c r="AI42" s="145"/>
      <c r="AJ42" s="145"/>
      <c r="AK42" s="145"/>
      <c r="AL42" s="145"/>
      <c r="AM42" s="145"/>
      <c r="AN42" s="145"/>
      <c r="AO42" s="145"/>
      <c r="AP42" s="145"/>
      <c r="AQ42" s="145"/>
      <c r="AR42" s="145"/>
      <c r="AS42" s="145"/>
      <c r="AT42" s="145"/>
      <c r="AU42" s="145"/>
      <c r="AV42" s="145"/>
      <c r="AW42" s="145"/>
      <c r="AX42" s="145"/>
      <c r="AY42" s="145"/>
      <c r="AZ42" s="145"/>
      <c r="BA42" s="145"/>
      <c r="BB42" s="145"/>
      <c r="BC42" s="145"/>
      <c r="BD42" s="145"/>
      <c r="BE42" s="145"/>
      <c r="BF42" s="145"/>
      <c r="BG42" s="145"/>
      <c r="BH42" s="145"/>
      <c r="BI42" s="145"/>
      <c r="BJ42" s="145"/>
      <c r="BK42" s="145"/>
      <c r="BL42" s="145"/>
    </row>
    <row r="43" spans="2:64" x14ac:dyDescent="0.25">
      <c r="B43" s="173"/>
      <c r="C43" s="176"/>
      <c r="D43" s="176"/>
      <c r="E43" s="176"/>
      <c r="F43" s="176"/>
      <c r="G43" s="176"/>
      <c r="H43" s="177"/>
      <c r="I43" s="177"/>
      <c r="J43" s="177"/>
      <c r="K43" s="177"/>
      <c r="L43" s="177"/>
      <c r="M43" s="177"/>
      <c r="N43" s="177"/>
      <c r="O43" s="177"/>
      <c r="P43" s="177"/>
      <c r="Q43" s="177"/>
      <c r="S43" s="195"/>
      <c r="T43" s="145"/>
      <c r="U43" s="145"/>
      <c r="V43" s="145"/>
      <c r="W43" s="145"/>
      <c r="X43" s="145"/>
      <c r="Y43" s="145"/>
      <c r="Z43" s="145"/>
      <c r="AA43" s="145"/>
      <c r="AB43" s="145"/>
      <c r="AC43" s="145"/>
      <c r="AD43" s="145"/>
      <c r="AE43" s="145"/>
      <c r="AF43" s="145"/>
      <c r="AG43" s="145"/>
      <c r="AH43" s="145"/>
      <c r="AI43" s="145"/>
      <c r="AJ43" s="145"/>
      <c r="AK43" s="145"/>
      <c r="AL43" s="145"/>
      <c r="AM43" s="145"/>
      <c r="AN43" s="145"/>
      <c r="AO43" s="145"/>
      <c r="AP43" s="145"/>
      <c r="AQ43" s="145"/>
      <c r="AR43" s="145"/>
      <c r="AS43" s="145"/>
      <c r="AT43" s="145"/>
      <c r="AU43" s="145"/>
      <c r="AV43" s="145"/>
      <c r="AW43" s="145"/>
      <c r="AX43" s="145"/>
      <c r="AY43" s="145"/>
      <c r="AZ43" s="145"/>
      <c r="BA43" s="145"/>
      <c r="BB43" s="145"/>
      <c r="BC43" s="145"/>
      <c r="BD43" s="145"/>
      <c r="BE43" s="145"/>
      <c r="BF43" s="145"/>
      <c r="BG43" s="145"/>
      <c r="BH43" s="145"/>
      <c r="BI43" s="145"/>
      <c r="BJ43" s="145"/>
      <c r="BK43" s="145"/>
      <c r="BL43" s="145"/>
    </row>
    <row r="44" spans="2:64" ht="72" x14ac:dyDescent="0.25">
      <c r="B44" s="173" t="s">
        <v>88</v>
      </c>
      <c r="C44" s="184">
        <f>Balance_Sheet!C43/Balance_Sheet!C79</f>
        <v>1.0347983664376199</v>
      </c>
      <c r="D44" s="184">
        <f>Balance_Sheet!D43/Balance_Sheet!D79</f>
        <v>0.98120415685597695</v>
      </c>
      <c r="E44" s="184">
        <f>Balance_Sheet!E43/Balance_Sheet!E79</f>
        <v>0.99712429289856241</v>
      </c>
      <c r="F44" s="184">
        <f>Balance_Sheet!F43/Balance_Sheet!F79</f>
        <v>1.0769663982662687</v>
      </c>
      <c r="G44" s="184">
        <f>Balance_Sheet!G43/Balance_Sheet!G79</f>
        <v>1.0871620329219032</v>
      </c>
      <c r="H44" s="185">
        <f>Balance_Sheet!H43/Balance_Sheet!H79</f>
        <v>1.0998876844471785</v>
      </c>
      <c r="I44" s="185">
        <f>Balance_Sheet!I43/Balance_Sheet!I79</f>
        <v>1.1145545198650164</v>
      </c>
      <c r="J44" s="185">
        <f>Balance_Sheet!J43/Balance_Sheet!J79</f>
        <v>1.12861768446218</v>
      </c>
      <c r="K44" s="185">
        <f>Balance_Sheet!K43/Balance_Sheet!K79</f>
        <v>1.1417590535543376</v>
      </c>
      <c r="L44" s="185">
        <f>Balance_Sheet!L43/Balance_Sheet!L79</f>
        <v>1.1538006349918877</v>
      </c>
      <c r="M44" s="185">
        <f>Balance_Sheet!M43/Balance_Sheet!M79</f>
        <v>1.1646650523213129</v>
      </c>
      <c r="N44" s="185">
        <f>Balance_Sheet!N43/Balance_Sheet!N79</f>
        <v>1.1743449922155964</v>
      </c>
      <c r="O44" s="185">
        <f>Balance_Sheet!O43/Balance_Sheet!O79</f>
        <v>1.1828800074931212</v>
      </c>
      <c r="P44" s="185">
        <f>Balance_Sheet!P43/Balance_Sheet!P79</f>
        <v>1.190339227002595</v>
      </c>
      <c r="Q44" s="185">
        <f>Balance_Sheet!Q43/Balance_Sheet!Q79</f>
        <v>1.1968087221251749</v>
      </c>
      <c r="S44" s="195" t="s">
        <v>354</v>
      </c>
      <c r="T44" s="145"/>
      <c r="U44" s="145"/>
      <c r="V44" s="145"/>
      <c r="W44" s="145"/>
      <c r="X44" s="145"/>
      <c r="Y44" s="145"/>
      <c r="Z44" s="145"/>
      <c r="AA44" s="145"/>
      <c r="AB44" s="145"/>
      <c r="AC44" s="145"/>
      <c r="AD44" s="145"/>
      <c r="AE44" s="145"/>
      <c r="AF44" s="145"/>
      <c r="AG44" s="145"/>
      <c r="AH44" s="145"/>
      <c r="AI44" s="145"/>
      <c r="AJ44" s="145"/>
      <c r="AK44" s="145"/>
      <c r="AL44" s="145"/>
      <c r="AM44" s="145"/>
      <c r="AN44" s="145"/>
      <c r="AO44" s="145"/>
      <c r="AP44" s="145"/>
      <c r="AQ44" s="145"/>
      <c r="AR44" s="145"/>
      <c r="AS44" s="145"/>
      <c r="AT44" s="145"/>
      <c r="AU44" s="145"/>
      <c r="AV44" s="145"/>
      <c r="AW44" s="145"/>
      <c r="AX44" s="145"/>
      <c r="AY44" s="145"/>
      <c r="AZ44" s="145"/>
      <c r="BA44" s="145"/>
      <c r="BB44" s="145"/>
      <c r="BC44" s="145"/>
      <c r="BD44" s="145"/>
      <c r="BE44" s="145"/>
      <c r="BF44" s="145"/>
      <c r="BG44" s="145"/>
      <c r="BH44" s="145"/>
      <c r="BI44" s="145"/>
      <c r="BJ44" s="145"/>
      <c r="BK44" s="145"/>
      <c r="BL44" s="145"/>
    </row>
    <row r="45" spans="2:64" x14ac:dyDescent="0.25">
      <c r="B45" s="173"/>
      <c r="C45" s="176"/>
      <c r="D45" s="176"/>
      <c r="E45" s="176"/>
      <c r="F45" s="176"/>
      <c r="G45" s="176"/>
      <c r="H45" s="177"/>
      <c r="I45" s="177"/>
      <c r="J45" s="177"/>
      <c r="K45" s="177"/>
      <c r="L45" s="177"/>
      <c r="M45" s="177"/>
      <c r="N45" s="177"/>
      <c r="O45" s="177"/>
      <c r="P45" s="177"/>
      <c r="Q45" s="177"/>
      <c r="S45" s="195"/>
      <c r="T45" s="145"/>
      <c r="U45" s="145"/>
      <c r="V45" s="145"/>
      <c r="W45" s="145"/>
      <c r="X45" s="145"/>
      <c r="Y45" s="145"/>
      <c r="Z45" s="145"/>
      <c r="AA45" s="145"/>
      <c r="AB45" s="145"/>
      <c r="AC45" s="145"/>
      <c r="AD45" s="145"/>
      <c r="AE45" s="145"/>
      <c r="AF45" s="145"/>
      <c r="AG45" s="145"/>
      <c r="AH45" s="145"/>
      <c r="AI45" s="145"/>
      <c r="AJ45" s="145"/>
      <c r="AK45" s="145"/>
      <c r="AL45" s="145"/>
      <c r="AM45" s="145"/>
      <c r="AN45" s="145"/>
      <c r="AO45" s="145"/>
      <c r="AP45" s="145"/>
      <c r="AQ45" s="145"/>
      <c r="AR45" s="145"/>
      <c r="AS45" s="145"/>
      <c r="AT45" s="145"/>
      <c r="AU45" s="145"/>
      <c r="AV45" s="145"/>
      <c r="AW45" s="145"/>
      <c r="AX45" s="145"/>
      <c r="AY45" s="145"/>
      <c r="AZ45" s="145"/>
      <c r="BA45" s="145"/>
      <c r="BB45" s="145"/>
      <c r="BC45" s="145"/>
      <c r="BD45" s="145"/>
      <c r="BE45" s="145"/>
      <c r="BF45" s="145"/>
      <c r="BG45" s="145"/>
      <c r="BH45" s="145"/>
      <c r="BI45" s="145"/>
      <c r="BJ45" s="145"/>
      <c r="BK45" s="145"/>
      <c r="BL45" s="145"/>
    </row>
    <row r="46" spans="2:64" ht="43.5" x14ac:dyDescent="0.25">
      <c r="B46" s="173" t="s">
        <v>203</v>
      </c>
      <c r="C46" s="180">
        <f>Working_Capital!C22</f>
        <v>-10.627223265792892</v>
      </c>
      <c r="D46" s="180">
        <f>Working_Capital!D22</f>
        <v>-29.679436529728861</v>
      </c>
      <c r="E46" s="180">
        <f>Working_Capital!E22</f>
        <v>-51.979472063276248</v>
      </c>
      <c r="F46" s="180">
        <f>Working_Capital!F22</f>
        <v>-15.776527065342819</v>
      </c>
      <c r="G46" s="180">
        <f>Working_Capital!G22</f>
        <v>-3.7675343861425716</v>
      </c>
      <c r="H46" s="181">
        <f>Working_Capital!H22</f>
        <v>-20.53768919513864</v>
      </c>
      <c r="I46" s="181">
        <f>Working_Capital!I22</f>
        <v>-20.53768919513864</v>
      </c>
      <c r="J46" s="181">
        <f>Working_Capital!J22</f>
        <v>-20.53768919513864</v>
      </c>
      <c r="K46" s="181">
        <f>Working_Capital!K22</f>
        <v>-20.53768919513864</v>
      </c>
      <c r="L46" s="181">
        <f>Working_Capital!L22</f>
        <v>-20.53768919513864</v>
      </c>
      <c r="M46" s="181">
        <f>Working_Capital!M22</f>
        <v>-20.53768919513864</v>
      </c>
      <c r="N46" s="181">
        <f>Working_Capital!N22</f>
        <v>-20.53768919513864</v>
      </c>
      <c r="O46" s="181">
        <f>Working_Capital!O22</f>
        <v>-20.53768919513864</v>
      </c>
      <c r="P46" s="181">
        <f>Working_Capital!P22</f>
        <v>-20.53768919513864</v>
      </c>
      <c r="Q46" s="181">
        <f>Working_Capital!Q22</f>
        <v>-20.53768919513864</v>
      </c>
      <c r="S46" s="195" t="s">
        <v>345</v>
      </c>
      <c r="T46" s="145"/>
      <c r="U46" s="145"/>
      <c r="V46" s="145"/>
      <c r="W46" s="145"/>
      <c r="X46" s="145"/>
      <c r="Y46" s="145"/>
      <c r="Z46" s="145"/>
      <c r="AA46" s="145"/>
      <c r="AB46" s="145"/>
      <c r="AC46" s="145"/>
      <c r="AD46" s="145"/>
      <c r="AE46" s="145"/>
      <c r="AF46" s="145"/>
      <c r="AG46" s="145"/>
      <c r="AH46" s="145"/>
      <c r="AI46" s="145"/>
      <c r="AJ46" s="145"/>
      <c r="AK46" s="145"/>
      <c r="AL46" s="145"/>
      <c r="AM46" s="145"/>
      <c r="AN46" s="145"/>
      <c r="AO46" s="145"/>
      <c r="AP46" s="145"/>
      <c r="AQ46" s="145"/>
      <c r="AR46" s="145"/>
      <c r="AS46" s="145"/>
      <c r="AT46" s="145"/>
      <c r="AU46" s="145"/>
      <c r="AV46" s="145"/>
      <c r="AW46" s="145"/>
      <c r="AX46" s="145"/>
      <c r="AY46" s="145"/>
      <c r="AZ46" s="145"/>
      <c r="BA46" s="145"/>
      <c r="BB46" s="145"/>
      <c r="BC46" s="145"/>
      <c r="BD46" s="145"/>
      <c r="BE46" s="145"/>
      <c r="BF46" s="145"/>
      <c r="BG46" s="145"/>
      <c r="BH46" s="145"/>
      <c r="BI46" s="145"/>
      <c r="BJ46" s="145"/>
      <c r="BK46" s="145"/>
      <c r="BL46" s="145"/>
    </row>
    <row r="47" spans="2:64" x14ac:dyDescent="0.25">
      <c r="B47" s="173"/>
      <c r="C47" s="176"/>
      <c r="D47" s="176"/>
      <c r="E47" s="176"/>
      <c r="F47" s="176"/>
      <c r="G47" s="176"/>
      <c r="H47" s="177"/>
      <c r="I47" s="177"/>
      <c r="J47" s="177"/>
      <c r="K47" s="177"/>
      <c r="L47" s="177"/>
      <c r="M47" s="177"/>
      <c r="N47" s="177"/>
      <c r="O47" s="177"/>
      <c r="P47" s="177"/>
      <c r="Q47" s="177"/>
      <c r="S47" s="195"/>
      <c r="T47" s="145"/>
      <c r="U47" s="145"/>
      <c r="V47" s="145"/>
      <c r="W47" s="145"/>
      <c r="X47" s="145"/>
      <c r="Y47" s="145"/>
      <c r="Z47" s="145"/>
      <c r="AA47" s="145"/>
      <c r="AB47" s="145"/>
      <c r="AC47" s="145"/>
      <c r="AD47" s="145"/>
      <c r="AE47" s="145"/>
      <c r="AF47" s="145"/>
      <c r="AG47" s="145"/>
      <c r="AH47" s="145"/>
      <c r="AI47" s="145"/>
      <c r="AJ47" s="145"/>
      <c r="AK47" s="145"/>
      <c r="AL47" s="145"/>
      <c r="AM47" s="145"/>
      <c r="AN47" s="145"/>
      <c r="AO47" s="145"/>
      <c r="AP47" s="145"/>
      <c r="AQ47" s="145"/>
      <c r="AR47" s="145"/>
      <c r="AS47" s="145"/>
      <c r="AT47" s="145"/>
      <c r="AU47" s="145"/>
      <c r="AV47" s="145"/>
      <c r="AW47" s="145"/>
      <c r="AX47" s="145"/>
      <c r="AY47" s="145"/>
      <c r="AZ47" s="145"/>
      <c r="BA47" s="145"/>
      <c r="BB47" s="145"/>
      <c r="BC47" s="145"/>
      <c r="BD47" s="145"/>
      <c r="BE47" s="145"/>
      <c r="BF47" s="145"/>
      <c r="BG47" s="145"/>
      <c r="BH47" s="145"/>
      <c r="BI47" s="145"/>
      <c r="BJ47" s="145"/>
      <c r="BK47" s="145"/>
      <c r="BL47" s="145"/>
    </row>
    <row r="48" spans="2:64" x14ac:dyDescent="0.25">
      <c r="B48" s="174" t="s">
        <v>204</v>
      </c>
      <c r="C48" s="176"/>
      <c r="D48" s="176"/>
      <c r="E48" s="176"/>
      <c r="F48" s="176"/>
      <c r="G48" s="176"/>
      <c r="H48" s="177"/>
      <c r="I48" s="177"/>
      <c r="J48" s="177"/>
      <c r="K48" s="177"/>
      <c r="L48" s="177"/>
      <c r="M48" s="177"/>
      <c r="N48" s="177"/>
      <c r="O48" s="177"/>
      <c r="P48" s="177"/>
      <c r="Q48" s="177"/>
      <c r="S48" s="195"/>
      <c r="T48" s="145"/>
      <c r="U48" s="145"/>
      <c r="V48" s="145"/>
      <c r="W48" s="145"/>
      <c r="X48" s="145"/>
      <c r="Y48" s="145"/>
      <c r="Z48" s="145"/>
      <c r="AA48" s="145"/>
      <c r="AB48" s="145"/>
      <c r="AC48" s="145"/>
      <c r="AD48" s="145"/>
      <c r="AE48" s="145"/>
      <c r="AF48" s="145"/>
      <c r="AG48" s="145"/>
      <c r="AH48" s="145"/>
      <c r="AI48" s="145"/>
      <c r="AJ48" s="145"/>
      <c r="AK48" s="145"/>
      <c r="AL48" s="145"/>
      <c r="AM48" s="145"/>
      <c r="AN48" s="145"/>
      <c r="AO48" s="145"/>
      <c r="AP48" s="145"/>
      <c r="AQ48" s="145"/>
      <c r="AR48" s="145"/>
      <c r="AS48" s="145"/>
      <c r="AT48" s="145"/>
      <c r="AU48" s="145"/>
      <c r="AV48" s="145"/>
      <c r="AW48" s="145"/>
      <c r="AX48" s="145"/>
      <c r="AY48" s="145"/>
      <c r="AZ48" s="145"/>
      <c r="BA48" s="145"/>
      <c r="BB48" s="145"/>
      <c r="BC48" s="145"/>
      <c r="BD48" s="145"/>
      <c r="BE48" s="145"/>
      <c r="BF48" s="145"/>
      <c r="BG48" s="145"/>
      <c r="BH48" s="145"/>
      <c r="BI48" s="145"/>
      <c r="BJ48" s="145"/>
      <c r="BK48" s="145"/>
      <c r="BL48" s="145"/>
    </row>
    <row r="49" spans="2:64" ht="86.25" x14ac:dyDescent="0.25">
      <c r="B49" s="213" t="s">
        <v>205</v>
      </c>
      <c r="C49" s="184">
        <f>Balance_Sheet!C45/Balance_Sheet!C54</f>
        <v>4.2858960711069951</v>
      </c>
      <c r="D49" s="184">
        <f>Balance_Sheet!D45/Balance_Sheet!D54</f>
        <v>4.6073918710228581</v>
      </c>
      <c r="E49" s="184">
        <f>Balance_Sheet!E45/Balance_Sheet!E54</f>
        <v>5.0756656453430447</v>
      </c>
      <c r="F49" s="184">
        <f>Balance_Sheet!F45/Balance_Sheet!F54</f>
        <v>5.0680477537194157</v>
      </c>
      <c r="G49" s="184">
        <f>Balance_Sheet!G45/Balance_Sheet!G54</f>
        <v>5.7268563699629018</v>
      </c>
      <c r="H49" s="185">
        <f>Balance_Sheet!H45/Balance_Sheet!H54</f>
        <v>6.5372116392817254</v>
      </c>
      <c r="I49" s="185">
        <f>Balance_Sheet!I45/Balance_Sheet!I54</f>
        <v>6.9988466071932844</v>
      </c>
      <c r="J49" s="185">
        <f>Balance_Sheet!J45/Balance_Sheet!J54</f>
        <v>7.3968890928928133</v>
      </c>
      <c r="K49" s="185">
        <f>Balance_Sheet!K45/Balance_Sheet!K54</f>
        <v>7.7269952714114618</v>
      </c>
      <c r="L49" s="185">
        <f>Balance_Sheet!L45/Balance_Sheet!L54</f>
        <v>7.9910580641883051</v>
      </c>
      <c r="M49" s="185">
        <f>Balance_Sheet!M45/Balance_Sheet!M54</f>
        <v>8.1953356374345958</v>
      </c>
      <c r="N49" s="185">
        <f>Balance_Sheet!N45/Balance_Sheet!N54</f>
        <v>8.3484363135458945</v>
      </c>
      <c r="O49" s="185">
        <f>Balance_Sheet!O45/Balance_Sheet!O54</f>
        <v>8.459652490135646</v>
      </c>
      <c r="P49" s="185">
        <f>Balance_Sheet!P45/Balance_Sheet!P54</f>
        <v>8.5378318701185734</v>
      </c>
      <c r="Q49" s="185">
        <f>Balance_Sheet!Q45/Balance_Sheet!Q54</f>
        <v>8.5907576646029682</v>
      </c>
      <c r="S49" s="195" t="s">
        <v>355</v>
      </c>
      <c r="T49" s="145"/>
      <c r="U49" s="145"/>
      <c r="V49" s="145"/>
      <c r="W49" s="145"/>
      <c r="X49" s="145"/>
      <c r="Y49" s="145"/>
      <c r="Z49" s="145"/>
      <c r="AA49" s="145"/>
      <c r="AB49" s="145"/>
      <c r="AC49" s="145"/>
      <c r="AD49" s="145"/>
      <c r="AE49" s="145"/>
      <c r="AF49" s="145"/>
      <c r="AG49" s="145"/>
      <c r="AH49" s="145"/>
      <c r="AI49" s="145"/>
      <c r="AJ49" s="145"/>
      <c r="AK49" s="145"/>
      <c r="AL49" s="145"/>
      <c r="AM49" s="145"/>
      <c r="AN49" s="145"/>
      <c r="AO49" s="145"/>
      <c r="AP49" s="145"/>
      <c r="AQ49" s="145"/>
      <c r="AR49" s="145"/>
      <c r="AS49" s="145"/>
      <c r="AT49" s="145"/>
      <c r="AU49" s="145"/>
      <c r="AV49" s="145"/>
      <c r="AW49" s="145"/>
      <c r="AX49" s="145"/>
      <c r="AY49" s="145"/>
      <c r="AZ49" s="145"/>
      <c r="BA49" s="145"/>
      <c r="BB49" s="145"/>
      <c r="BC49" s="145"/>
      <c r="BD49" s="145"/>
      <c r="BE49" s="145"/>
      <c r="BF49" s="145"/>
      <c r="BG49" s="145"/>
      <c r="BH49" s="145"/>
      <c r="BI49" s="145"/>
      <c r="BJ49" s="145"/>
      <c r="BK49" s="145"/>
      <c r="BL49" s="145"/>
    </row>
    <row r="50" spans="2:64" x14ac:dyDescent="0.25">
      <c r="B50" s="173"/>
      <c r="C50" s="176"/>
      <c r="D50" s="176"/>
      <c r="E50" s="176"/>
      <c r="F50" s="176"/>
      <c r="G50" s="176"/>
      <c r="H50" s="177"/>
      <c r="I50" s="177"/>
      <c r="J50" s="177"/>
      <c r="K50" s="177"/>
      <c r="L50" s="177"/>
      <c r="M50" s="177"/>
      <c r="N50" s="177"/>
      <c r="O50" s="177"/>
      <c r="P50" s="177"/>
      <c r="Q50" s="177"/>
      <c r="S50" s="195"/>
      <c r="T50" s="145"/>
      <c r="U50" s="145"/>
      <c r="V50" s="145"/>
      <c r="W50" s="145"/>
      <c r="X50" s="145"/>
      <c r="Y50" s="145"/>
      <c r="Z50" s="145"/>
      <c r="AA50" s="145"/>
      <c r="AB50" s="145"/>
      <c r="AC50" s="145"/>
      <c r="AD50" s="145"/>
      <c r="AE50" s="145"/>
      <c r="AF50" s="145"/>
      <c r="AG50" s="145"/>
      <c r="AH50" s="145"/>
      <c r="AI50" s="145"/>
      <c r="AJ50" s="145"/>
      <c r="AK50" s="145"/>
      <c r="AL50" s="145"/>
      <c r="AM50" s="145"/>
      <c r="AN50" s="145"/>
      <c r="AO50" s="145"/>
      <c r="AP50" s="145"/>
      <c r="AQ50" s="145"/>
      <c r="AR50" s="145"/>
      <c r="AS50" s="145"/>
      <c r="AT50" s="145"/>
      <c r="AU50" s="145"/>
      <c r="AV50" s="145"/>
      <c r="AW50" s="145"/>
      <c r="AX50" s="145"/>
      <c r="AY50" s="145"/>
      <c r="AZ50" s="145"/>
      <c r="BA50" s="145"/>
      <c r="BB50" s="145"/>
      <c r="BC50" s="145"/>
      <c r="BD50" s="145"/>
      <c r="BE50" s="145"/>
      <c r="BF50" s="145"/>
      <c r="BG50" s="145"/>
      <c r="BH50" s="145"/>
      <c r="BI50" s="145"/>
      <c r="BJ50" s="145"/>
      <c r="BK50" s="145"/>
      <c r="BL50" s="145"/>
    </row>
    <row r="51" spans="2:64" ht="72" x14ac:dyDescent="0.25">
      <c r="B51" s="213" t="s">
        <v>206</v>
      </c>
      <c r="C51" s="184">
        <f>(Balance_Sheet!C58+Balance_Sheet!C70)/Balance_Sheet!C54</f>
        <v>1.8156002378626537</v>
      </c>
      <c r="D51" s="184">
        <f>(Balance_Sheet!D58+Balance_Sheet!D70)/Balance_Sheet!D54</f>
        <v>1.9894592729702198</v>
      </c>
      <c r="E51" s="184">
        <f>(Balance_Sheet!E58+Balance_Sheet!E70)/Balance_Sheet!E54</f>
        <v>2.7868340054201552</v>
      </c>
      <c r="F51" s="184">
        <f>(Balance_Sheet!F58+Balance_Sheet!F70)/Balance_Sheet!F54</f>
        <v>2.8633377597756779</v>
      </c>
      <c r="G51" s="184">
        <f>(Balance_Sheet!G58+Balance_Sheet!G70)/Balance_Sheet!G54</f>
        <v>3.4334107235206641</v>
      </c>
      <c r="H51" s="185">
        <f>(Balance_Sheet!H58+Balance_Sheet!H70)/Balance_Sheet!H54</f>
        <v>3.6066540216490086</v>
      </c>
      <c r="I51" s="185">
        <f>(Balance_Sheet!I58+Balance_Sheet!I70)/Balance_Sheet!I54</f>
        <v>3.9159757539206637</v>
      </c>
      <c r="J51" s="185">
        <f>(Balance_Sheet!J58+Balance_Sheet!J70)/Balance_Sheet!J54</f>
        <v>4.1833050277856838</v>
      </c>
      <c r="K51" s="185">
        <f>(Balance_Sheet!K58+Balance_Sheet!K70)/Balance_Sheet!K54</f>
        <v>4.4055789055652381</v>
      </c>
      <c r="L51" s="185">
        <f>(Balance_Sheet!L58+Balance_Sheet!L70)/Balance_Sheet!L54</f>
        <v>4.5839076094472535</v>
      </c>
      <c r="M51" s="185">
        <f>(Balance_Sheet!M58+Balance_Sheet!M70)/Balance_Sheet!M54</f>
        <v>4.7223417667497314</v>
      </c>
      <c r="N51" s="185">
        <f>(Balance_Sheet!N58+Balance_Sheet!N70)/Balance_Sheet!N54</f>
        <v>4.8265340309333871</v>
      </c>
      <c r="O51" s="185">
        <f>(Balance_Sheet!O58+Balance_Sheet!O70)/Balance_Sheet!O54</f>
        <v>4.9026261027900677</v>
      </c>
      <c r="P51" s="185">
        <f>(Balance_Sheet!P58+Balance_Sheet!P70)/Balance_Sheet!P54</f>
        <v>4.9564901102117398</v>
      </c>
      <c r="Q51" s="185">
        <f>(Balance_Sheet!Q58+Balance_Sheet!Q70)/Balance_Sheet!Q54</f>
        <v>4.9933082282819008</v>
      </c>
      <c r="S51" s="195" t="s">
        <v>356</v>
      </c>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5"/>
      <c r="AS51" s="145"/>
      <c r="AT51" s="145"/>
      <c r="AU51" s="145"/>
      <c r="AV51" s="145"/>
      <c r="AW51" s="145"/>
      <c r="AX51" s="145"/>
      <c r="AY51" s="145"/>
      <c r="AZ51" s="145"/>
      <c r="BA51" s="145"/>
      <c r="BB51" s="145"/>
      <c r="BC51" s="145"/>
      <c r="BD51" s="145"/>
      <c r="BE51" s="145"/>
      <c r="BF51" s="145"/>
      <c r="BG51" s="145"/>
      <c r="BH51" s="145"/>
      <c r="BI51" s="145"/>
      <c r="BJ51" s="145"/>
      <c r="BK51" s="145"/>
      <c r="BL51" s="145"/>
    </row>
    <row r="52" spans="2:64" x14ac:dyDescent="0.25">
      <c r="B52" s="173"/>
      <c r="C52" s="176"/>
      <c r="D52" s="176"/>
      <c r="E52" s="176"/>
      <c r="F52" s="176"/>
      <c r="G52" s="176"/>
      <c r="H52" s="177"/>
      <c r="I52" s="177"/>
      <c r="J52" s="177"/>
      <c r="K52" s="177"/>
      <c r="L52" s="177"/>
      <c r="M52" s="177"/>
      <c r="N52" s="177"/>
      <c r="O52" s="177"/>
      <c r="P52" s="177"/>
      <c r="Q52" s="177"/>
      <c r="S52" s="195"/>
      <c r="T52" s="145"/>
      <c r="U52" s="145"/>
      <c r="V52" s="145"/>
      <c r="W52" s="145"/>
      <c r="X52" s="145"/>
      <c r="Y52" s="145"/>
      <c r="Z52" s="145"/>
      <c r="AA52" s="145"/>
      <c r="AB52" s="145"/>
      <c r="AC52" s="145"/>
      <c r="AD52" s="145"/>
      <c r="AE52" s="145"/>
      <c r="AF52" s="145"/>
      <c r="AG52" s="145"/>
      <c r="AH52" s="145"/>
      <c r="AI52" s="145"/>
      <c r="AJ52" s="145"/>
      <c r="AK52" s="145"/>
      <c r="AL52" s="145"/>
      <c r="AM52" s="145"/>
      <c r="AN52" s="145"/>
      <c r="AO52" s="145"/>
      <c r="AP52" s="145"/>
      <c r="AQ52" s="145"/>
      <c r="AR52" s="145"/>
      <c r="AS52" s="145"/>
      <c r="AT52" s="145"/>
      <c r="AU52" s="145"/>
      <c r="AV52" s="145"/>
      <c r="AW52" s="145"/>
      <c r="AX52" s="145"/>
      <c r="AY52" s="145"/>
      <c r="AZ52" s="145"/>
      <c r="BA52" s="145"/>
      <c r="BB52" s="145"/>
      <c r="BC52" s="145"/>
      <c r="BD52" s="145"/>
      <c r="BE52" s="145"/>
      <c r="BF52" s="145"/>
      <c r="BG52" s="145"/>
      <c r="BH52" s="145"/>
      <c r="BI52" s="145"/>
      <c r="BJ52" s="145"/>
      <c r="BK52" s="145"/>
      <c r="BL52" s="145"/>
    </row>
    <row r="53" spans="2:64" x14ac:dyDescent="0.25">
      <c r="B53" s="174" t="s">
        <v>207</v>
      </c>
      <c r="C53" s="176"/>
      <c r="D53" s="176"/>
      <c r="E53" s="176"/>
      <c r="F53" s="176"/>
      <c r="G53" s="176"/>
      <c r="H53" s="177"/>
      <c r="I53" s="177"/>
      <c r="J53" s="177"/>
      <c r="K53" s="177"/>
      <c r="L53" s="177"/>
      <c r="M53" s="177"/>
      <c r="N53" s="177"/>
      <c r="O53" s="177"/>
      <c r="P53" s="177"/>
      <c r="Q53" s="177"/>
      <c r="S53" s="195"/>
      <c r="T53" s="145"/>
      <c r="U53" s="145"/>
      <c r="V53" s="145"/>
      <c r="W53" s="145"/>
      <c r="X53" s="145"/>
      <c r="Y53" s="145"/>
      <c r="Z53" s="145"/>
      <c r="AA53" s="145"/>
      <c r="AB53" s="145"/>
      <c r="AC53" s="145"/>
      <c r="AD53" s="145"/>
      <c r="AE53" s="145"/>
      <c r="AF53" s="145"/>
      <c r="AG53" s="145"/>
      <c r="AH53" s="145"/>
      <c r="AI53" s="145"/>
      <c r="AJ53" s="145"/>
      <c r="AK53" s="145"/>
      <c r="AL53" s="145"/>
      <c r="AM53" s="145"/>
      <c r="AN53" s="145"/>
      <c r="AO53" s="145"/>
      <c r="AP53" s="145"/>
      <c r="AQ53" s="145"/>
      <c r="AR53" s="145"/>
      <c r="AS53" s="145"/>
      <c r="AT53" s="145"/>
      <c r="AU53" s="145"/>
      <c r="AV53" s="145"/>
      <c r="AW53" s="145"/>
      <c r="AX53" s="145"/>
      <c r="AY53" s="145"/>
      <c r="AZ53" s="145"/>
      <c r="BA53" s="145"/>
      <c r="BB53" s="145"/>
      <c r="BC53" s="145"/>
      <c r="BD53" s="145"/>
      <c r="BE53" s="145"/>
      <c r="BF53" s="145"/>
      <c r="BG53" s="145"/>
      <c r="BH53" s="145"/>
      <c r="BI53" s="145"/>
      <c r="BJ53" s="145"/>
      <c r="BK53" s="145"/>
      <c r="BL53" s="145"/>
    </row>
    <row r="54" spans="2:64" ht="57.75" x14ac:dyDescent="0.25">
      <c r="B54" s="173" t="s">
        <v>208</v>
      </c>
      <c r="C54" s="176"/>
      <c r="D54" s="184">
        <f>'Income Statement'!D11/AVERAGE(Balance_Sheet!C35:D35)</f>
        <v>10.603769676884838</v>
      </c>
      <c r="E54" s="184">
        <f>'Income Statement'!E11/AVERAGE(Balance_Sheet!D35:E35)</f>
        <v>14.941429384965833</v>
      </c>
      <c r="F54" s="184">
        <f>'Income Statement'!F11/AVERAGE(Balance_Sheet!E35:F35)</f>
        <v>21.156074059407949</v>
      </c>
      <c r="G54" s="184">
        <f>'Income Statement'!G11/AVERAGE(Balance_Sheet!F35:G35)</f>
        <v>12.851889585876872</v>
      </c>
      <c r="H54" s="185">
        <f>'Income Statement'!H11/AVERAGE(Balance_Sheet!G35:H35)</f>
        <v>10.477117827916901</v>
      </c>
      <c r="I54" s="185">
        <f>'Income Statement'!I11/AVERAGE(Balance_Sheet!H35:I35)</f>
        <v>10.399719379486308</v>
      </c>
      <c r="J54" s="185">
        <f>'Income Statement'!J11/AVERAGE(Balance_Sheet!I35:J35)</f>
        <v>9.2673163531811973</v>
      </c>
      <c r="K54" s="185">
        <f>'Income Statement'!K11/AVERAGE(Balance_Sheet!J35:K35)</f>
        <v>8.4393546685857714</v>
      </c>
      <c r="L54" s="185">
        <f>'Income Statement'!L11/AVERAGE(Balance_Sheet!K35:L35)</f>
        <v>7.8174562652784294</v>
      </c>
      <c r="M54" s="185">
        <f>'Income Statement'!M11/AVERAGE(Balance_Sheet!L35:M35)</f>
        <v>7.3405254675786962</v>
      </c>
      <c r="N54" s="185">
        <f>'Income Statement'!N11/AVERAGE(Balance_Sheet!M35:N35)</f>
        <v>6.9687991370256377</v>
      </c>
      <c r="O54" s="185">
        <f>'Income Statement'!O11/AVERAGE(Balance_Sheet!N35:O35)</f>
        <v>6.6753745756970329</v>
      </c>
      <c r="P54" s="185">
        <f>'Income Statement'!P11/AVERAGE(Balance_Sheet!O35:P35)</f>
        <v>6.4414467902938348</v>
      </c>
      <c r="Q54" s="185">
        <f>'Income Statement'!Q11/AVERAGE(Balance_Sheet!P35:Q35)</f>
        <v>6.2535014939700293</v>
      </c>
      <c r="S54" s="195" t="s">
        <v>337</v>
      </c>
      <c r="T54" s="145"/>
      <c r="U54" s="145"/>
      <c r="V54" s="145"/>
      <c r="W54" s="145"/>
      <c r="X54" s="145"/>
      <c r="Y54" s="145"/>
      <c r="Z54" s="145"/>
      <c r="AA54" s="145"/>
      <c r="AB54" s="145"/>
      <c r="AC54" s="145"/>
      <c r="AD54" s="145"/>
      <c r="AE54" s="145"/>
      <c r="AF54" s="145"/>
      <c r="AG54" s="145"/>
      <c r="AH54" s="145"/>
      <c r="AI54" s="145"/>
      <c r="AJ54" s="145"/>
      <c r="AK54" s="145"/>
      <c r="AL54" s="145"/>
      <c r="AM54" s="145"/>
      <c r="AN54" s="145"/>
      <c r="AO54" s="145"/>
      <c r="AP54" s="145"/>
      <c r="AQ54" s="145"/>
      <c r="AR54" s="145"/>
      <c r="AS54" s="145"/>
      <c r="AT54" s="145"/>
      <c r="AU54" s="145"/>
      <c r="AV54" s="145"/>
      <c r="AW54" s="145"/>
      <c r="AX54" s="145"/>
      <c r="AY54" s="145"/>
      <c r="AZ54" s="145"/>
      <c r="BA54" s="145"/>
      <c r="BB54" s="145"/>
      <c r="BC54" s="145"/>
      <c r="BD54" s="145"/>
      <c r="BE54" s="145"/>
      <c r="BF54" s="145"/>
      <c r="BG54" s="145"/>
      <c r="BH54" s="145"/>
      <c r="BI54" s="145"/>
      <c r="BJ54" s="145"/>
      <c r="BK54" s="145"/>
      <c r="BL54" s="145"/>
    </row>
    <row r="55" spans="2:64" x14ac:dyDescent="0.25">
      <c r="B55" s="173"/>
      <c r="C55" s="176"/>
      <c r="D55" s="176"/>
      <c r="E55" s="176"/>
      <c r="F55" s="176"/>
      <c r="G55" s="176"/>
      <c r="H55" s="177"/>
      <c r="I55" s="177"/>
      <c r="J55" s="177"/>
      <c r="K55" s="177"/>
      <c r="L55" s="177"/>
      <c r="M55" s="177"/>
      <c r="N55" s="177"/>
      <c r="O55" s="177"/>
      <c r="P55" s="177"/>
      <c r="Q55" s="177"/>
      <c r="S55" s="195"/>
      <c r="T55" s="145"/>
      <c r="U55" s="145"/>
      <c r="V55" s="145"/>
      <c r="W55" s="145"/>
      <c r="X55" s="145"/>
      <c r="Y55" s="145"/>
      <c r="Z55" s="145"/>
      <c r="AA55" s="145"/>
      <c r="AB55" s="145"/>
      <c r="AC55" s="145"/>
      <c r="AD55" s="145"/>
      <c r="AE55" s="145"/>
      <c r="AF55" s="145"/>
      <c r="AG55" s="145"/>
      <c r="AH55" s="145"/>
      <c r="AI55" s="145"/>
      <c r="AJ55" s="145"/>
      <c r="AK55" s="145"/>
      <c r="AL55" s="145"/>
      <c r="AM55" s="145"/>
      <c r="AN55" s="145"/>
      <c r="AO55" s="145"/>
      <c r="AP55" s="145"/>
      <c r="AQ55" s="145"/>
      <c r="AR55" s="145"/>
      <c r="AS55" s="145"/>
      <c r="AT55" s="145"/>
      <c r="AU55" s="145"/>
      <c r="AV55" s="145"/>
      <c r="AW55" s="145"/>
      <c r="AX55" s="145"/>
      <c r="AY55" s="145"/>
      <c r="AZ55" s="145"/>
      <c r="BA55" s="145"/>
      <c r="BB55" s="145"/>
      <c r="BC55" s="145"/>
      <c r="BD55" s="145"/>
      <c r="BE55" s="145"/>
      <c r="BF55" s="145"/>
      <c r="BG55" s="145"/>
      <c r="BH55" s="145"/>
      <c r="BI55" s="145"/>
      <c r="BJ55" s="145"/>
      <c r="BK55" s="145"/>
      <c r="BL55" s="145"/>
    </row>
    <row r="56" spans="2:64" ht="57.75" x14ac:dyDescent="0.25">
      <c r="B56" s="173" t="s">
        <v>209</v>
      </c>
      <c r="C56" s="184">
        <f>Working_Capital!C18</f>
        <v>24.877758781154803</v>
      </c>
      <c r="D56" s="184">
        <f>Working_Capital!D18</f>
        <v>56.678651286875251</v>
      </c>
      <c r="E56" s="184">
        <f>Working_Capital!E18</f>
        <v>45.612705648288781</v>
      </c>
      <c r="F56" s="184">
        <f>Working_Capital!F18</f>
        <v>36.676050930347515</v>
      </c>
      <c r="G56" s="184">
        <f>Working_Capital!G18</f>
        <v>31.072392742272221</v>
      </c>
      <c r="H56" s="185">
        <f>Working_Capital!H18</f>
        <v>34.559727025515834</v>
      </c>
      <c r="I56" s="185">
        <f>Working_Capital!I18</f>
        <v>34.559727025515834</v>
      </c>
      <c r="J56" s="185">
        <f>Working_Capital!J18</f>
        <v>34.559727025515834</v>
      </c>
      <c r="K56" s="185">
        <f>Working_Capital!K18</f>
        <v>34.559727025515834</v>
      </c>
      <c r="L56" s="185">
        <f>Working_Capital!L18</f>
        <v>34.559727025515834</v>
      </c>
      <c r="M56" s="185">
        <f>Working_Capital!M18</f>
        <v>34.559727025515834</v>
      </c>
      <c r="N56" s="185">
        <f>Working_Capital!N18</f>
        <v>34.559727025515834</v>
      </c>
      <c r="O56" s="185">
        <f>Working_Capital!O18</f>
        <v>34.559727025515834</v>
      </c>
      <c r="P56" s="185">
        <f>Working_Capital!P18</f>
        <v>34.559727025515834</v>
      </c>
      <c r="Q56" s="185">
        <f>Working_Capital!Q18</f>
        <v>34.559727025515834</v>
      </c>
      <c r="R56" s="3"/>
      <c r="S56" s="195" t="s">
        <v>338</v>
      </c>
      <c r="T56" s="145"/>
      <c r="U56" s="145"/>
      <c r="V56" s="145"/>
      <c r="W56" s="145"/>
      <c r="X56" s="145"/>
      <c r="Y56" s="145"/>
      <c r="Z56" s="145"/>
      <c r="AA56" s="145"/>
      <c r="AB56" s="145"/>
      <c r="AC56" s="145"/>
      <c r="AD56" s="145"/>
      <c r="AE56" s="145"/>
      <c r="AF56" s="145"/>
      <c r="AG56" s="145"/>
      <c r="AH56" s="145"/>
      <c r="AI56" s="145"/>
      <c r="AJ56" s="145"/>
      <c r="AK56" s="145"/>
      <c r="AL56" s="145"/>
      <c r="AM56" s="145"/>
      <c r="AN56" s="145"/>
      <c r="AO56" s="145"/>
      <c r="AP56" s="145"/>
      <c r="AQ56" s="145"/>
      <c r="AR56" s="145"/>
      <c r="AS56" s="145"/>
      <c r="AT56" s="145"/>
      <c r="AU56" s="145"/>
      <c r="AV56" s="145"/>
      <c r="AW56" s="145"/>
      <c r="AX56" s="145"/>
      <c r="AY56" s="145"/>
      <c r="AZ56" s="145"/>
      <c r="BA56" s="145"/>
      <c r="BB56" s="145"/>
      <c r="BC56" s="145"/>
      <c r="BD56" s="145"/>
      <c r="BE56" s="145"/>
      <c r="BF56" s="145"/>
      <c r="BG56" s="145"/>
      <c r="BH56" s="145"/>
      <c r="BI56" s="145"/>
      <c r="BJ56" s="145"/>
      <c r="BK56" s="145"/>
      <c r="BL56" s="145"/>
    </row>
    <row r="57" spans="2:64" x14ac:dyDescent="0.25">
      <c r="B57" s="173"/>
      <c r="C57" s="176"/>
      <c r="D57" s="176"/>
      <c r="E57" s="176"/>
      <c r="F57" s="176"/>
      <c r="G57" s="176"/>
      <c r="H57" s="177"/>
      <c r="I57" s="177"/>
      <c r="J57" s="177"/>
      <c r="K57" s="177"/>
      <c r="L57" s="177"/>
      <c r="M57" s="177"/>
      <c r="N57" s="177"/>
      <c r="O57" s="177"/>
      <c r="P57" s="177"/>
      <c r="Q57" s="177"/>
      <c r="S57" s="195"/>
      <c r="T57" s="145"/>
      <c r="U57" s="145"/>
      <c r="V57" s="145"/>
      <c r="W57" s="145"/>
      <c r="X57" s="145"/>
      <c r="Y57" s="145"/>
      <c r="Z57" s="145"/>
      <c r="AA57" s="145"/>
      <c r="AB57" s="145"/>
      <c r="AC57" s="145"/>
      <c r="AD57" s="145"/>
      <c r="AE57" s="145"/>
      <c r="AF57" s="145"/>
      <c r="AG57" s="145"/>
      <c r="AH57" s="145"/>
      <c r="AI57" s="145"/>
      <c r="AJ57" s="145"/>
      <c r="AK57" s="145"/>
      <c r="AL57" s="145"/>
      <c r="AM57" s="145"/>
      <c r="AN57" s="145"/>
      <c r="AO57" s="145"/>
      <c r="AP57" s="145"/>
      <c r="AQ57" s="145"/>
      <c r="AR57" s="145"/>
      <c r="AS57" s="145"/>
      <c r="AT57" s="145"/>
      <c r="AU57" s="145"/>
      <c r="AV57" s="145"/>
      <c r="AW57" s="145"/>
      <c r="AX57" s="145"/>
      <c r="AY57" s="145"/>
      <c r="AZ57" s="145"/>
      <c r="BA57" s="145"/>
      <c r="BB57" s="145"/>
      <c r="BC57" s="145"/>
      <c r="BD57" s="145"/>
      <c r="BE57" s="145"/>
      <c r="BF57" s="145"/>
      <c r="BG57" s="145"/>
      <c r="BH57" s="145"/>
      <c r="BI57" s="145"/>
      <c r="BJ57" s="145"/>
      <c r="BK57" s="145"/>
      <c r="BL57" s="145"/>
    </row>
    <row r="58" spans="2:64" ht="57.75" x14ac:dyDescent="0.25">
      <c r="B58" s="213" t="s">
        <v>210</v>
      </c>
      <c r="C58" s="176"/>
      <c r="D58" s="184">
        <f>Cost_Buildup!D22/AVERAGE(Balance_Sheet!C31:D31)</f>
        <v>5.9755272503620827</v>
      </c>
      <c r="E58" s="184">
        <f>Cost_Buildup!E22/AVERAGE(Balance_Sheet!D31:E31)</f>
        <v>6.9943848780875228</v>
      </c>
      <c r="F58" s="184">
        <f>Cost_Buildup!F22/AVERAGE(Balance_Sheet!E31:F31)</f>
        <v>9.6368488107300134</v>
      </c>
      <c r="G58" s="184">
        <f>Cost_Buildup!G22/AVERAGE(Balance_Sheet!F31:G31)</f>
        <v>7.8484890795925049</v>
      </c>
      <c r="H58" s="185">
        <f>Cost_Buildup!H22/AVERAGE(Balance_Sheet!G31:H31)</f>
        <v>8.3838628649474973</v>
      </c>
      <c r="I58" s="185">
        <f>Cost_Buildup!I22/AVERAGE(Balance_Sheet!H31:I31)</f>
        <v>8.5784899474342371</v>
      </c>
      <c r="J58" s="185">
        <f>Cost_Buildup!J22/AVERAGE(Balance_Sheet!I31:J31)</f>
        <v>8.5812763542471462</v>
      </c>
      <c r="K58" s="185">
        <f>Cost_Buildup!K22/AVERAGE(Balance_Sheet!J31:K31)</f>
        <v>8.5838333359027974</v>
      </c>
      <c r="L58" s="185">
        <f>Cost_Buildup!L22/AVERAGE(Balance_Sheet!K31:L31)</f>
        <v>8.5861766630226981</v>
      </c>
      <c r="M58" s="185">
        <f>Cost_Buildup!M22/AVERAGE(Balance_Sheet!L31:M31)</f>
        <v>8.5883215711320453</v>
      </c>
      <c r="N58" s="185">
        <f>Cost_Buildup!N22/AVERAGE(Balance_Sheet!M31:N31)</f>
        <v>8.5902826711441911</v>
      </c>
      <c r="O58" s="185">
        <f>Cost_Buildup!O22/AVERAGE(Balance_Sheet!N31:O31)</f>
        <v>8.5920738856159673</v>
      </c>
      <c r="P58" s="185">
        <f>Cost_Buildup!P22/AVERAGE(Balance_Sheet!O31:P31)</f>
        <v>8.5937084070050762</v>
      </c>
      <c r="Q58" s="185">
        <f>Cost_Buildup!Q22/AVERAGE(Balance_Sheet!P31:Q31)</f>
        <v>8.5951986743912325</v>
      </c>
      <c r="S58" s="195" t="s">
        <v>339</v>
      </c>
      <c r="T58" s="145"/>
      <c r="U58" s="145"/>
      <c r="V58" s="145"/>
      <c r="W58" s="145"/>
      <c r="X58" s="145"/>
      <c r="Y58" s="145"/>
      <c r="Z58" s="145"/>
      <c r="AA58" s="145"/>
      <c r="AB58" s="145"/>
      <c r="AC58" s="145"/>
      <c r="AD58" s="145"/>
      <c r="AE58" s="145"/>
      <c r="AF58" s="145"/>
      <c r="AG58" s="145"/>
      <c r="AH58" s="145"/>
      <c r="AI58" s="145"/>
      <c r="AJ58" s="145"/>
      <c r="AK58" s="145"/>
      <c r="AL58" s="145"/>
      <c r="AM58" s="145"/>
      <c r="AN58" s="145"/>
      <c r="AO58" s="145"/>
      <c r="AP58" s="145"/>
      <c r="AQ58" s="145"/>
      <c r="AR58" s="145"/>
      <c r="AS58" s="145"/>
      <c r="AT58" s="145"/>
      <c r="AU58" s="145"/>
      <c r="AV58" s="145"/>
      <c r="AW58" s="145"/>
      <c r="AX58" s="145"/>
      <c r="AY58" s="145"/>
      <c r="AZ58" s="145"/>
      <c r="BA58" s="145"/>
      <c r="BB58" s="145"/>
      <c r="BC58" s="145"/>
      <c r="BD58" s="145"/>
      <c r="BE58" s="145"/>
      <c r="BF58" s="145"/>
      <c r="BG58" s="145"/>
      <c r="BH58" s="145"/>
      <c r="BI58" s="145"/>
      <c r="BJ58" s="145"/>
      <c r="BK58" s="145"/>
      <c r="BL58" s="145"/>
    </row>
    <row r="59" spans="2:64" x14ac:dyDescent="0.25">
      <c r="B59" s="173"/>
      <c r="C59" s="176"/>
      <c r="D59" s="176"/>
      <c r="E59" s="176"/>
      <c r="F59" s="176"/>
      <c r="G59" s="176"/>
      <c r="H59" s="177"/>
      <c r="I59" s="177"/>
      <c r="J59" s="177"/>
      <c r="K59" s="177"/>
      <c r="L59" s="177"/>
      <c r="M59" s="177"/>
      <c r="N59" s="177"/>
      <c r="O59" s="177"/>
      <c r="P59" s="177"/>
      <c r="Q59" s="177"/>
      <c r="S59" s="195"/>
      <c r="T59" s="145"/>
      <c r="U59" s="145"/>
      <c r="V59" s="145"/>
      <c r="W59" s="145"/>
      <c r="X59" s="145"/>
      <c r="Y59" s="145"/>
      <c r="Z59" s="145"/>
      <c r="AA59" s="145"/>
      <c r="AB59" s="145"/>
      <c r="AC59" s="145"/>
      <c r="AD59" s="145"/>
      <c r="AE59" s="145"/>
      <c r="AF59" s="145"/>
      <c r="AG59" s="145"/>
      <c r="AH59" s="145"/>
      <c r="AI59" s="145"/>
      <c r="AJ59" s="145"/>
      <c r="AK59" s="145"/>
      <c r="AL59" s="145"/>
      <c r="AM59" s="145"/>
      <c r="AN59" s="145"/>
      <c r="AO59" s="145"/>
      <c r="AP59" s="145"/>
      <c r="AQ59" s="145"/>
      <c r="AR59" s="145"/>
      <c r="AS59" s="145"/>
      <c r="AT59" s="145"/>
      <c r="AU59" s="145"/>
      <c r="AV59" s="145"/>
      <c r="AW59" s="145"/>
      <c r="AX59" s="145"/>
      <c r="AY59" s="145"/>
      <c r="AZ59" s="145"/>
      <c r="BA59" s="145"/>
      <c r="BB59" s="145"/>
      <c r="BC59" s="145"/>
      <c r="BD59" s="145"/>
      <c r="BE59" s="145"/>
      <c r="BF59" s="145"/>
      <c r="BG59" s="145"/>
      <c r="BH59" s="145"/>
      <c r="BI59" s="145"/>
      <c r="BJ59" s="145"/>
      <c r="BK59" s="145"/>
      <c r="BL59" s="145"/>
    </row>
    <row r="60" spans="2:64" ht="57.75" x14ac:dyDescent="0.25">
      <c r="B60" s="173" t="s">
        <v>211</v>
      </c>
      <c r="C60" s="184">
        <f>Working_Capital!C19</f>
        <v>42.019010304272776</v>
      </c>
      <c r="D60" s="184">
        <f>Working_Capital!D19</f>
        <v>75.616876864513273</v>
      </c>
      <c r="E60" s="184">
        <f>Working_Capital!E19</f>
        <v>52.647877224318506</v>
      </c>
      <c r="F60" s="184">
        <f>Working_Capital!F19</f>
        <v>43.574076387370788</v>
      </c>
      <c r="G60" s="184">
        <f>Working_Capital!G19</f>
        <v>50.049561230948186</v>
      </c>
      <c r="H60" s="185">
        <f>Working_Capital!H19</f>
        <v>47.072631286727557</v>
      </c>
      <c r="I60" s="185">
        <f>Working_Capital!I19</f>
        <v>47.072631286727557</v>
      </c>
      <c r="J60" s="185">
        <f>Working_Capital!J19</f>
        <v>47.072631286727557</v>
      </c>
      <c r="K60" s="185">
        <f>Working_Capital!K19</f>
        <v>47.072631286727557</v>
      </c>
      <c r="L60" s="185">
        <f>Working_Capital!L19</f>
        <v>47.072631286727557</v>
      </c>
      <c r="M60" s="185">
        <f>Working_Capital!M19</f>
        <v>47.072631286727557</v>
      </c>
      <c r="N60" s="185">
        <f>Working_Capital!N19</f>
        <v>47.072631286727557</v>
      </c>
      <c r="O60" s="185">
        <f>Working_Capital!O19</f>
        <v>47.072631286727557</v>
      </c>
      <c r="P60" s="185">
        <f>Working_Capital!P19</f>
        <v>47.072631286727557</v>
      </c>
      <c r="Q60" s="185">
        <f>Working_Capital!Q19</f>
        <v>47.072631286727557</v>
      </c>
      <c r="R60" s="3"/>
      <c r="S60" s="195" t="s">
        <v>340</v>
      </c>
      <c r="T60" s="145"/>
      <c r="U60" s="145"/>
      <c r="V60" s="145"/>
      <c r="W60" s="145"/>
      <c r="X60" s="145"/>
      <c r="Y60" s="145"/>
      <c r="Z60" s="145"/>
      <c r="AA60" s="145"/>
      <c r="AB60" s="145"/>
      <c r="AC60" s="145"/>
      <c r="AD60" s="145"/>
      <c r="AE60" s="145"/>
      <c r="AF60" s="145"/>
      <c r="AG60" s="145"/>
      <c r="AH60" s="145"/>
      <c r="AI60" s="145"/>
      <c r="AJ60" s="145"/>
      <c r="AK60" s="145"/>
      <c r="AL60" s="145"/>
      <c r="AM60" s="145"/>
      <c r="AN60" s="145"/>
      <c r="AO60" s="145"/>
      <c r="AP60" s="145"/>
      <c r="AQ60" s="145"/>
      <c r="AR60" s="145"/>
      <c r="AS60" s="145"/>
      <c r="AT60" s="145"/>
      <c r="AU60" s="145"/>
      <c r="AV60" s="145"/>
      <c r="AW60" s="145"/>
      <c r="AX60" s="145"/>
      <c r="AY60" s="145"/>
      <c r="AZ60" s="145"/>
      <c r="BA60" s="145"/>
      <c r="BB60" s="145"/>
      <c r="BC60" s="145"/>
      <c r="BD60" s="145"/>
      <c r="BE60" s="145"/>
      <c r="BF60" s="145"/>
      <c r="BG60" s="145"/>
      <c r="BH60" s="145"/>
      <c r="BI60" s="145"/>
      <c r="BJ60" s="145"/>
      <c r="BK60" s="145"/>
      <c r="BL60" s="145"/>
    </row>
    <row r="61" spans="2:64" x14ac:dyDescent="0.25">
      <c r="B61" s="173"/>
      <c r="C61" s="176"/>
      <c r="D61" s="176"/>
      <c r="E61" s="176"/>
      <c r="F61" s="176"/>
      <c r="G61" s="176"/>
      <c r="H61" s="177"/>
      <c r="I61" s="177"/>
      <c r="J61" s="177"/>
      <c r="K61" s="177"/>
      <c r="L61" s="177"/>
      <c r="M61" s="177"/>
      <c r="N61" s="177"/>
      <c r="O61" s="177"/>
      <c r="P61" s="177"/>
      <c r="Q61" s="177"/>
      <c r="S61" s="195"/>
      <c r="T61" s="145"/>
      <c r="U61" s="145"/>
      <c r="V61" s="145"/>
      <c r="W61" s="145"/>
      <c r="X61" s="145"/>
      <c r="Y61" s="145"/>
      <c r="Z61" s="145"/>
      <c r="AA61" s="145"/>
      <c r="AB61" s="145"/>
      <c r="AC61" s="145"/>
      <c r="AD61" s="145"/>
      <c r="AE61" s="145"/>
      <c r="AF61" s="145"/>
      <c r="AG61" s="145"/>
      <c r="AH61" s="145"/>
      <c r="AI61" s="145"/>
      <c r="AJ61" s="145"/>
      <c r="AK61" s="145"/>
      <c r="AL61" s="145"/>
      <c r="AM61" s="145"/>
      <c r="AN61" s="145"/>
      <c r="AO61" s="145"/>
      <c r="AP61" s="145"/>
      <c r="AQ61" s="145"/>
      <c r="AR61" s="145"/>
      <c r="AS61" s="145"/>
      <c r="AT61" s="145"/>
      <c r="AU61" s="145"/>
      <c r="AV61" s="145"/>
      <c r="AW61" s="145"/>
      <c r="AX61" s="145"/>
      <c r="AY61" s="145"/>
      <c r="AZ61" s="145"/>
      <c r="BA61" s="145"/>
      <c r="BB61" s="145"/>
      <c r="BC61" s="145"/>
      <c r="BD61" s="145"/>
      <c r="BE61" s="145"/>
      <c r="BF61" s="145"/>
      <c r="BG61" s="145"/>
      <c r="BH61" s="145"/>
      <c r="BI61" s="145"/>
      <c r="BJ61" s="145"/>
      <c r="BK61" s="145"/>
      <c r="BL61" s="145"/>
    </row>
    <row r="62" spans="2:64" ht="57.75" x14ac:dyDescent="0.25">
      <c r="B62" s="173" t="s">
        <v>212</v>
      </c>
      <c r="C62" s="176"/>
      <c r="D62" s="184">
        <f>Cost_Buildup!D22/AVERAGE(Balance_Sheet!C71:D71)</f>
        <v>2.9452708343774412</v>
      </c>
      <c r="E62" s="184">
        <f>Cost_Buildup!E22/AVERAGE(Balance_Sheet!D71:E71)</f>
        <v>2.7966122955127521</v>
      </c>
      <c r="F62" s="184">
        <f>Cost_Buildup!F22/AVERAGE(Balance_Sheet!E71:F71)</f>
        <v>3.8861013310607357</v>
      </c>
      <c r="G62" s="184">
        <f>Cost_Buildup!G22/AVERAGE(Balance_Sheet!F71:G71)</f>
        <v>4.0653301242220907</v>
      </c>
      <c r="H62" s="185">
        <f>Cost_Buildup!H22/AVERAGE(Balance_Sheet!G71:H71)</f>
        <v>4.2937797598849432</v>
      </c>
      <c r="I62" s="185">
        <f>Cost_Buildup!I22/AVERAGE(Balance_Sheet!H71:I71)</f>
        <v>3.95235300505556</v>
      </c>
      <c r="J62" s="185">
        <f>Cost_Buildup!J22/AVERAGE(Balance_Sheet!I71:J71)</f>
        <v>3.9536367815019737</v>
      </c>
      <c r="K62" s="185">
        <f>Cost_Buildup!K22/AVERAGE(Balance_Sheet!J71:K71)</f>
        <v>3.9548148552879789</v>
      </c>
      <c r="L62" s="185">
        <f>Cost_Buildup!L22/AVERAGE(Balance_Sheet!K71:L71)</f>
        <v>3.9558944923850579</v>
      </c>
      <c r="M62" s="185">
        <f>Cost_Buildup!M22/AVERAGE(Balance_Sheet!L71:M71)</f>
        <v>3.9568827122306827</v>
      </c>
      <c r="N62" s="185">
        <f>Cost_Buildup!N22/AVERAGE(Balance_Sheet!M71:N71)</f>
        <v>3.9577862464859792</v>
      </c>
      <c r="O62" s="185">
        <f>Cost_Buildup!O22/AVERAGE(Balance_Sheet!N71:O71)</f>
        <v>3.9586115096667491</v>
      </c>
      <c r="P62" s="185">
        <f>Cost_Buildup!P22/AVERAGE(Balance_Sheet!O71:P71)</f>
        <v>3.9593645799114721</v>
      </c>
      <c r="Q62" s="185">
        <f>Cost_Buildup!Q22/AVERAGE(Balance_Sheet!P71:Q71)</f>
        <v>3.960051188256076</v>
      </c>
      <c r="R62" s="3"/>
      <c r="S62" s="195" t="s">
        <v>341</v>
      </c>
      <c r="T62" s="145"/>
      <c r="U62" s="145"/>
      <c r="V62" s="145"/>
      <c r="W62" s="145"/>
      <c r="X62" s="145"/>
      <c r="Y62" s="145"/>
      <c r="Z62" s="145"/>
      <c r="AA62" s="145"/>
      <c r="AB62" s="145"/>
      <c r="AC62" s="145"/>
      <c r="AD62" s="145"/>
      <c r="AE62" s="145"/>
      <c r="AF62" s="145"/>
      <c r="AG62" s="145"/>
      <c r="AH62" s="145"/>
      <c r="AI62" s="145"/>
      <c r="AJ62" s="145"/>
      <c r="AK62" s="145"/>
      <c r="AL62" s="145"/>
      <c r="AM62" s="145"/>
      <c r="AN62" s="145"/>
      <c r="AO62" s="145"/>
      <c r="AP62" s="145"/>
      <c r="AQ62" s="145"/>
      <c r="AR62" s="145"/>
      <c r="AS62" s="145"/>
      <c r="AT62" s="145"/>
      <c r="AU62" s="145"/>
      <c r="AV62" s="145"/>
      <c r="AW62" s="145"/>
      <c r="AX62" s="145"/>
      <c r="AY62" s="145"/>
      <c r="AZ62" s="145"/>
      <c r="BA62" s="145"/>
      <c r="BB62" s="145"/>
      <c r="BC62" s="145"/>
      <c r="BD62" s="145"/>
      <c r="BE62" s="145"/>
      <c r="BF62" s="145"/>
      <c r="BG62" s="145"/>
      <c r="BH62" s="145"/>
      <c r="BI62" s="145"/>
      <c r="BJ62" s="145"/>
      <c r="BK62" s="145"/>
      <c r="BL62" s="145"/>
    </row>
    <row r="63" spans="2:64" x14ac:dyDescent="0.25">
      <c r="B63" s="173"/>
      <c r="C63" s="176"/>
      <c r="D63" s="176"/>
      <c r="E63" s="176"/>
      <c r="F63" s="176"/>
      <c r="G63" s="176"/>
      <c r="H63" s="177"/>
      <c r="I63" s="177"/>
      <c r="J63" s="177"/>
      <c r="K63" s="177"/>
      <c r="L63" s="177"/>
      <c r="M63" s="177"/>
      <c r="N63" s="177"/>
      <c r="O63" s="177"/>
      <c r="P63" s="177"/>
      <c r="Q63" s="177"/>
      <c r="S63" s="195"/>
      <c r="T63" s="145"/>
      <c r="U63" s="145"/>
      <c r="V63" s="145"/>
      <c r="W63" s="145"/>
      <c r="X63" s="145"/>
      <c r="Y63" s="145"/>
      <c r="Z63" s="145"/>
      <c r="AA63" s="145"/>
      <c r="AB63" s="145"/>
      <c r="AC63" s="145"/>
      <c r="AD63" s="145"/>
      <c r="AE63" s="145"/>
      <c r="AF63" s="145"/>
      <c r="AG63" s="145"/>
      <c r="AH63" s="145"/>
      <c r="AI63" s="145"/>
      <c r="AJ63" s="145"/>
      <c r="AK63" s="145"/>
      <c r="AL63" s="145"/>
      <c r="AM63" s="145"/>
      <c r="AN63" s="145"/>
      <c r="AO63" s="145"/>
      <c r="AP63" s="145"/>
      <c r="AQ63" s="145"/>
      <c r="AR63" s="145"/>
      <c r="AS63" s="145"/>
      <c r="AT63" s="145"/>
      <c r="AU63" s="145"/>
      <c r="AV63" s="145"/>
      <c r="AW63" s="145"/>
      <c r="AX63" s="145"/>
      <c r="AY63" s="145"/>
      <c r="AZ63" s="145"/>
      <c r="BA63" s="145"/>
      <c r="BB63" s="145"/>
      <c r="BC63" s="145"/>
      <c r="BD63" s="145"/>
      <c r="BE63" s="145"/>
      <c r="BF63" s="145"/>
      <c r="BG63" s="145"/>
      <c r="BH63" s="145"/>
      <c r="BI63" s="145"/>
      <c r="BJ63" s="145"/>
      <c r="BK63" s="145"/>
      <c r="BL63" s="145"/>
    </row>
    <row r="64" spans="2:64" ht="57.75" x14ac:dyDescent="0.25">
      <c r="B64" s="173" t="s">
        <v>213</v>
      </c>
      <c r="C64" s="184">
        <f>Working_Capital!C20</f>
        <v>77.523992351220471</v>
      </c>
      <c r="D64" s="184">
        <f>Working_Capital!D20</f>
        <v>161.97496468111737</v>
      </c>
      <c r="E64" s="184">
        <f>Working_Capital!E20</f>
        <v>150.24005493588353</v>
      </c>
      <c r="F64" s="184">
        <f>Working_Capital!F20</f>
        <v>96.026654383061114</v>
      </c>
      <c r="G64" s="184">
        <f>Working_Capital!G20</f>
        <v>84.889488359362971</v>
      </c>
      <c r="H64" s="185">
        <f>Working_Capital!H20</f>
        <v>102.17004750738202</v>
      </c>
      <c r="I64" s="185">
        <f>Working_Capital!I20</f>
        <v>102.17004750738202</v>
      </c>
      <c r="J64" s="185">
        <f>Working_Capital!J20</f>
        <v>102.17004750738202</v>
      </c>
      <c r="K64" s="185">
        <f>Working_Capital!K20</f>
        <v>102.17004750738202</v>
      </c>
      <c r="L64" s="185">
        <f>Working_Capital!L20</f>
        <v>102.17004750738202</v>
      </c>
      <c r="M64" s="185">
        <f>Working_Capital!M20</f>
        <v>102.17004750738202</v>
      </c>
      <c r="N64" s="185">
        <f>Working_Capital!N20</f>
        <v>102.17004750738202</v>
      </c>
      <c r="O64" s="185">
        <f>Working_Capital!O20</f>
        <v>102.17004750738202</v>
      </c>
      <c r="P64" s="185">
        <f>Working_Capital!P20</f>
        <v>102.17004750738202</v>
      </c>
      <c r="Q64" s="185">
        <f>Working_Capital!Q20</f>
        <v>102.17004750738202</v>
      </c>
      <c r="R64" s="3"/>
      <c r="S64" s="195" t="s">
        <v>346</v>
      </c>
      <c r="T64" s="145"/>
      <c r="U64" s="145"/>
      <c r="V64" s="145"/>
      <c r="W64" s="145"/>
      <c r="X64" s="145"/>
      <c r="Y64" s="145"/>
      <c r="Z64" s="145"/>
      <c r="AA64" s="145"/>
      <c r="AB64" s="145"/>
      <c r="AC64" s="145"/>
      <c r="AD64" s="145"/>
      <c r="AE64" s="145"/>
      <c r="AF64" s="145"/>
      <c r="AG64" s="145"/>
      <c r="AH64" s="145"/>
      <c r="AI64" s="145"/>
      <c r="AJ64" s="145"/>
      <c r="AK64" s="145"/>
      <c r="AL64" s="145"/>
      <c r="AM64" s="145"/>
      <c r="AN64" s="145"/>
      <c r="AO64" s="145"/>
      <c r="AP64" s="145"/>
      <c r="AQ64" s="145"/>
      <c r="AR64" s="145"/>
      <c r="AS64" s="145"/>
      <c r="AT64" s="145"/>
      <c r="AU64" s="145"/>
      <c r="AV64" s="145"/>
      <c r="AW64" s="145"/>
      <c r="AX64" s="145"/>
      <c r="AY64" s="145"/>
      <c r="AZ64" s="145"/>
      <c r="BA64" s="145"/>
      <c r="BB64" s="145"/>
      <c r="BC64" s="145"/>
      <c r="BD64" s="145"/>
      <c r="BE64" s="145"/>
      <c r="BF64" s="145"/>
      <c r="BG64" s="145"/>
      <c r="BH64" s="145"/>
      <c r="BI64" s="145"/>
      <c r="BJ64" s="145"/>
      <c r="BK64" s="145"/>
      <c r="BL64" s="145"/>
    </row>
    <row r="65" spans="2:64" x14ac:dyDescent="0.25">
      <c r="B65" s="173"/>
      <c r="C65" s="176"/>
      <c r="D65" s="176"/>
      <c r="E65" s="176"/>
      <c r="F65" s="176"/>
      <c r="G65" s="176"/>
      <c r="H65" s="177"/>
      <c r="I65" s="177"/>
      <c r="J65" s="177"/>
      <c r="K65" s="177"/>
      <c r="L65" s="177"/>
      <c r="M65" s="177"/>
      <c r="N65" s="177"/>
      <c r="O65" s="177"/>
      <c r="P65" s="177"/>
      <c r="Q65" s="177"/>
      <c r="R65" s="3"/>
      <c r="S65" s="195"/>
      <c r="T65" s="145"/>
      <c r="U65" s="145"/>
      <c r="V65" s="145"/>
      <c r="W65" s="145"/>
      <c r="X65" s="145"/>
      <c r="Y65" s="145"/>
      <c r="Z65" s="145"/>
      <c r="AA65" s="145"/>
      <c r="AB65" s="145"/>
      <c r="AC65" s="145"/>
      <c r="AD65" s="145"/>
      <c r="AE65" s="145"/>
      <c r="AF65" s="145"/>
      <c r="AG65" s="145"/>
      <c r="AH65" s="145"/>
      <c r="AI65" s="145"/>
      <c r="AJ65" s="145"/>
      <c r="AK65" s="145"/>
      <c r="AL65" s="145"/>
      <c r="AM65" s="145"/>
      <c r="AN65" s="145"/>
      <c r="AO65" s="145"/>
      <c r="AP65" s="145"/>
      <c r="AQ65" s="145"/>
      <c r="AR65" s="145"/>
      <c r="AS65" s="145"/>
      <c r="AT65" s="145"/>
      <c r="AU65" s="145"/>
      <c r="AV65" s="145"/>
      <c r="AW65" s="145"/>
      <c r="AX65" s="145"/>
      <c r="AY65" s="145"/>
      <c r="AZ65" s="145"/>
      <c r="BA65" s="145"/>
      <c r="BB65" s="145"/>
      <c r="BC65" s="145"/>
      <c r="BD65" s="145"/>
      <c r="BE65" s="145"/>
      <c r="BF65" s="145"/>
      <c r="BG65" s="145"/>
      <c r="BH65" s="145"/>
      <c r="BI65" s="145"/>
      <c r="BJ65" s="145"/>
      <c r="BK65" s="145"/>
      <c r="BL65" s="145"/>
    </row>
    <row r="66" spans="2:64" ht="57.75" x14ac:dyDescent="0.25">
      <c r="B66" s="213" t="s">
        <v>214</v>
      </c>
      <c r="C66" s="184">
        <f>'Income Statement'!C11/SUM(Balance_Sheet!C12,Balance_Sheet!C15)</f>
        <v>3.4140054776453899</v>
      </c>
      <c r="D66" s="184">
        <f>'Income Statement'!D11/SUM(Balance_Sheet!D12,Balance_Sheet!D15)</f>
        <v>2.831322232620145</v>
      </c>
      <c r="E66" s="184">
        <f>'Income Statement'!E11/SUM(Balance_Sheet!E12,Balance_Sheet!E15)</f>
        <v>4.1324984485696916</v>
      </c>
      <c r="F66" s="184">
        <f>'Income Statement'!F11/SUM(Balance_Sheet!F12,Balance_Sheet!F15)</f>
        <v>6.3732045415616518</v>
      </c>
      <c r="G66" s="184">
        <f>'Income Statement'!G11/SUM(Balance_Sheet!G12,Balance_Sheet!G15)</f>
        <v>6.866316382960858</v>
      </c>
      <c r="H66" s="185">
        <f>'Income Statement'!H11/SUM(Balance_Sheet!H12,Balance_Sheet!H15)</f>
        <v>8.3401504209291719</v>
      </c>
      <c r="I66" s="185">
        <f>'Income Statement'!I11/SUM(Balance_Sheet!I12,Balance_Sheet!I15)</f>
        <v>10.140764807922567</v>
      </c>
      <c r="J66" s="185">
        <f>'Income Statement'!J11/SUM(Balance_Sheet!J12,Balance_Sheet!J15)</f>
        <v>12.341937374095014</v>
      </c>
      <c r="K66" s="185">
        <f>'Income Statement'!K11/SUM(Balance_Sheet!K12,Balance_Sheet!K15)</f>
        <v>15.034285164774118</v>
      </c>
      <c r="L66" s="185">
        <f>'Income Statement'!L11/SUM(Balance_Sheet!L12,Balance_Sheet!L15)</f>
        <v>18.329135261437013</v>
      </c>
      <c r="M66" s="185">
        <f>'Income Statement'!M11/SUM(Balance_Sheet!M12,Balance_Sheet!M15)</f>
        <v>22.363289890491444</v>
      </c>
      <c r="N66" s="185">
        <f>'Income Statement'!N11/SUM(Balance_Sheet!N12,Balance_Sheet!N15)</f>
        <v>27.304893230758836</v>
      </c>
      <c r="O66" s="185">
        <f>'Income Statement'!O11/SUM(Balance_Sheet!O12,Balance_Sheet!O15)</f>
        <v>33.360655586452459</v>
      </c>
      <c r="P66" s="185">
        <f>'Income Statement'!P11/SUM(Balance_Sheet!P12,Balance_Sheet!P15)</f>
        <v>40.784750105391311</v>
      </c>
      <c r="Q66" s="185">
        <f>'Income Statement'!Q11/SUM(Balance_Sheet!Q12,Balance_Sheet!Q15)</f>
        <v>49.889770624308568</v>
      </c>
      <c r="R66" s="3"/>
      <c r="S66" s="195" t="s">
        <v>342</v>
      </c>
      <c r="T66" s="145"/>
      <c r="U66" s="145"/>
      <c r="V66" s="145"/>
      <c r="W66" s="145"/>
      <c r="X66" s="145"/>
      <c r="Y66" s="145"/>
      <c r="Z66" s="145"/>
      <c r="AA66" s="145"/>
      <c r="AB66" s="145"/>
      <c r="AC66" s="145"/>
      <c r="AD66" s="145"/>
      <c r="AE66" s="145"/>
      <c r="AF66" s="145"/>
      <c r="AG66" s="145"/>
      <c r="AH66" s="145"/>
      <c r="AI66" s="145"/>
      <c r="AJ66" s="145"/>
      <c r="AK66" s="145"/>
      <c r="AL66" s="145"/>
      <c r="AM66" s="145"/>
      <c r="AN66" s="145"/>
      <c r="AO66" s="145"/>
      <c r="AP66" s="145"/>
      <c r="AQ66" s="145"/>
      <c r="AR66" s="145"/>
      <c r="AS66" s="145"/>
      <c r="AT66" s="145"/>
      <c r="AU66" s="145"/>
      <c r="AV66" s="145"/>
      <c r="AW66" s="145"/>
      <c r="AX66" s="145"/>
      <c r="AY66" s="145"/>
      <c r="AZ66" s="145"/>
      <c r="BA66" s="145"/>
      <c r="BB66" s="145"/>
      <c r="BC66" s="145"/>
      <c r="BD66" s="145"/>
      <c r="BE66" s="145"/>
      <c r="BF66" s="145"/>
      <c r="BG66" s="145"/>
      <c r="BH66" s="145"/>
      <c r="BI66" s="145"/>
      <c r="BJ66" s="145"/>
      <c r="BK66" s="145"/>
      <c r="BL66" s="145"/>
    </row>
    <row r="67" spans="2:64" x14ac:dyDescent="0.25">
      <c r="B67" s="173"/>
      <c r="C67" s="176"/>
      <c r="D67" s="176"/>
      <c r="E67" s="176"/>
      <c r="F67" s="176"/>
      <c r="G67" s="176"/>
      <c r="H67" s="177"/>
      <c r="I67" s="177"/>
      <c r="J67" s="177"/>
      <c r="K67" s="177"/>
      <c r="L67" s="177"/>
      <c r="M67" s="177"/>
      <c r="N67" s="177"/>
      <c r="O67" s="177"/>
      <c r="P67" s="177"/>
      <c r="Q67" s="177"/>
      <c r="R67" s="3"/>
      <c r="S67" s="19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c r="AP67" s="145"/>
      <c r="AQ67" s="145"/>
      <c r="AR67" s="145"/>
      <c r="AS67" s="145"/>
      <c r="AT67" s="145"/>
      <c r="AU67" s="145"/>
      <c r="AV67" s="145"/>
      <c r="AW67" s="145"/>
      <c r="AX67" s="145"/>
      <c r="AY67" s="145"/>
      <c r="AZ67" s="145"/>
      <c r="BA67" s="145"/>
      <c r="BB67" s="145"/>
      <c r="BC67" s="145"/>
      <c r="BD67" s="145"/>
      <c r="BE67" s="145"/>
      <c r="BF67" s="145"/>
      <c r="BG67" s="145"/>
      <c r="BH67" s="145"/>
      <c r="BI67" s="145"/>
      <c r="BJ67" s="145"/>
      <c r="BK67" s="145"/>
      <c r="BL67" s="145"/>
    </row>
    <row r="68" spans="2:64" ht="57.75" x14ac:dyDescent="0.25">
      <c r="B68" s="213" t="s">
        <v>215</v>
      </c>
      <c r="C68" s="178">
        <f>'Income Statement'!C41/(Balance_Sheet!C54+Balance_Sheet!C58+Balance_Sheet!C70)</f>
        <v>1.8357290036000021E-2</v>
      </c>
      <c r="D68" s="178">
        <f>'Income Statement'!D41/(Balance_Sheet!D54+Balance_Sheet!D58+Balance_Sheet!D70)</f>
        <v>-2.549949330748257E-3</v>
      </c>
      <c r="E68" s="178">
        <f>'Income Statement'!E41/(Balance_Sheet!E54+Balance_Sheet!E58+Balance_Sheet!E70)</f>
        <v>-8.7751091239921791E-3</v>
      </c>
      <c r="F68" s="178">
        <f>'Income Statement'!F41/(Balance_Sheet!F54+Balance_Sheet!F58+Balance_Sheet!F70)</f>
        <v>3.2638704787582157E-2</v>
      </c>
      <c r="G68" s="178">
        <f>'Income Statement'!G41/(Balance_Sheet!G54+Balance_Sheet!G58+Balance_Sheet!G70)</f>
        <v>5.1477569320335398E-2</v>
      </c>
      <c r="H68" s="179">
        <f>'Income Statement'!H41/(Balance_Sheet!H54+Balance_Sheet!H58+Balance_Sheet!H70)</f>
        <v>3.2251196256460342E-2</v>
      </c>
      <c r="I68" s="179">
        <f>'Income Statement'!I41/(Balance_Sheet!I54+Balance_Sheet!I58+Balance_Sheet!I70)</f>
        <v>3.4887917375516733E-2</v>
      </c>
      <c r="J68" s="179">
        <f>'Income Statement'!J41/(Balance_Sheet!J54+Balance_Sheet!J58+Balance_Sheet!J70)</f>
        <v>3.7061154538349961E-2</v>
      </c>
      <c r="K68" s="179">
        <f>'Income Statement'!K41/(Balance_Sheet!K54+Balance_Sheet!K58+Balance_Sheet!K70)</f>
        <v>3.8835645909190246E-2</v>
      </c>
      <c r="L68" s="179">
        <f>'Income Statement'!L41/(Balance_Sheet!L54+Balance_Sheet!L58+Balance_Sheet!L70)</f>
        <v>4.0273793675482707E-2</v>
      </c>
      <c r="M68" s="179">
        <f>'Income Statement'!M41/(Balance_Sheet!M54+Balance_Sheet!M58+Balance_Sheet!M70)</f>
        <v>4.1432546404867994E-2</v>
      </c>
      <c r="N68" s="179">
        <f>'Income Statement'!N41/(Balance_Sheet!N54+Balance_Sheet!N58+Balance_Sheet!N70)</f>
        <v>4.2361954220196868E-2</v>
      </c>
      <c r="O68" s="179">
        <f>'Income Statement'!O41/(Balance_Sheet!O54+Balance_Sheet!O58+Balance_Sheet!O70)</f>
        <v>4.3104832236991956E-2</v>
      </c>
      <c r="P68" s="179">
        <f>'Income Statement'!P41/(Balance_Sheet!P54+Balance_Sheet!P58+Balance_Sheet!P70)</f>
        <v>4.3697086433133053E-2</v>
      </c>
      <c r="Q68" s="179">
        <f>'Income Statement'!Q41/(Balance_Sheet!Q54+Balance_Sheet!Q58+Balance_Sheet!Q70)</f>
        <v>4.4168385205489255E-2</v>
      </c>
      <c r="R68" s="3"/>
      <c r="S68" s="195" t="s">
        <v>343</v>
      </c>
      <c r="T68" s="145"/>
      <c r="U68" s="145"/>
      <c r="V68" s="145"/>
      <c r="W68" s="145"/>
      <c r="X68" s="145"/>
      <c r="Y68" s="145"/>
      <c r="Z68" s="145"/>
      <c r="AA68" s="145"/>
      <c r="AB68" s="145"/>
      <c r="AC68" s="145"/>
      <c r="AD68" s="145"/>
      <c r="AE68" s="145"/>
      <c r="AF68" s="145"/>
      <c r="AG68" s="145"/>
      <c r="AH68" s="145"/>
      <c r="AI68" s="145"/>
      <c r="AJ68" s="145"/>
      <c r="AK68" s="145"/>
      <c r="AL68" s="145"/>
      <c r="AM68" s="145"/>
      <c r="AN68" s="145"/>
      <c r="AO68" s="145"/>
      <c r="AP68" s="145"/>
      <c r="AQ68" s="145"/>
      <c r="AR68" s="145"/>
      <c r="AS68" s="145"/>
      <c r="AT68" s="145"/>
      <c r="AU68" s="145"/>
      <c r="AV68" s="145"/>
      <c r="AW68" s="145"/>
      <c r="AX68" s="145"/>
      <c r="AY68" s="145"/>
      <c r="AZ68" s="145"/>
      <c r="BA68" s="145"/>
      <c r="BB68" s="145"/>
      <c r="BC68" s="145"/>
      <c r="BD68" s="145"/>
      <c r="BE68" s="145"/>
      <c r="BF68" s="145"/>
      <c r="BG68" s="145"/>
      <c r="BH68" s="145"/>
      <c r="BI68" s="145"/>
      <c r="BJ68" s="145"/>
      <c r="BK68" s="145"/>
      <c r="BL68" s="145"/>
    </row>
    <row r="69" spans="2:64" x14ac:dyDescent="0.25">
      <c r="B69" s="175"/>
      <c r="C69" s="186"/>
      <c r="D69" s="186"/>
      <c r="E69" s="186"/>
      <c r="F69" s="186"/>
      <c r="G69" s="186"/>
      <c r="H69" s="187"/>
      <c r="I69" s="186"/>
      <c r="J69" s="186"/>
      <c r="K69" s="186"/>
      <c r="L69" s="186"/>
      <c r="M69" s="186"/>
      <c r="N69" s="186"/>
      <c r="O69" s="186"/>
      <c r="P69" s="186"/>
      <c r="Q69" s="186"/>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row>
    <row r="70" spans="2:64" x14ac:dyDescent="0.25">
      <c r="B70" s="8"/>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row>
    <row r="71" spans="2:64" x14ac:dyDescent="0.2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row>
  </sheetData>
  <mergeCells count="2">
    <mergeCell ref="B8:B9"/>
    <mergeCell ref="B7:Q7"/>
  </mergeCells>
  <pageMargins left="0.7" right="0.7" top="0.75" bottom="0.75" header="0.3" footer="0.3"/>
  <pageSetup orientation="portrait" horizontalDpi="300" verticalDpi="0" copies="0" r:id="rId1"/>
  <drawing r:id="rId2"/>
  <extLst>
    <ext xmlns:x14="http://schemas.microsoft.com/office/spreadsheetml/2009/9/main" uri="{05C60535-1F16-4fd2-B633-F4F36F0B64E0}">
      <x14:sparklineGroups xmlns:xm="http://schemas.microsoft.com/office/excel/2006/main">
        <x14:sparklineGroup displayEmptyCellsAs="gap" xr2:uid="{A519FBFC-D26D-4E70-8116-959E94943B10}">
          <x14:colorSeries rgb="FF376092"/>
          <x14:colorNegative rgb="FFD00000"/>
          <x14:colorAxis rgb="FF000000"/>
          <x14:colorMarkers rgb="FFD00000"/>
          <x14:colorFirst rgb="FFD00000"/>
          <x14:colorLast rgb="FFD00000"/>
          <x14:colorHigh rgb="FFD00000"/>
          <x14:colorLow rgb="FFD00000"/>
          <x14:sparklines>
            <x14:sparkline>
              <xm:f>Ratio_Analysis!D62:Q62</xm:f>
              <xm:sqref>R62</xm:sqref>
            </x14:sparkline>
          </x14:sparklines>
        </x14:sparklineGroup>
        <x14:sparklineGroup displayEmptyCellsAs="gap" xr2:uid="{A87F8860-3A0F-464B-8BF6-41C98079A606}">
          <x14:colorSeries rgb="FF376092"/>
          <x14:colorNegative rgb="FFD00000"/>
          <x14:colorAxis rgb="FF000000"/>
          <x14:colorMarkers rgb="FFD00000"/>
          <x14:colorFirst rgb="FFD00000"/>
          <x14:colorLast rgb="FFD00000"/>
          <x14:colorHigh rgb="FFD00000"/>
          <x14:colorLow rgb="FFD00000"/>
          <x14:sparklines>
            <x14:sparkline>
              <xm:f>Ratio_Analysis!C60:Q60</xm:f>
              <xm:sqref>R60</xm:sqref>
            </x14:sparkline>
          </x14:sparklines>
        </x14:sparklineGroup>
        <x14:sparklineGroup displayEmptyCellsAs="gap" xr2:uid="{8668DA6D-2686-44BE-B59F-4F91BFB9D03D}">
          <x14:colorSeries rgb="FF376092"/>
          <x14:colorNegative rgb="FFD00000"/>
          <x14:colorAxis rgb="FF000000"/>
          <x14:colorMarkers rgb="FFD00000"/>
          <x14:colorFirst rgb="FFD00000"/>
          <x14:colorLast rgb="FFD00000"/>
          <x14:colorHigh rgb="FFD00000"/>
          <x14:colorLow rgb="FFD00000"/>
          <x14:sparklines>
            <x14:sparkline>
              <xm:f>Ratio_Analysis!D58:Q58</xm:f>
              <xm:sqref>R58</xm:sqref>
            </x14:sparkline>
          </x14:sparklines>
        </x14:sparklineGroup>
        <x14:sparklineGroup displayEmptyCellsAs="gap" xr2:uid="{3EAF44C3-B708-4E6F-9F81-B7178A10EE46}">
          <x14:colorSeries rgb="FF376092"/>
          <x14:colorNegative rgb="FFD00000"/>
          <x14:colorAxis rgb="FF000000"/>
          <x14:colorMarkers rgb="FFD00000"/>
          <x14:colorFirst rgb="FFD00000"/>
          <x14:colorLast rgb="FFD00000"/>
          <x14:colorHigh rgb="FFD00000"/>
          <x14:colorLow rgb="FFD00000"/>
          <x14:sparklines>
            <x14:sparkline>
              <xm:f>Ratio_Analysis!C56:Q56</xm:f>
              <xm:sqref>R56</xm:sqref>
            </x14:sparkline>
          </x14:sparklines>
        </x14:sparklineGroup>
        <x14:sparklineGroup displayEmptyCellsAs="gap" xr2:uid="{35292580-E5D5-4917-A82F-4EE5BBB6E403}">
          <x14:colorSeries rgb="FF376092"/>
          <x14:colorNegative rgb="FFD00000"/>
          <x14:colorAxis rgb="FF000000"/>
          <x14:colorMarkers rgb="FFD00000"/>
          <x14:colorFirst rgb="FFD00000"/>
          <x14:colorLast rgb="FFD00000"/>
          <x14:colorHigh rgb="FFD00000"/>
          <x14:colorLow rgb="FFD00000"/>
          <x14:sparklines>
            <x14:sparkline>
              <xm:f>Ratio_Analysis!D54:Q54</xm:f>
              <xm:sqref>R54</xm:sqref>
            </x14:sparkline>
          </x14:sparklines>
        </x14:sparklineGroup>
        <x14:sparklineGroup displayEmptyCellsAs="gap" xr2:uid="{F07BA7D0-FD1E-44A8-AA8F-9BE4DAAFB226}">
          <x14:colorSeries rgb="FF376092"/>
          <x14:colorNegative rgb="FFD00000"/>
          <x14:colorAxis rgb="FF000000"/>
          <x14:colorMarkers rgb="FFD00000"/>
          <x14:colorFirst rgb="FFD00000"/>
          <x14:colorLast rgb="FFD00000"/>
          <x14:colorHigh rgb="FFD00000"/>
          <x14:colorLow rgb="FFD00000"/>
          <x14:sparklines>
            <x14:sparkline>
              <xm:f>Ratio_Analysis!C64:Q64</xm:f>
              <xm:sqref>R64</xm:sqref>
            </x14:sparkline>
            <x14:sparkline>
              <xm:f>Ratio_Analysis!C65:Q65</xm:f>
              <xm:sqref>R65</xm:sqref>
            </x14:sparkline>
            <x14:sparkline>
              <xm:f>Ratio_Analysis!C66:Q66</xm:f>
              <xm:sqref>R66</xm:sqref>
            </x14:sparkline>
            <x14:sparkline>
              <xm:f>Ratio_Analysis!C67:Q67</xm:f>
              <xm:sqref>R67</xm:sqref>
            </x14:sparkline>
            <x14:sparkline>
              <xm:f>Ratio_Analysis!C68:Q68</xm:f>
              <xm:sqref>R68</xm:sqref>
            </x14:sparkline>
          </x14:sparklines>
        </x14:sparklineGroup>
        <x14:sparklineGroup displayEmptyCellsAs="gap" xr2:uid="{AA71B64D-051B-4D95-ADD9-5E33B7980F85}">
          <x14:colorSeries rgb="FF376092"/>
          <x14:colorNegative rgb="FFD00000"/>
          <x14:colorAxis rgb="FF000000"/>
          <x14:colorMarkers rgb="FFD00000"/>
          <x14:colorFirst rgb="FFD00000"/>
          <x14:colorLast rgb="FFD00000"/>
          <x14:colorHigh rgb="FFD00000"/>
          <x14:colorLow rgb="FFD00000"/>
          <x14:sparklines>
            <x14:sparkline>
              <xm:f>Ratio_Analysis!C42:Q42</xm:f>
              <xm:sqref>R42</xm:sqref>
            </x14:sparkline>
            <x14:sparkline>
              <xm:f>Ratio_Analysis!C43:Q43</xm:f>
              <xm:sqref>R43</xm:sqref>
            </x14:sparkline>
            <x14:sparkline>
              <xm:f>Ratio_Analysis!C44:Q44</xm:f>
              <xm:sqref>R44</xm:sqref>
            </x14:sparkline>
            <x14:sparkline>
              <xm:f>Ratio_Analysis!C45:Q45</xm:f>
              <xm:sqref>R45</xm:sqref>
            </x14:sparkline>
            <x14:sparkline>
              <xm:f>Ratio_Analysis!C46:Q46</xm:f>
              <xm:sqref>R46</xm:sqref>
            </x14:sparkline>
            <x14:sparkline>
              <xm:f>Ratio_Analysis!C47:Q47</xm:f>
              <xm:sqref>R47</xm:sqref>
            </x14:sparkline>
            <x14:sparkline>
              <xm:f>Ratio_Analysis!C48:Q48</xm:f>
              <xm:sqref>R48</xm:sqref>
            </x14:sparkline>
            <x14:sparkline>
              <xm:f>Ratio_Analysis!C49:Q49</xm:f>
              <xm:sqref>R49</xm:sqref>
            </x14:sparkline>
            <x14:sparkline>
              <xm:f>Ratio_Analysis!C50:Q50</xm:f>
              <xm:sqref>R50</xm:sqref>
            </x14:sparkline>
            <x14:sparkline>
              <xm:f>Ratio_Analysis!C51:Q51</xm:f>
              <xm:sqref>R51</xm:sqref>
            </x14:sparkline>
          </x14:sparklines>
        </x14:sparklineGroup>
        <x14:sparklineGroup displayEmptyCellsAs="gap" xr2:uid="{4B1F763B-EDD8-4B15-A75F-B2ED65872308}">
          <x14:colorSeries rgb="FF376092"/>
          <x14:colorNegative rgb="FFD00000"/>
          <x14:colorAxis rgb="FF000000"/>
          <x14:colorMarkers rgb="FFD00000"/>
          <x14:colorFirst rgb="FFD00000"/>
          <x14:colorLast rgb="FFD00000"/>
          <x14:colorHigh rgb="FFD00000"/>
          <x14:colorLow rgb="FFD00000"/>
          <x14:sparklines>
            <x14:sparkline>
              <xm:f>Ratio_Analysis!D39:Q39</xm:f>
              <xm:sqref>R39</xm:sqref>
            </x14:sparkline>
          </x14:sparklines>
        </x14:sparklineGroup>
        <x14:sparklineGroup displayEmptyCellsAs="gap" xr2:uid="{829FA07C-FFBF-4E3C-9435-DEA8F29E75EE}">
          <x14:colorSeries rgb="FF376092"/>
          <x14:colorNegative rgb="FFD00000"/>
          <x14:colorAxis rgb="FF000000"/>
          <x14:colorMarkers rgb="FFD00000"/>
          <x14:colorFirst rgb="FFD00000"/>
          <x14:colorLast rgb="FFD00000"/>
          <x14:colorHigh rgb="FFD00000"/>
          <x14:colorLow rgb="FFD00000"/>
          <x14:sparklines>
            <x14:sparkline>
              <xm:f>Ratio_Analysis!C35:Q35</xm:f>
              <xm:sqref>R35</xm:sqref>
            </x14:sparkline>
            <x14:sparkline>
              <xm:f>Ratio_Analysis!C36:Q36</xm:f>
              <xm:sqref>R36</xm:sqref>
            </x14:sparkline>
            <x14:sparkline>
              <xm:f>Ratio_Analysis!C37:Q37</xm:f>
              <xm:sqref>R37</xm:sqref>
            </x14:sparkline>
          </x14:sparklines>
        </x14:sparklineGroup>
        <x14:sparklineGroup displayEmptyCellsAs="gap" xr2:uid="{2C033035-E3CF-4B0B-AB4D-7AEE93158A9E}">
          <x14:colorSeries rgb="FF376092"/>
          <x14:colorNegative rgb="FFD00000"/>
          <x14:colorAxis rgb="FF000000"/>
          <x14:colorMarkers rgb="FFD00000"/>
          <x14:colorFirst rgb="FFD00000"/>
          <x14:colorLast rgb="FFD00000"/>
          <x14:colorHigh rgb="FFD00000"/>
          <x14:colorLow rgb="FFD00000"/>
          <x14:sparklines>
            <x14:sparkline>
              <xm:f>Ratio_Analysis!D33:Q33</xm:f>
              <xm:sqref>R33</xm:sqref>
            </x14:sparkline>
          </x14:sparklines>
        </x14:sparklineGroup>
        <x14:sparklineGroup displayEmptyCellsAs="gap" xr2:uid="{57BA7690-E328-48B8-8FAF-8183E5F8D858}">
          <x14:colorSeries rgb="FF376092"/>
          <x14:colorNegative rgb="FFD00000"/>
          <x14:colorAxis rgb="FF000000"/>
          <x14:colorMarkers rgb="FFD00000"/>
          <x14:colorFirst rgb="FFD00000"/>
          <x14:colorLast rgb="FFD00000"/>
          <x14:colorHigh rgb="FFD00000"/>
          <x14:colorLow rgb="FFD00000"/>
          <x14:sparklines>
            <x14:sparkline>
              <xm:f>Ratio_Analysis!C31:Q31</xm:f>
              <xm:sqref>R31</xm:sqref>
            </x14:sparkline>
          </x14:sparklines>
        </x14:sparklineGroup>
        <x14:sparklineGroup displayEmptyCellsAs="gap" xr2:uid="{BED1F1F9-863B-42E2-9BEB-F7F503D04115}">
          <x14:colorSeries rgb="FF376092"/>
          <x14:colorNegative rgb="FFD00000"/>
          <x14:colorAxis rgb="FF000000"/>
          <x14:colorMarkers rgb="FFD00000"/>
          <x14:colorFirst rgb="FFD00000"/>
          <x14:colorLast rgb="FFD00000"/>
          <x14:colorHigh rgb="FFD00000"/>
          <x14:colorLow rgb="FFD00000"/>
          <x14:sparklines>
            <x14:sparkline>
              <xm:f>Ratio_Analysis!D25:Q25</xm:f>
              <xm:sqref>R25</xm:sqref>
            </x14:sparkline>
            <x14:sparkline>
              <xm:f>Ratio_Analysis!D26:Q26</xm:f>
              <xm:sqref>R26</xm:sqref>
            </x14:sparkline>
            <x14:sparkline>
              <xm:f>Ratio_Analysis!D27:Q27</xm:f>
              <xm:sqref>R27</xm:sqref>
            </x14:sparkline>
            <x14:sparkline>
              <xm:f>Ratio_Analysis!D28:Q28</xm:f>
              <xm:sqref>R28</xm:sqref>
            </x14:sparkline>
            <x14:sparkline>
              <xm:f>Ratio_Analysis!D29:Q29</xm:f>
              <xm:sqref>R29</xm:sqref>
            </x14:sparkline>
          </x14:sparklines>
        </x14:sparklineGroup>
        <x14:sparklineGroup displayEmptyCellsAs="gap" xr2:uid="{B6D535F6-16BA-4020-ADBE-2BF40FC60529}">
          <x14:colorSeries rgb="FF376092"/>
          <x14:colorNegative rgb="FFD00000"/>
          <x14:colorAxis rgb="FF000000"/>
          <x14:colorMarkers rgb="FFD00000"/>
          <x14:colorFirst rgb="FFD00000"/>
          <x14:colorLast rgb="FFD00000"/>
          <x14:colorHigh rgb="FFD00000"/>
          <x14:colorLow rgb="FFD00000"/>
          <x14:sparklines>
            <x14:sparkline>
              <xm:f>Ratio_Analysis!C12:Q12</xm:f>
              <xm:sqref>R12</xm:sqref>
            </x14:sparkline>
            <x14:sparkline>
              <xm:f>Ratio_Analysis!C13:Q13</xm:f>
              <xm:sqref>R13</xm:sqref>
            </x14:sparkline>
            <x14:sparkline>
              <xm:f>Ratio_Analysis!C14:Q14</xm:f>
              <xm:sqref>R14</xm:sqref>
            </x14:sparkline>
            <x14:sparkline>
              <xm:f>Ratio_Analysis!C15:Q15</xm:f>
              <xm:sqref>R15</xm:sqref>
            </x14:sparkline>
            <x14:sparkline>
              <xm:f>Ratio_Analysis!C16:Q16</xm:f>
              <xm:sqref>R16</xm:sqref>
            </x14:sparkline>
            <x14:sparkline>
              <xm:f>Ratio_Analysis!C17:Q17</xm:f>
              <xm:sqref>R17</xm:sqref>
            </x14:sparkline>
            <x14:sparkline>
              <xm:f>Ratio_Analysis!C18:Q18</xm:f>
              <xm:sqref>R18</xm:sqref>
            </x14:sparkline>
            <x14:sparkline>
              <xm:f>Ratio_Analysis!C19:Q19</xm:f>
              <xm:sqref>R19</xm:sqref>
            </x14:sparkline>
            <x14:sparkline>
              <xm:f>Ratio_Analysis!C20:Q20</xm:f>
              <xm:sqref>R20</xm:sqref>
            </x14:sparkline>
            <x14:sparkline>
              <xm:f>Ratio_Analysis!C21:Q21</xm:f>
              <xm:sqref>R21</xm:sqref>
            </x14:sparkline>
            <x14:sparkline>
              <xm:f>Ratio_Analysis!C22:Q22</xm:f>
              <xm:sqref>R22</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0E0A9-3ABC-4312-8877-886429538872}">
  <dimension ref="A7:V7"/>
  <sheetViews>
    <sheetView showGridLines="0" topLeftCell="A13" zoomScaleNormal="100" workbookViewId="0">
      <selection activeCell="K3" sqref="K3"/>
    </sheetView>
  </sheetViews>
  <sheetFormatPr defaultRowHeight="15" x14ac:dyDescent="0.25"/>
  <cols>
    <col min="1" max="1" width="0.85546875" customWidth="1"/>
  </cols>
  <sheetData>
    <row r="7" spans="1:22" x14ac:dyDescent="0.25">
      <c r="A7" s="234" t="s">
        <v>308</v>
      </c>
      <c r="B7" s="234"/>
      <c r="C7" s="234"/>
      <c r="D7" s="234"/>
      <c r="E7" s="234"/>
      <c r="F7" s="234"/>
      <c r="G7" s="234"/>
      <c r="H7" s="234"/>
      <c r="I7" s="234"/>
      <c r="J7" s="234"/>
      <c r="K7" s="234"/>
      <c r="L7" s="234"/>
      <c r="M7" s="234"/>
      <c r="N7" s="234"/>
      <c r="O7" s="234"/>
      <c r="P7" s="234"/>
      <c r="Q7" s="234"/>
      <c r="R7" s="234"/>
      <c r="S7" s="234"/>
      <c r="T7" s="234"/>
      <c r="U7" s="234"/>
      <c r="V7" s="234"/>
    </row>
  </sheetData>
  <mergeCells count="1">
    <mergeCell ref="A7:V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A9D7D-481B-408B-8919-0F5744529DEC}">
  <dimension ref="B7:T520"/>
  <sheetViews>
    <sheetView showGridLines="0" topLeftCell="A7" workbookViewId="0">
      <selection activeCell="I10" sqref="I10"/>
    </sheetView>
  </sheetViews>
  <sheetFormatPr defaultRowHeight="15" x14ac:dyDescent="0.25"/>
  <cols>
    <col min="1" max="1" width="0.85546875" customWidth="1"/>
    <col min="2" max="2" width="18.28515625" customWidth="1"/>
    <col min="3" max="3" width="18.85546875" customWidth="1"/>
    <col min="4" max="4" width="12.85546875" customWidth="1"/>
    <col min="5" max="5" width="11.5703125" bestFit="1" customWidth="1"/>
    <col min="6" max="6" width="11.28515625" customWidth="1"/>
    <col min="9" max="9" width="10.5703125" bestFit="1" customWidth="1"/>
    <col min="10" max="10" width="12" customWidth="1"/>
    <col min="11" max="11" width="12.5703125" customWidth="1"/>
  </cols>
  <sheetData>
    <row r="7" spans="2:11" ht="15.75" x14ac:dyDescent="0.25">
      <c r="B7" s="235" t="s">
        <v>293</v>
      </c>
      <c r="C7" s="235"/>
      <c r="D7" s="235"/>
      <c r="E7" s="235"/>
      <c r="F7" s="235"/>
      <c r="G7" s="235"/>
      <c r="H7" s="235"/>
      <c r="I7" s="235"/>
      <c r="J7" s="235"/>
      <c r="K7" s="235"/>
    </row>
    <row r="8" spans="2:11" x14ac:dyDescent="0.25">
      <c r="B8" s="13" t="s">
        <v>219</v>
      </c>
      <c r="C8" s="13" t="s">
        <v>223</v>
      </c>
      <c r="D8" s="13" t="s">
        <v>225</v>
      </c>
      <c r="E8" s="13" t="s">
        <v>224</v>
      </c>
      <c r="F8" s="13" t="s">
        <v>225</v>
      </c>
    </row>
    <row r="9" spans="2:11" s="166" customFormat="1" x14ac:dyDescent="0.25">
      <c r="B9" s="116">
        <v>45744</v>
      </c>
      <c r="C9" s="117">
        <v>204.22</v>
      </c>
      <c r="D9" s="13"/>
      <c r="E9" s="117">
        <v>23519.35</v>
      </c>
      <c r="F9" s="13"/>
    </row>
    <row r="10" spans="2:11" s="166" customFormat="1" x14ac:dyDescent="0.25">
      <c r="B10" s="116">
        <v>45743</v>
      </c>
      <c r="C10" s="117">
        <v>208.52</v>
      </c>
      <c r="D10" s="109">
        <f>C10/C9-1</f>
        <v>2.1055724218979499E-2</v>
      </c>
      <c r="E10" s="117">
        <v>23591.95</v>
      </c>
      <c r="F10" s="109">
        <f>E10/E9-1</f>
        <v>3.0868200014031455E-3</v>
      </c>
      <c r="H10" s="121" t="s">
        <v>226</v>
      </c>
      <c r="I10" s="121">
        <f>SLOPE(D10:D258,F10:F258)</f>
        <v>1.6048128156002162</v>
      </c>
    </row>
    <row r="11" spans="2:11" s="166" customFormat="1" x14ac:dyDescent="0.25">
      <c r="B11" s="116">
        <v>45742</v>
      </c>
      <c r="C11" s="117">
        <v>214.98</v>
      </c>
      <c r="D11" s="109">
        <f t="shared" ref="D11:D42" si="0">C11/C10-1</f>
        <v>3.098024170343372E-2</v>
      </c>
      <c r="E11" s="117">
        <v>23486.85</v>
      </c>
      <c r="F11" s="109">
        <f t="shared" ref="F11:F39" si="1">E11/E10-1</f>
        <v>-4.4549094076582474E-3</v>
      </c>
    </row>
    <row r="12" spans="2:11" s="166" customFormat="1" x14ac:dyDescent="0.25">
      <c r="B12" s="116">
        <v>45741</v>
      </c>
      <c r="C12" s="117">
        <v>210.04</v>
      </c>
      <c r="D12" s="109">
        <f t="shared" si="0"/>
        <v>-2.2978881756442471E-2</v>
      </c>
      <c r="E12" s="117">
        <v>23668.65</v>
      </c>
      <c r="F12" s="109">
        <f t="shared" si="1"/>
        <v>7.7405015998315285E-3</v>
      </c>
    </row>
    <row r="13" spans="2:11" s="166" customFormat="1" x14ac:dyDescent="0.25">
      <c r="B13" s="116">
        <v>45740</v>
      </c>
      <c r="C13" s="117">
        <v>212.53</v>
      </c>
      <c r="D13" s="109">
        <f t="shared" si="0"/>
        <v>1.1854884783850661E-2</v>
      </c>
      <c r="E13" s="117">
        <v>23658.35</v>
      </c>
      <c r="F13" s="109">
        <f t="shared" si="1"/>
        <v>-4.3517479873178555E-4</v>
      </c>
    </row>
    <row r="14" spans="2:11" s="166" customFormat="1" x14ac:dyDescent="0.25">
      <c r="B14" s="116">
        <v>45737</v>
      </c>
      <c r="C14" s="117">
        <v>210.84</v>
      </c>
      <c r="D14" s="109">
        <f t="shared" si="0"/>
        <v>-7.9518185667906138E-3</v>
      </c>
      <c r="E14" s="117">
        <v>23350.400000000001</v>
      </c>
      <c r="F14" s="109">
        <f t="shared" si="1"/>
        <v>-1.3016545955233494E-2</v>
      </c>
    </row>
    <row r="15" spans="2:11" s="166" customFormat="1" x14ac:dyDescent="0.25">
      <c r="B15" s="116">
        <v>45736</v>
      </c>
      <c r="C15" s="117">
        <v>207.48</v>
      </c>
      <c r="D15" s="109">
        <f t="shared" si="0"/>
        <v>-1.5936254980079778E-2</v>
      </c>
      <c r="E15" s="117">
        <v>23190.65</v>
      </c>
      <c r="F15" s="109">
        <f t="shared" si="1"/>
        <v>-6.841424558037601E-3</v>
      </c>
    </row>
    <row r="16" spans="2:11" s="166" customFormat="1" x14ac:dyDescent="0.25">
      <c r="B16" s="116">
        <v>45735</v>
      </c>
      <c r="C16" s="117">
        <v>205.69</v>
      </c>
      <c r="D16" s="109">
        <f t="shared" si="0"/>
        <v>-8.6273375747059067E-3</v>
      </c>
      <c r="E16" s="117">
        <v>22907.599999999999</v>
      </c>
      <c r="F16" s="109">
        <f t="shared" si="1"/>
        <v>-1.2205350000970339E-2</v>
      </c>
    </row>
    <row r="17" spans="2:20" s="162" customFormat="1" x14ac:dyDescent="0.25">
      <c r="B17" s="116">
        <v>45734</v>
      </c>
      <c r="C17" s="117">
        <v>203.74</v>
      </c>
      <c r="D17" s="109">
        <f t="shared" si="0"/>
        <v>-9.4802858670814949E-3</v>
      </c>
      <c r="E17" s="117">
        <v>22834.3</v>
      </c>
      <c r="F17" s="109">
        <f t="shared" si="1"/>
        <v>-3.199811416298437E-3</v>
      </c>
    </row>
    <row r="18" spans="2:20" s="162" customFormat="1" x14ac:dyDescent="0.25">
      <c r="B18" s="116">
        <v>45733</v>
      </c>
      <c r="C18" s="117">
        <v>198.46</v>
      </c>
      <c r="D18" s="109">
        <f t="shared" si="0"/>
        <v>-2.5915382350053973E-2</v>
      </c>
      <c r="E18" s="117">
        <v>22508.75</v>
      </c>
      <c r="F18" s="109">
        <f t="shared" si="1"/>
        <v>-1.4257060649986997E-2</v>
      </c>
    </row>
    <row r="19" spans="2:20" s="162" customFormat="1" x14ac:dyDescent="0.25">
      <c r="B19" s="116">
        <v>45729</v>
      </c>
      <c r="C19" s="117">
        <v>196.63</v>
      </c>
      <c r="D19" s="109">
        <f t="shared" si="0"/>
        <v>-9.2210017131916233E-3</v>
      </c>
      <c r="E19" s="117">
        <v>22397.200000000001</v>
      </c>
      <c r="F19" s="109">
        <f t="shared" si="1"/>
        <v>-4.955850502582293E-3</v>
      </c>
    </row>
    <row r="20" spans="2:20" s="162" customFormat="1" x14ac:dyDescent="0.25">
      <c r="B20" s="116">
        <v>45728</v>
      </c>
      <c r="C20" s="117">
        <v>196.11</v>
      </c>
      <c r="D20" s="109">
        <f t="shared" si="0"/>
        <v>-2.6445608503279372E-3</v>
      </c>
      <c r="E20" s="117">
        <v>22470.5</v>
      </c>
      <c r="F20" s="109">
        <f t="shared" si="1"/>
        <v>3.2727305198863021E-3</v>
      </c>
      <c r="M20"/>
      <c r="N20"/>
      <c r="O20"/>
      <c r="P20"/>
      <c r="Q20"/>
      <c r="R20"/>
      <c r="S20"/>
      <c r="T20"/>
    </row>
    <row r="21" spans="2:20" s="162" customFormat="1" x14ac:dyDescent="0.25">
      <c r="B21" s="116">
        <v>45727</v>
      </c>
      <c r="C21" s="117">
        <v>199.96</v>
      </c>
      <c r="D21" s="109">
        <f t="shared" si="0"/>
        <v>1.9631839273876794E-2</v>
      </c>
      <c r="E21" s="117">
        <v>22497.9</v>
      </c>
      <c r="F21" s="109">
        <f t="shared" si="1"/>
        <v>1.2193765158763359E-3</v>
      </c>
      <c r="M21"/>
      <c r="N21"/>
      <c r="O21"/>
      <c r="P21"/>
      <c r="Q21"/>
      <c r="R21"/>
      <c r="S21"/>
      <c r="T21"/>
    </row>
    <row r="22" spans="2:20" s="162" customFormat="1" x14ac:dyDescent="0.25">
      <c r="B22" s="116">
        <v>45726</v>
      </c>
      <c r="C22" s="117">
        <v>206.79</v>
      </c>
      <c r="D22" s="109">
        <f t="shared" si="0"/>
        <v>3.4156831366273233E-2</v>
      </c>
      <c r="E22" s="117">
        <v>22460.3</v>
      </c>
      <c r="F22" s="109">
        <f t="shared" si="1"/>
        <v>-1.6712670960401521E-3</v>
      </c>
      <c r="M22"/>
      <c r="N22"/>
      <c r="O22"/>
      <c r="P22"/>
      <c r="Q22"/>
      <c r="R22"/>
      <c r="S22"/>
      <c r="T22"/>
    </row>
    <row r="23" spans="2:20" x14ac:dyDescent="0.25">
      <c r="B23" s="116">
        <v>45723</v>
      </c>
      <c r="C23" s="117">
        <v>209.78</v>
      </c>
      <c r="D23" s="109">
        <f t="shared" si="0"/>
        <v>1.445911310991832E-2</v>
      </c>
      <c r="E23" s="117">
        <v>22552.5</v>
      </c>
      <c r="F23" s="109">
        <f t="shared" si="1"/>
        <v>4.1050208590267534E-3</v>
      </c>
    </row>
    <row r="24" spans="2:20" x14ac:dyDescent="0.25">
      <c r="B24" s="116">
        <v>45722</v>
      </c>
      <c r="C24" s="117">
        <v>210.6</v>
      </c>
      <c r="D24" s="109">
        <f t="shared" si="0"/>
        <v>3.908856897702373E-3</v>
      </c>
      <c r="E24" s="117">
        <v>22544.7</v>
      </c>
      <c r="F24" s="109">
        <f t="shared" si="1"/>
        <v>-3.4585966079148101E-4</v>
      </c>
    </row>
    <row r="25" spans="2:20" x14ac:dyDescent="0.25">
      <c r="B25" s="116">
        <v>45721</v>
      </c>
      <c r="C25" s="117">
        <v>209.21</v>
      </c>
      <c r="D25" s="109">
        <f t="shared" si="0"/>
        <v>-6.6001899335231817E-3</v>
      </c>
      <c r="E25" s="117">
        <v>22337.3</v>
      </c>
      <c r="F25" s="109">
        <f t="shared" si="1"/>
        <v>-9.1995014349270932E-3</v>
      </c>
    </row>
    <row r="26" spans="2:20" x14ac:dyDescent="0.25">
      <c r="B26" s="116">
        <v>45720</v>
      </c>
      <c r="C26" s="117">
        <v>206.93</v>
      </c>
      <c r="D26" s="109">
        <f t="shared" si="0"/>
        <v>-1.0898140624253094E-2</v>
      </c>
      <c r="E26" s="117">
        <v>22082.65</v>
      </c>
      <c r="F26" s="109">
        <f t="shared" si="1"/>
        <v>-1.14002139918431E-2</v>
      </c>
    </row>
    <row r="27" spans="2:20" x14ac:dyDescent="0.25">
      <c r="B27" s="116">
        <v>45719</v>
      </c>
      <c r="C27" s="117">
        <v>208.92</v>
      </c>
      <c r="D27" s="109">
        <f t="shared" si="0"/>
        <v>9.6167786207894679E-3</v>
      </c>
      <c r="E27" s="117">
        <v>22119.3</v>
      </c>
      <c r="F27" s="109">
        <f t="shared" si="1"/>
        <v>1.6596739974594765E-3</v>
      </c>
    </row>
    <row r="28" spans="2:20" x14ac:dyDescent="0.25">
      <c r="B28" s="116">
        <v>45716</v>
      </c>
      <c r="C28" s="117">
        <v>212.94</v>
      </c>
      <c r="D28" s="109">
        <f t="shared" si="0"/>
        <v>1.9241815048822497E-2</v>
      </c>
      <c r="E28" s="117">
        <v>22124.7</v>
      </c>
      <c r="F28" s="109">
        <f t="shared" si="1"/>
        <v>2.4413069129680665E-4</v>
      </c>
    </row>
    <row r="29" spans="2:20" x14ac:dyDescent="0.25">
      <c r="B29" s="116">
        <v>45715</v>
      </c>
      <c r="C29" s="117">
        <v>225.43</v>
      </c>
      <c r="D29" s="109">
        <f t="shared" si="0"/>
        <v>5.8655020193481677E-2</v>
      </c>
      <c r="E29" s="117">
        <v>22545.05</v>
      </c>
      <c r="F29" s="109">
        <f t="shared" si="1"/>
        <v>1.8999127671787575E-2</v>
      </c>
      <c r="M29" s="5"/>
      <c r="N29" s="5"/>
    </row>
    <row r="30" spans="2:20" x14ac:dyDescent="0.25">
      <c r="B30" s="116">
        <v>45713</v>
      </c>
      <c r="C30" s="117">
        <v>227.23</v>
      </c>
      <c r="D30" s="109">
        <f t="shared" si="0"/>
        <v>7.9847402741426432E-3</v>
      </c>
      <c r="E30" s="117">
        <v>22547.55</v>
      </c>
      <c r="F30" s="109">
        <f t="shared" si="1"/>
        <v>1.1088908651779583E-4</v>
      </c>
      <c r="M30" s="168"/>
      <c r="N30" s="168"/>
      <c r="O30" s="168"/>
      <c r="P30" s="168"/>
    </row>
    <row r="31" spans="2:20" x14ac:dyDescent="0.25">
      <c r="B31" s="116">
        <v>45712</v>
      </c>
      <c r="C31" s="117">
        <v>223.09</v>
      </c>
      <c r="D31" s="109">
        <f t="shared" si="0"/>
        <v>-1.8219425251947308E-2</v>
      </c>
      <c r="E31" s="117">
        <v>22553.35</v>
      </c>
      <c r="F31" s="109">
        <f t="shared" si="1"/>
        <v>2.5723415626077717E-4</v>
      </c>
      <c r="M31" s="10"/>
      <c r="N31" s="10"/>
      <c r="O31" s="10"/>
      <c r="P31" s="10"/>
    </row>
    <row r="32" spans="2:20" x14ac:dyDescent="0.25">
      <c r="B32" s="116">
        <v>45709</v>
      </c>
      <c r="C32" s="117">
        <v>222.53</v>
      </c>
      <c r="D32" s="109">
        <f t="shared" si="0"/>
        <v>-2.5101976780671498E-3</v>
      </c>
      <c r="E32" s="117">
        <v>22795.9</v>
      </c>
      <c r="F32" s="109">
        <f t="shared" si="1"/>
        <v>1.0754499885826441E-2</v>
      </c>
      <c r="M32" s="10"/>
      <c r="N32" s="10"/>
      <c r="O32" s="10"/>
      <c r="P32" s="10"/>
    </row>
    <row r="33" spans="2:19" x14ac:dyDescent="0.25">
      <c r="B33" s="116">
        <v>45708</v>
      </c>
      <c r="C33" s="117">
        <v>226.49</v>
      </c>
      <c r="D33" s="109">
        <f t="shared" si="0"/>
        <v>1.779535343549199E-2</v>
      </c>
      <c r="E33" s="117">
        <v>22913.15</v>
      </c>
      <c r="F33" s="109">
        <f t="shared" si="1"/>
        <v>5.1434687816669378E-3</v>
      </c>
      <c r="M33" s="10"/>
      <c r="N33" s="10"/>
      <c r="O33" s="10"/>
      <c r="P33" s="10"/>
    </row>
    <row r="34" spans="2:19" x14ac:dyDescent="0.25">
      <c r="B34" s="116">
        <v>45707</v>
      </c>
      <c r="C34" s="117">
        <v>225.41</v>
      </c>
      <c r="D34" s="109">
        <f t="shared" si="0"/>
        <v>-4.7684224469072278E-3</v>
      </c>
      <c r="E34" s="117">
        <v>22932.9</v>
      </c>
      <c r="F34" s="109">
        <f t="shared" si="1"/>
        <v>8.6195045203307785E-4</v>
      </c>
      <c r="M34" s="5"/>
      <c r="N34" s="5"/>
      <c r="O34" s="5"/>
      <c r="P34" s="5"/>
    </row>
    <row r="35" spans="2:19" x14ac:dyDescent="0.25">
      <c r="B35" s="116">
        <v>45706</v>
      </c>
      <c r="C35" s="117">
        <v>222.28</v>
      </c>
      <c r="D35" s="109">
        <f t="shared" si="0"/>
        <v>-1.3885808083048623E-2</v>
      </c>
      <c r="E35" s="117">
        <v>22945.3</v>
      </c>
      <c r="F35" s="109">
        <f t="shared" si="1"/>
        <v>5.4070789128268792E-4</v>
      </c>
      <c r="M35" s="168"/>
      <c r="N35" s="168"/>
      <c r="O35" s="168"/>
      <c r="P35" s="168"/>
      <c r="Q35" s="168"/>
      <c r="R35" s="168"/>
      <c r="S35" s="168"/>
    </row>
    <row r="36" spans="2:19" x14ac:dyDescent="0.25">
      <c r="B36" s="116">
        <v>45705</v>
      </c>
      <c r="C36" s="117">
        <v>223.61</v>
      </c>
      <c r="D36" s="109">
        <f t="shared" si="0"/>
        <v>5.9834443044808339E-3</v>
      </c>
      <c r="E36" s="117">
        <v>22959.5</v>
      </c>
      <c r="F36" s="109">
        <f t="shared" si="1"/>
        <v>6.1886312229519902E-4</v>
      </c>
      <c r="M36" s="10"/>
      <c r="N36" s="10"/>
      <c r="O36" s="10"/>
      <c r="P36" s="10"/>
      <c r="Q36" s="10"/>
      <c r="R36" s="10"/>
      <c r="S36" s="10"/>
    </row>
    <row r="37" spans="2:19" x14ac:dyDescent="0.25">
      <c r="B37" s="116">
        <v>45702</v>
      </c>
      <c r="C37" s="117">
        <v>213.85</v>
      </c>
      <c r="D37" s="109">
        <f t="shared" si="0"/>
        <v>-4.3647421850543489E-2</v>
      </c>
      <c r="E37" s="117">
        <v>22929.25</v>
      </c>
      <c r="F37" s="109">
        <f t="shared" si="1"/>
        <v>-1.3175374028180364E-3</v>
      </c>
      <c r="M37" s="10"/>
      <c r="N37" s="10"/>
      <c r="O37" s="10"/>
      <c r="P37" s="10"/>
      <c r="Q37" s="10"/>
      <c r="R37" s="10"/>
      <c r="S37" s="10"/>
    </row>
    <row r="38" spans="2:19" x14ac:dyDescent="0.25">
      <c r="B38" s="116">
        <v>45701</v>
      </c>
      <c r="C38" s="117">
        <v>217.07</v>
      </c>
      <c r="D38" s="109">
        <f t="shared" si="0"/>
        <v>1.505728314238941E-2</v>
      </c>
      <c r="E38" s="117">
        <v>23031.4</v>
      </c>
      <c r="F38" s="109">
        <f t="shared" si="1"/>
        <v>4.4550083408747554E-3</v>
      </c>
      <c r="M38" s="5"/>
      <c r="N38" s="5"/>
      <c r="P38" s="5"/>
      <c r="Q38" s="5"/>
      <c r="S38" s="5"/>
    </row>
    <row r="39" spans="2:19" x14ac:dyDescent="0.25">
      <c r="B39" s="116">
        <v>45700</v>
      </c>
      <c r="C39" s="117">
        <v>219.35</v>
      </c>
      <c r="D39" s="109">
        <f t="shared" si="0"/>
        <v>1.0503524208780535E-2</v>
      </c>
      <c r="E39" s="117">
        <v>23045.25</v>
      </c>
      <c r="F39" s="109">
        <f t="shared" si="1"/>
        <v>6.0135293555751979E-4</v>
      </c>
      <c r="G39" s="166"/>
      <c r="H39" s="166"/>
      <c r="I39" s="166"/>
      <c r="J39" s="121" t="s">
        <v>226</v>
      </c>
      <c r="K39" s="122">
        <f>SLOPE(D40:D291,F40:F291)</f>
        <v>1.6223895014005374</v>
      </c>
    </row>
    <row r="40" spans="2:19" x14ac:dyDescent="0.25">
      <c r="B40" s="116">
        <v>45699</v>
      </c>
      <c r="C40" s="117">
        <v>203.71</v>
      </c>
      <c r="D40" s="109">
        <f t="shared" si="0"/>
        <v>-7.1301572828812332E-2</v>
      </c>
      <c r="E40" s="117">
        <v>23071.8</v>
      </c>
      <c r="F40" s="109">
        <f>E40/E39-1</f>
        <v>1.1520812314902429E-3</v>
      </c>
      <c r="G40" s="166"/>
      <c r="H40" s="166"/>
      <c r="I40" s="166"/>
      <c r="J40" s="166"/>
      <c r="K40" s="166"/>
    </row>
    <row r="41" spans="2:19" x14ac:dyDescent="0.25">
      <c r="B41" s="116">
        <v>45698</v>
      </c>
      <c r="C41" s="117">
        <v>209.1</v>
      </c>
      <c r="D41" s="109">
        <f>C41/C40-1</f>
        <v>2.6459182170732731E-2</v>
      </c>
      <c r="E41" s="117">
        <v>23381.599999999999</v>
      </c>
      <c r="F41" s="109">
        <f t="shared" ref="F41:F52" si="2">E41/E40-1</f>
        <v>1.3427647604434823E-2</v>
      </c>
      <c r="G41" s="166"/>
      <c r="H41" s="166"/>
      <c r="I41" s="166"/>
      <c r="J41" s="166"/>
      <c r="K41" s="166"/>
    </row>
    <row r="42" spans="2:19" x14ac:dyDescent="0.25">
      <c r="B42" s="116">
        <v>45695</v>
      </c>
      <c r="C42" s="117">
        <v>212.05</v>
      </c>
      <c r="D42" s="109">
        <f t="shared" si="0"/>
        <v>1.4108082257293209E-2</v>
      </c>
      <c r="E42" s="117">
        <v>23559.95</v>
      </c>
      <c r="F42" s="109">
        <f t="shared" si="2"/>
        <v>7.6277927943340096E-3</v>
      </c>
      <c r="G42" s="166"/>
      <c r="H42" s="166"/>
      <c r="I42" s="166"/>
      <c r="J42" s="166"/>
      <c r="K42" s="166"/>
    </row>
    <row r="43" spans="2:19" x14ac:dyDescent="0.25">
      <c r="B43" s="116">
        <v>45694</v>
      </c>
      <c r="C43" s="117">
        <v>209.79</v>
      </c>
      <c r="D43" s="109">
        <f t="shared" ref="D43:D51" si="3">C43/C42-1</f>
        <v>-1.0657863711388882E-2</v>
      </c>
      <c r="E43" s="117">
        <v>23603.35</v>
      </c>
      <c r="F43" s="109">
        <f t="shared" si="2"/>
        <v>1.84210917255756E-3</v>
      </c>
      <c r="G43" s="166"/>
      <c r="H43" s="166"/>
      <c r="I43" s="166"/>
      <c r="J43" s="166"/>
      <c r="K43" s="166"/>
    </row>
    <row r="44" spans="2:19" x14ac:dyDescent="0.25">
      <c r="B44" s="116">
        <v>45693</v>
      </c>
      <c r="C44" s="117">
        <v>211.02</v>
      </c>
      <c r="D44" s="109">
        <f t="shared" si="3"/>
        <v>5.8630058630060322E-3</v>
      </c>
      <c r="E44" s="117">
        <v>23696.3</v>
      </c>
      <c r="F44" s="109">
        <f t="shared" si="2"/>
        <v>3.938000326224822E-3</v>
      </c>
      <c r="G44" s="166"/>
      <c r="H44" s="166"/>
      <c r="I44" s="166"/>
      <c r="J44" s="166"/>
      <c r="K44" s="166"/>
    </row>
    <row r="45" spans="2:19" x14ac:dyDescent="0.25">
      <c r="B45" s="116">
        <v>45692</v>
      </c>
      <c r="C45" s="117">
        <v>211.67</v>
      </c>
      <c r="D45" s="109">
        <f t="shared" si="3"/>
        <v>3.0802767510187401E-3</v>
      </c>
      <c r="E45" s="117">
        <v>23739.25</v>
      </c>
      <c r="F45" s="109">
        <f t="shared" si="2"/>
        <v>1.8125192540607848E-3</v>
      </c>
      <c r="G45" s="166"/>
      <c r="H45" s="166"/>
      <c r="I45" s="166"/>
      <c r="J45" s="166"/>
      <c r="K45" s="166"/>
    </row>
    <row r="46" spans="2:19" x14ac:dyDescent="0.25">
      <c r="B46" s="116">
        <v>45691</v>
      </c>
      <c r="C46" s="117">
        <v>203.91</v>
      </c>
      <c r="D46" s="109">
        <f t="shared" si="3"/>
        <v>-3.6660839986771832E-2</v>
      </c>
      <c r="E46" s="117">
        <v>23361.05</v>
      </c>
      <c r="F46" s="109">
        <f t="shared" si="2"/>
        <v>-1.593142159082539E-2</v>
      </c>
      <c r="G46" s="166"/>
      <c r="H46" s="166"/>
      <c r="I46" s="166"/>
      <c r="J46" s="166"/>
      <c r="K46" s="166"/>
    </row>
    <row r="47" spans="2:19" x14ac:dyDescent="0.25">
      <c r="B47" s="116">
        <v>45689</v>
      </c>
      <c r="C47" s="117">
        <v>206.35</v>
      </c>
      <c r="D47" s="109">
        <f t="shared" si="3"/>
        <v>1.1966063459369236E-2</v>
      </c>
      <c r="E47" s="117">
        <v>23482.15</v>
      </c>
      <c r="F47" s="109">
        <f t="shared" si="2"/>
        <v>5.1838423358538943E-3</v>
      </c>
      <c r="G47" s="166"/>
      <c r="H47" s="166"/>
      <c r="I47" s="166"/>
      <c r="J47" s="166"/>
      <c r="K47" s="166"/>
    </row>
    <row r="48" spans="2:19" x14ac:dyDescent="0.25">
      <c r="B48" s="116">
        <v>45688</v>
      </c>
      <c r="C48" s="117">
        <v>216.83</v>
      </c>
      <c r="D48" s="109">
        <f t="shared" si="3"/>
        <v>5.0787496971165691E-2</v>
      </c>
      <c r="E48" s="117">
        <v>23508.400000000001</v>
      </c>
      <c r="F48" s="109">
        <f t="shared" si="2"/>
        <v>1.1178703823968572E-3</v>
      </c>
      <c r="G48" s="166"/>
      <c r="H48" s="166"/>
      <c r="I48" s="166"/>
      <c r="J48" s="166"/>
      <c r="K48" s="166"/>
    </row>
    <row r="49" spans="2:11" x14ac:dyDescent="0.25">
      <c r="B49" s="116">
        <v>45687</v>
      </c>
      <c r="C49" s="117">
        <v>210.33</v>
      </c>
      <c r="D49" s="109">
        <f t="shared" si="3"/>
        <v>-2.9977401651062996E-2</v>
      </c>
      <c r="E49" s="117">
        <v>23249.5</v>
      </c>
      <c r="F49" s="109">
        <f t="shared" si="2"/>
        <v>-1.1013084684623475E-2</v>
      </c>
      <c r="G49" s="166"/>
      <c r="H49" s="166"/>
      <c r="I49" s="166"/>
      <c r="J49" s="166"/>
      <c r="K49" s="167"/>
    </row>
    <row r="50" spans="2:11" x14ac:dyDescent="0.25">
      <c r="B50" s="116">
        <v>45686</v>
      </c>
      <c r="C50" s="117">
        <v>206.04</v>
      </c>
      <c r="D50" s="109">
        <f t="shared" si="3"/>
        <v>-2.0396519754671272E-2</v>
      </c>
      <c r="E50" s="117">
        <v>23163.1</v>
      </c>
      <c r="F50" s="109">
        <f t="shared" si="2"/>
        <v>-3.7162089507302154E-3</v>
      </c>
      <c r="G50" s="166"/>
      <c r="H50" s="166"/>
      <c r="I50" s="166"/>
      <c r="J50" s="166"/>
      <c r="K50" s="10"/>
    </row>
    <row r="51" spans="2:11" x14ac:dyDescent="0.25">
      <c r="B51" s="116">
        <v>45685</v>
      </c>
      <c r="C51" s="117">
        <v>204.73</v>
      </c>
      <c r="D51" s="109">
        <f t="shared" si="3"/>
        <v>-6.3579887400504465E-3</v>
      </c>
      <c r="E51" s="117">
        <v>22957.25</v>
      </c>
      <c r="F51" s="109">
        <f t="shared" si="2"/>
        <v>-8.886979722057875E-3</v>
      </c>
      <c r="G51" s="166"/>
      <c r="H51" s="166"/>
      <c r="I51" s="166"/>
      <c r="J51" s="166"/>
      <c r="K51" s="10"/>
    </row>
    <row r="52" spans="2:11" x14ac:dyDescent="0.25">
      <c r="B52" s="116">
        <v>45684</v>
      </c>
      <c r="C52" s="117">
        <v>197.29</v>
      </c>
      <c r="D52" s="109">
        <f>C52/C51-1</f>
        <v>-3.6340546085087633E-2</v>
      </c>
      <c r="E52" s="117">
        <v>22829.15</v>
      </c>
      <c r="F52" s="109">
        <f t="shared" si="2"/>
        <v>-5.5799366213287183E-3</v>
      </c>
      <c r="G52" s="166"/>
      <c r="H52" s="166"/>
      <c r="I52" s="166"/>
      <c r="J52" s="166"/>
      <c r="K52" s="10"/>
    </row>
    <row r="53" spans="2:11" x14ac:dyDescent="0.25">
      <c r="B53" s="116">
        <v>45681</v>
      </c>
      <c r="C53" s="117">
        <v>204.3</v>
      </c>
      <c r="D53" s="109">
        <f t="shared" ref="D53" si="4">C53/C52-1</f>
        <v>3.5531451163262284E-2</v>
      </c>
      <c r="E53" s="117">
        <v>23092.2</v>
      </c>
      <c r="F53" s="109">
        <f>E53/E52-1</f>
        <v>1.152254902175498E-2</v>
      </c>
      <c r="G53" s="166"/>
      <c r="H53" s="166"/>
      <c r="I53" s="166"/>
      <c r="J53" s="166"/>
      <c r="K53" s="10"/>
    </row>
    <row r="54" spans="2:11" x14ac:dyDescent="0.25">
      <c r="B54" s="116">
        <v>45680</v>
      </c>
      <c r="C54" s="117">
        <v>207.74</v>
      </c>
      <c r="D54" s="109">
        <f>C54/C53-1</f>
        <v>1.6837983357807174E-2</v>
      </c>
      <c r="E54" s="117">
        <v>23205.35</v>
      </c>
      <c r="F54" s="109">
        <f t="shared" ref="F54:F117" si="5">E54/E53-1</f>
        <v>4.8999229176951431E-3</v>
      </c>
      <c r="G54" s="166"/>
      <c r="H54" s="166"/>
      <c r="I54" s="166"/>
      <c r="J54" s="166"/>
      <c r="K54" s="10"/>
    </row>
    <row r="55" spans="2:11" x14ac:dyDescent="0.25">
      <c r="B55" s="116">
        <v>45679</v>
      </c>
      <c r="C55" s="117">
        <v>206.81</v>
      </c>
      <c r="D55" s="109">
        <f t="shared" ref="D55" si="6">C55/C54-1</f>
        <v>-4.4767497833830827E-3</v>
      </c>
      <c r="E55" s="117">
        <v>23155.35</v>
      </c>
      <c r="F55" s="109">
        <f t="shared" si="5"/>
        <v>-2.1546755381840477E-3</v>
      </c>
      <c r="G55" s="166"/>
      <c r="H55" s="166"/>
      <c r="I55" s="166"/>
      <c r="J55" s="166"/>
      <c r="K55" s="5"/>
    </row>
    <row r="56" spans="2:11" x14ac:dyDescent="0.25">
      <c r="B56" s="116">
        <v>45678</v>
      </c>
      <c r="C56" s="117">
        <v>204.76</v>
      </c>
      <c r="D56" s="109">
        <f>C56/C55-1</f>
        <v>-9.9124800541560143E-3</v>
      </c>
      <c r="E56" s="117">
        <v>23024.65</v>
      </c>
      <c r="F56" s="109">
        <f t="shared" si="5"/>
        <v>-5.6444838881726245E-3</v>
      </c>
      <c r="G56" s="166"/>
      <c r="H56" s="166"/>
      <c r="I56" s="166"/>
      <c r="J56" s="166"/>
      <c r="K56" s="5"/>
    </row>
    <row r="57" spans="2:11" x14ac:dyDescent="0.25">
      <c r="B57" s="116">
        <v>45677</v>
      </c>
      <c r="C57" s="117">
        <v>209.22</v>
      </c>
      <c r="D57" s="109">
        <f t="shared" ref="D57:D120" si="7">C57/C56-1</f>
        <v>2.1781597968353328E-2</v>
      </c>
      <c r="E57" s="117">
        <v>23344.75</v>
      </c>
      <c r="F57" s="109">
        <f t="shared" si="5"/>
        <v>1.3902491460239252E-2</v>
      </c>
      <c r="G57" s="166"/>
      <c r="H57" s="166"/>
      <c r="I57" s="166"/>
      <c r="J57" s="166"/>
      <c r="K57" s="168"/>
    </row>
    <row r="58" spans="2:11" x14ac:dyDescent="0.25">
      <c r="B58" s="116">
        <v>45674</v>
      </c>
      <c r="C58" s="117">
        <v>206.59</v>
      </c>
      <c r="D58" s="109">
        <f t="shared" si="7"/>
        <v>-1.2570499952203384E-2</v>
      </c>
      <c r="E58" s="117">
        <v>23203.200000000001</v>
      </c>
      <c r="F58" s="109">
        <f t="shared" si="5"/>
        <v>-6.0634618061876644E-3</v>
      </c>
      <c r="G58" s="166"/>
      <c r="H58" s="166"/>
      <c r="I58" s="166"/>
      <c r="J58" s="166"/>
      <c r="K58" s="10"/>
    </row>
    <row r="59" spans="2:11" x14ac:dyDescent="0.25">
      <c r="B59" s="116">
        <v>45673</v>
      </c>
      <c r="C59" s="117">
        <v>207.91</v>
      </c>
      <c r="D59" s="109">
        <f t="shared" si="7"/>
        <v>6.3894670603610315E-3</v>
      </c>
      <c r="E59" s="117">
        <v>23311.8</v>
      </c>
      <c r="F59" s="109">
        <f t="shared" si="5"/>
        <v>4.680388911874056E-3</v>
      </c>
      <c r="G59" s="166"/>
      <c r="H59" s="166"/>
      <c r="I59" s="166"/>
      <c r="J59" s="166"/>
      <c r="K59" s="10"/>
    </row>
    <row r="60" spans="2:11" x14ac:dyDescent="0.25">
      <c r="B60" s="116">
        <v>45672</v>
      </c>
      <c r="C60" s="117">
        <v>206.68</v>
      </c>
      <c r="D60" s="109">
        <f t="shared" si="7"/>
        <v>-5.9160213553941521E-3</v>
      </c>
      <c r="E60" s="117">
        <v>23213.200000000001</v>
      </c>
      <c r="F60" s="109">
        <f t="shared" si="5"/>
        <v>-4.2296176185450118E-3</v>
      </c>
      <c r="G60" s="166"/>
      <c r="H60" s="166"/>
      <c r="I60" s="166"/>
      <c r="J60" s="166"/>
      <c r="K60" s="10"/>
    </row>
    <row r="61" spans="2:11" x14ac:dyDescent="0.25">
      <c r="B61" s="116">
        <v>45671</v>
      </c>
      <c r="C61" s="117">
        <v>210.05</v>
      </c>
      <c r="D61" s="109">
        <f t="shared" si="7"/>
        <v>1.6305399651635355E-2</v>
      </c>
      <c r="E61" s="117">
        <v>23176.05</v>
      </c>
      <c r="F61" s="109">
        <f t="shared" si="5"/>
        <v>-1.6003825409681705E-3</v>
      </c>
      <c r="G61" s="166"/>
      <c r="H61" s="166"/>
      <c r="I61" s="166"/>
      <c r="J61" s="166"/>
      <c r="K61" s="5"/>
    </row>
    <row r="62" spans="2:11" x14ac:dyDescent="0.25">
      <c r="B62" s="116">
        <v>45670</v>
      </c>
      <c r="C62" s="117">
        <v>202.45</v>
      </c>
      <c r="D62" s="109">
        <f t="shared" si="7"/>
        <v>-3.6181861461556886E-2</v>
      </c>
      <c r="E62" s="117">
        <v>23085.95</v>
      </c>
      <c r="F62" s="109">
        <f t="shared" si="5"/>
        <v>-3.887634001479956E-3</v>
      </c>
      <c r="G62" s="166"/>
      <c r="H62" s="166"/>
      <c r="I62" s="166"/>
      <c r="J62" s="166"/>
      <c r="K62" s="168"/>
    </row>
    <row r="63" spans="2:11" x14ac:dyDescent="0.25">
      <c r="B63" s="116">
        <v>45667</v>
      </c>
      <c r="C63" s="117">
        <v>210.57</v>
      </c>
      <c r="D63" s="109">
        <f t="shared" si="7"/>
        <v>4.0108668807112835E-2</v>
      </c>
      <c r="E63" s="117">
        <v>23431.5</v>
      </c>
      <c r="F63" s="109">
        <f t="shared" si="5"/>
        <v>1.4967978359131884E-2</v>
      </c>
      <c r="G63" s="166"/>
      <c r="H63" s="166"/>
      <c r="I63" s="166"/>
      <c r="J63" s="166"/>
      <c r="K63" s="10"/>
    </row>
    <row r="64" spans="2:11" x14ac:dyDescent="0.25">
      <c r="B64" s="116">
        <v>45666</v>
      </c>
      <c r="C64" s="117">
        <v>214.4</v>
      </c>
      <c r="D64" s="109">
        <f t="shared" si="7"/>
        <v>1.8188725839388464E-2</v>
      </c>
      <c r="E64" s="117">
        <v>23526.5</v>
      </c>
      <c r="F64" s="109">
        <f t="shared" si="5"/>
        <v>4.0543712523739561E-3</v>
      </c>
      <c r="G64" s="166"/>
      <c r="H64" s="166"/>
      <c r="I64" s="166"/>
      <c r="J64" s="166"/>
      <c r="K64" s="10"/>
    </row>
    <row r="65" spans="2:11" x14ac:dyDescent="0.25">
      <c r="B65" s="116">
        <v>45665</v>
      </c>
      <c r="C65" s="117">
        <v>222.73</v>
      </c>
      <c r="D65" s="109">
        <f t="shared" si="7"/>
        <v>3.8852611940298543E-2</v>
      </c>
      <c r="E65" s="117">
        <v>23688.95</v>
      </c>
      <c r="F65" s="109">
        <f t="shared" si="5"/>
        <v>6.9049794912121598E-3</v>
      </c>
      <c r="G65" s="166"/>
      <c r="H65" s="166"/>
      <c r="I65" s="166"/>
      <c r="J65" s="166"/>
      <c r="K65" s="5"/>
    </row>
    <row r="66" spans="2:11" x14ac:dyDescent="0.25">
      <c r="B66" s="116">
        <v>45664</v>
      </c>
      <c r="C66" s="117">
        <v>224.52</v>
      </c>
      <c r="D66" s="109">
        <f t="shared" si="7"/>
        <v>8.0366362860864182E-3</v>
      </c>
      <c r="E66" s="117">
        <v>23707.9</v>
      </c>
      <c r="F66" s="109">
        <f t="shared" si="5"/>
        <v>7.9995103202135098E-4</v>
      </c>
      <c r="G66" s="166"/>
      <c r="H66" s="166"/>
      <c r="I66" s="166"/>
      <c r="J66" s="166"/>
      <c r="K66" s="166"/>
    </row>
    <row r="67" spans="2:11" x14ac:dyDescent="0.25">
      <c r="B67" s="116">
        <v>45663</v>
      </c>
      <c r="C67" s="117">
        <v>226.16</v>
      </c>
      <c r="D67" s="109">
        <f t="shared" si="7"/>
        <v>7.3044717619810129E-3</v>
      </c>
      <c r="E67" s="117">
        <v>23616.05</v>
      </c>
      <c r="F67" s="109">
        <f t="shared" si="5"/>
        <v>-3.8742360141557075E-3</v>
      </c>
      <c r="G67" s="166"/>
      <c r="H67" s="166"/>
      <c r="I67" s="166"/>
      <c r="J67" s="166"/>
      <c r="K67" s="166"/>
    </row>
    <row r="68" spans="2:11" x14ac:dyDescent="0.25">
      <c r="B68" s="116">
        <v>45660</v>
      </c>
      <c r="C68" s="117">
        <v>234.13</v>
      </c>
      <c r="D68" s="109">
        <f t="shared" si="7"/>
        <v>3.5240537672444283E-2</v>
      </c>
      <c r="E68" s="117">
        <v>24004.75</v>
      </c>
      <c r="F68" s="109">
        <f t="shared" si="5"/>
        <v>1.6459145369356998E-2</v>
      </c>
      <c r="G68" s="166"/>
      <c r="H68" s="166"/>
      <c r="I68" s="166"/>
      <c r="J68" s="166"/>
      <c r="K68" s="166"/>
    </row>
    <row r="69" spans="2:11" x14ac:dyDescent="0.25">
      <c r="B69" s="116">
        <v>45659</v>
      </c>
      <c r="C69" s="117">
        <v>236.08</v>
      </c>
      <c r="D69" s="109">
        <f t="shared" si="7"/>
        <v>8.3287062742920526E-3</v>
      </c>
      <c r="E69" s="117">
        <v>24188.65</v>
      </c>
      <c r="F69" s="109">
        <f t="shared" si="5"/>
        <v>7.6609837636301137E-3</v>
      </c>
      <c r="G69" s="166"/>
      <c r="H69" s="166"/>
      <c r="I69" s="166"/>
      <c r="J69" s="166"/>
      <c r="K69" s="166"/>
    </row>
    <row r="70" spans="2:11" x14ac:dyDescent="0.25">
      <c r="B70" s="116">
        <v>45658</v>
      </c>
      <c r="C70" s="117">
        <v>222.82</v>
      </c>
      <c r="D70" s="109">
        <f t="shared" si="7"/>
        <v>-5.6167400881057317E-2</v>
      </c>
      <c r="E70" s="117">
        <v>23742.9</v>
      </c>
      <c r="F70" s="109">
        <f t="shared" si="5"/>
        <v>-1.8428064402105981E-2</v>
      </c>
      <c r="G70" s="166"/>
      <c r="H70" s="166"/>
      <c r="I70" s="166"/>
      <c r="J70" s="166"/>
      <c r="K70" s="166"/>
    </row>
    <row r="71" spans="2:11" x14ac:dyDescent="0.25">
      <c r="B71" s="116">
        <v>45657</v>
      </c>
      <c r="C71" s="117">
        <v>220.5</v>
      </c>
      <c r="D71" s="109">
        <f t="shared" si="7"/>
        <v>-1.0411991742213411E-2</v>
      </c>
      <c r="E71" s="117">
        <v>23644.799999999999</v>
      </c>
      <c r="F71" s="109">
        <f t="shared" si="5"/>
        <v>-4.1317614950154846E-3</v>
      </c>
      <c r="G71" s="166"/>
      <c r="H71" s="166"/>
      <c r="I71" s="166"/>
      <c r="J71" s="166"/>
      <c r="K71" s="166"/>
    </row>
    <row r="72" spans="2:11" x14ac:dyDescent="0.25">
      <c r="B72" s="116">
        <v>45656</v>
      </c>
      <c r="C72" s="117">
        <v>223.38</v>
      </c>
      <c r="D72" s="109">
        <f t="shared" si="7"/>
        <v>1.3061224489795853E-2</v>
      </c>
      <c r="E72" s="117">
        <v>23644.9</v>
      </c>
      <c r="F72" s="109">
        <f t="shared" si="5"/>
        <v>4.2292597104420793E-6</v>
      </c>
      <c r="G72" s="166"/>
      <c r="H72" s="166"/>
      <c r="I72" s="166"/>
      <c r="J72" s="166"/>
      <c r="K72" s="166"/>
    </row>
    <row r="73" spans="2:11" x14ac:dyDescent="0.25">
      <c r="B73" s="116">
        <v>45653</v>
      </c>
      <c r="C73" s="117">
        <v>220.51</v>
      </c>
      <c r="D73" s="109">
        <f t="shared" si="7"/>
        <v>-1.2848061599068927E-2</v>
      </c>
      <c r="E73" s="117">
        <v>23813.4</v>
      </c>
      <c r="F73" s="109">
        <f t="shared" si="5"/>
        <v>7.126272473133799E-3</v>
      </c>
      <c r="G73" s="166"/>
      <c r="H73" s="166"/>
      <c r="I73" s="166"/>
      <c r="J73" s="166"/>
      <c r="K73" s="166"/>
    </row>
    <row r="74" spans="2:11" x14ac:dyDescent="0.25">
      <c r="B74" s="116">
        <v>45652</v>
      </c>
      <c r="C74" s="117">
        <v>220.14</v>
      </c>
      <c r="D74" s="109">
        <f t="shared" si="7"/>
        <v>-1.6779284386195803E-3</v>
      </c>
      <c r="E74" s="117">
        <v>23750.2</v>
      </c>
      <c r="F74" s="109">
        <f t="shared" si="5"/>
        <v>-2.6539679340203959E-3</v>
      </c>
      <c r="G74" s="166"/>
      <c r="H74" s="166"/>
      <c r="I74" s="166"/>
      <c r="J74" s="166"/>
      <c r="K74" s="166"/>
    </row>
    <row r="75" spans="2:11" x14ac:dyDescent="0.25">
      <c r="B75" s="116">
        <v>45650</v>
      </c>
      <c r="C75" s="117">
        <v>219.88</v>
      </c>
      <c r="D75" s="109">
        <f t="shared" si="7"/>
        <v>-1.1810665939856468E-3</v>
      </c>
      <c r="E75" s="117">
        <v>23727.65</v>
      </c>
      <c r="F75" s="109">
        <f t="shared" si="5"/>
        <v>-9.4946568870990511E-4</v>
      </c>
      <c r="G75" s="166"/>
      <c r="H75" s="166"/>
      <c r="I75" s="166"/>
      <c r="J75" s="166"/>
      <c r="K75" s="166"/>
    </row>
    <row r="76" spans="2:11" x14ac:dyDescent="0.25">
      <c r="B76" s="116">
        <v>45649</v>
      </c>
      <c r="C76" s="117">
        <v>218.94</v>
      </c>
      <c r="D76" s="109">
        <f t="shared" si="7"/>
        <v>-4.2750591231580648E-3</v>
      </c>
      <c r="E76" s="117">
        <v>23753.45</v>
      </c>
      <c r="F76" s="109">
        <f t="shared" si="5"/>
        <v>1.0873390327317267E-3</v>
      </c>
      <c r="G76" s="166"/>
      <c r="H76" s="166"/>
      <c r="I76" s="166"/>
      <c r="J76" s="166"/>
      <c r="K76" s="166"/>
    </row>
    <row r="77" spans="2:11" x14ac:dyDescent="0.25">
      <c r="B77" s="116">
        <v>45646</v>
      </c>
      <c r="C77" s="117">
        <v>217.28</v>
      </c>
      <c r="D77" s="109">
        <f t="shared" si="7"/>
        <v>-7.5819859322188154E-3</v>
      </c>
      <c r="E77" s="117">
        <v>23587.5</v>
      </c>
      <c r="F77" s="109">
        <f t="shared" si="5"/>
        <v>-6.9863535612721961E-3</v>
      </c>
      <c r="G77" s="166"/>
      <c r="H77" s="166"/>
      <c r="I77" s="166"/>
      <c r="J77" s="166"/>
      <c r="K77" s="166"/>
    </row>
    <row r="78" spans="2:11" x14ac:dyDescent="0.25">
      <c r="B78" s="116">
        <v>45645</v>
      </c>
      <c r="C78" s="117">
        <v>219.22</v>
      </c>
      <c r="D78" s="109">
        <f t="shared" si="7"/>
        <v>8.9285714285713969E-3</v>
      </c>
      <c r="E78" s="117">
        <v>23951.7</v>
      </c>
      <c r="F78" s="109">
        <f t="shared" si="5"/>
        <v>1.5440381558028626E-2</v>
      </c>
      <c r="G78" s="166"/>
      <c r="H78" s="166"/>
      <c r="I78" s="166"/>
      <c r="J78" s="166"/>
      <c r="K78" s="166"/>
    </row>
    <row r="79" spans="2:11" x14ac:dyDescent="0.25">
      <c r="B79" s="116">
        <v>45644</v>
      </c>
      <c r="C79" s="117">
        <v>222.83</v>
      </c>
      <c r="D79" s="109">
        <f t="shared" si="7"/>
        <v>1.6467475595292491E-2</v>
      </c>
      <c r="E79" s="117">
        <v>24198.85</v>
      </c>
      <c r="F79" s="109">
        <f t="shared" si="5"/>
        <v>1.0318683016236729E-2</v>
      </c>
      <c r="G79" s="166"/>
      <c r="H79" s="166"/>
      <c r="I79" s="166"/>
      <c r="J79" s="166"/>
      <c r="K79" s="166"/>
    </row>
    <row r="80" spans="2:11" x14ac:dyDescent="0.25">
      <c r="B80" s="116">
        <v>45643</v>
      </c>
      <c r="C80" s="117">
        <v>230.84</v>
      </c>
      <c r="D80" s="109">
        <f t="shared" si="7"/>
        <v>3.594668581429783E-2</v>
      </c>
      <c r="E80" s="117">
        <v>24336</v>
      </c>
      <c r="F80" s="109">
        <f t="shared" si="5"/>
        <v>5.6676247011737679E-3</v>
      </c>
      <c r="G80" s="166"/>
      <c r="H80" s="166"/>
      <c r="I80" s="166"/>
      <c r="J80" s="166"/>
      <c r="K80" s="166"/>
    </row>
    <row r="81" spans="2:11" x14ac:dyDescent="0.25">
      <c r="B81" s="116">
        <v>45642</v>
      </c>
      <c r="C81" s="117">
        <v>234.84</v>
      </c>
      <c r="D81" s="109">
        <f t="shared" si="7"/>
        <v>1.7328019407381712E-2</v>
      </c>
      <c r="E81" s="117">
        <v>24668.25</v>
      </c>
      <c r="F81" s="109">
        <f t="shared" si="5"/>
        <v>1.3652613412228787E-2</v>
      </c>
      <c r="G81" s="166"/>
      <c r="H81" s="166"/>
      <c r="I81" s="166"/>
      <c r="J81" s="166"/>
      <c r="K81" s="166"/>
    </row>
    <row r="82" spans="2:11" x14ac:dyDescent="0.25">
      <c r="B82" s="116">
        <v>45639</v>
      </c>
      <c r="C82" s="117">
        <v>231.94</v>
      </c>
      <c r="D82" s="109">
        <f t="shared" si="7"/>
        <v>-1.2348833248169044E-2</v>
      </c>
      <c r="E82" s="117">
        <v>24768.3</v>
      </c>
      <c r="F82" s="109">
        <f t="shared" si="5"/>
        <v>4.0558207412362268E-3</v>
      </c>
      <c r="G82" s="166"/>
      <c r="H82" s="166"/>
      <c r="I82" s="166"/>
      <c r="J82" s="166"/>
      <c r="K82" s="166"/>
    </row>
    <row r="83" spans="2:11" x14ac:dyDescent="0.25">
      <c r="B83" s="116">
        <v>45638</v>
      </c>
      <c r="C83" s="117">
        <v>230</v>
      </c>
      <c r="D83" s="109">
        <f t="shared" si="7"/>
        <v>-8.3642321289988386E-3</v>
      </c>
      <c r="E83" s="117">
        <v>24548.7</v>
      </c>
      <c r="F83" s="109">
        <f t="shared" si="5"/>
        <v>-8.8661716791220702E-3</v>
      </c>
      <c r="G83" s="166"/>
      <c r="H83" s="166"/>
      <c r="I83" s="166"/>
      <c r="J83" s="166"/>
      <c r="K83" s="166"/>
    </row>
    <row r="84" spans="2:11" x14ac:dyDescent="0.25">
      <c r="B84" s="116">
        <v>45637</v>
      </c>
      <c r="C84" s="117">
        <v>231.18</v>
      </c>
      <c r="D84" s="109">
        <f t="shared" si="7"/>
        <v>5.1304347826086616E-3</v>
      </c>
      <c r="E84" s="117">
        <v>24641.8</v>
      </c>
      <c r="F84" s="109">
        <f t="shared" si="5"/>
        <v>3.7924615152735708E-3</v>
      </c>
      <c r="G84" s="166"/>
      <c r="H84" s="166"/>
      <c r="I84" s="166"/>
      <c r="J84" s="166"/>
      <c r="K84" s="166"/>
    </row>
    <row r="85" spans="2:11" x14ac:dyDescent="0.25">
      <c r="B85" s="116">
        <v>45636</v>
      </c>
      <c r="C85" s="117">
        <v>228.96</v>
      </c>
      <c r="D85" s="109">
        <f t="shared" si="7"/>
        <v>-9.6029068258499661E-3</v>
      </c>
      <c r="E85" s="117">
        <v>24610.05</v>
      </c>
      <c r="F85" s="109">
        <f t="shared" si="5"/>
        <v>-1.2884610702140753E-3</v>
      </c>
      <c r="G85" s="166"/>
      <c r="H85" s="166"/>
      <c r="I85" s="166"/>
      <c r="J85" s="166"/>
      <c r="K85" s="166"/>
    </row>
    <row r="86" spans="2:11" x14ac:dyDescent="0.25">
      <c r="B86" s="116">
        <v>45635</v>
      </c>
      <c r="C86" s="117">
        <v>228.66</v>
      </c>
      <c r="D86" s="109">
        <f t="shared" si="7"/>
        <v>-1.3102725366876955E-3</v>
      </c>
      <c r="E86" s="117">
        <v>24619</v>
      </c>
      <c r="F86" s="109">
        <f t="shared" si="5"/>
        <v>3.6367256466363074E-4</v>
      </c>
      <c r="G86" s="166"/>
      <c r="H86" s="166"/>
      <c r="I86" s="166"/>
      <c r="J86" s="166"/>
      <c r="K86" s="166"/>
    </row>
    <row r="87" spans="2:11" x14ac:dyDescent="0.25">
      <c r="B87" s="116">
        <v>45632</v>
      </c>
      <c r="C87" s="117">
        <v>232.18</v>
      </c>
      <c r="D87" s="109">
        <f t="shared" si="7"/>
        <v>1.5394034811510693E-2</v>
      </c>
      <c r="E87" s="117">
        <v>24677.8</v>
      </c>
      <c r="F87" s="109">
        <f t="shared" si="5"/>
        <v>2.3883992038669088E-3</v>
      </c>
      <c r="G87" s="166"/>
      <c r="H87" s="166"/>
      <c r="I87" s="166"/>
      <c r="J87" s="166"/>
      <c r="K87" s="166"/>
    </row>
    <row r="88" spans="2:11" x14ac:dyDescent="0.25">
      <c r="B88" s="116">
        <v>45631</v>
      </c>
      <c r="C88" s="117">
        <v>232.59</v>
      </c>
      <c r="D88" s="109">
        <f t="shared" si="7"/>
        <v>1.7658713067447707E-3</v>
      </c>
      <c r="E88" s="117">
        <v>24708.400000000001</v>
      </c>
      <c r="F88" s="109">
        <f t="shared" si="5"/>
        <v>1.239980873497748E-3</v>
      </c>
      <c r="G88" s="166"/>
      <c r="H88" s="166"/>
      <c r="I88" s="166"/>
      <c r="J88" s="166"/>
      <c r="K88" s="166"/>
    </row>
    <row r="89" spans="2:11" x14ac:dyDescent="0.25">
      <c r="B89" s="116">
        <v>45630</v>
      </c>
      <c r="C89" s="117">
        <v>233.98</v>
      </c>
      <c r="D89" s="109">
        <f t="shared" si="7"/>
        <v>5.976181263166902E-3</v>
      </c>
      <c r="E89" s="117">
        <v>24467.45</v>
      </c>
      <c r="F89" s="109">
        <f t="shared" si="5"/>
        <v>-9.7517443460524156E-3</v>
      </c>
      <c r="G89" s="166"/>
      <c r="H89" s="166"/>
      <c r="I89" s="166"/>
      <c r="J89" s="166"/>
      <c r="K89" s="166"/>
    </row>
    <row r="90" spans="2:11" x14ac:dyDescent="0.25">
      <c r="B90" s="116">
        <v>45629</v>
      </c>
      <c r="C90" s="117">
        <v>235.18</v>
      </c>
      <c r="D90" s="109">
        <f t="shared" si="7"/>
        <v>5.1286434738011533E-3</v>
      </c>
      <c r="E90" s="117">
        <v>24457.15</v>
      </c>
      <c r="F90" s="109">
        <f t="shared" si="5"/>
        <v>-4.2096744858988178E-4</v>
      </c>
      <c r="G90" s="166"/>
      <c r="H90" s="166"/>
      <c r="I90" s="166"/>
      <c r="J90" s="166"/>
      <c r="K90" s="166"/>
    </row>
    <row r="91" spans="2:11" x14ac:dyDescent="0.25">
      <c r="B91" s="116">
        <v>45628</v>
      </c>
      <c r="C91" s="117">
        <v>229.82</v>
      </c>
      <c r="D91" s="109">
        <f t="shared" si="7"/>
        <v>-2.2791053661025629E-2</v>
      </c>
      <c r="E91" s="117">
        <v>24276.05</v>
      </c>
      <c r="F91" s="109">
        <f t="shared" si="5"/>
        <v>-7.4047875570130151E-3</v>
      </c>
      <c r="G91" s="166"/>
      <c r="H91" s="166"/>
      <c r="I91" s="166"/>
      <c r="J91" s="166"/>
      <c r="K91" s="166"/>
    </row>
    <row r="92" spans="2:11" x14ac:dyDescent="0.25">
      <c r="B92" s="116">
        <v>45625</v>
      </c>
      <c r="C92" s="117">
        <v>232.08</v>
      </c>
      <c r="D92" s="109">
        <f t="shared" si="7"/>
        <v>9.8337829605779081E-3</v>
      </c>
      <c r="E92" s="117">
        <v>24131.1</v>
      </c>
      <c r="F92" s="109">
        <f t="shared" si="5"/>
        <v>-5.9709054809163886E-3</v>
      </c>
      <c r="G92" s="166"/>
      <c r="H92" s="166"/>
      <c r="I92" s="166"/>
      <c r="J92" s="166"/>
      <c r="K92" s="166"/>
    </row>
    <row r="93" spans="2:11" x14ac:dyDescent="0.25">
      <c r="B93" s="116">
        <v>45624</v>
      </c>
      <c r="C93" s="117">
        <v>231.58</v>
      </c>
      <c r="D93" s="109">
        <f t="shared" si="7"/>
        <v>-2.1544295070665687E-3</v>
      </c>
      <c r="E93" s="117">
        <v>23914.15</v>
      </c>
      <c r="F93" s="109">
        <f t="shared" si="5"/>
        <v>-8.9904728752521201E-3</v>
      </c>
      <c r="G93" s="166"/>
      <c r="H93" s="166"/>
      <c r="I93" s="166"/>
      <c r="J93" s="166"/>
      <c r="K93" s="166"/>
    </row>
    <row r="94" spans="2:11" x14ac:dyDescent="0.25">
      <c r="B94" s="116">
        <v>45623</v>
      </c>
      <c r="C94" s="117">
        <v>234.86</v>
      </c>
      <c r="D94" s="109">
        <f t="shared" si="7"/>
        <v>1.4163571983763612E-2</v>
      </c>
      <c r="E94" s="117">
        <v>24274.9</v>
      </c>
      <c r="F94" s="109">
        <f t="shared" si="5"/>
        <v>1.5085211057052073E-2</v>
      </c>
      <c r="G94" s="166"/>
      <c r="H94" s="166"/>
      <c r="I94" s="166"/>
      <c r="J94" s="166"/>
      <c r="K94" s="166"/>
    </row>
    <row r="95" spans="2:11" x14ac:dyDescent="0.25">
      <c r="B95" s="116">
        <v>45622</v>
      </c>
      <c r="C95" s="117">
        <v>231.54</v>
      </c>
      <c r="D95" s="109">
        <f t="shared" si="7"/>
        <v>-1.4136081069573425E-2</v>
      </c>
      <c r="E95" s="117">
        <v>24194.5</v>
      </c>
      <c r="F95" s="109">
        <f t="shared" si="5"/>
        <v>-3.3120630774998716E-3</v>
      </c>
      <c r="G95" s="166"/>
      <c r="H95" s="166"/>
      <c r="I95" s="166"/>
      <c r="J95" s="166"/>
      <c r="K95" s="166"/>
    </row>
    <row r="96" spans="2:11" x14ac:dyDescent="0.25">
      <c r="B96" s="116">
        <v>45621</v>
      </c>
      <c r="C96" s="117">
        <v>234.91</v>
      </c>
      <c r="D96" s="109">
        <f t="shared" si="7"/>
        <v>1.4554720566640755E-2</v>
      </c>
      <c r="E96" s="117">
        <v>24221.9</v>
      </c>
      <c r="F96" s="109">
        <f t="shared" si="5"/>
        <v>1.1324887887744772E-3</v>
      </c>
      <c r="G96" s="166"/>
      <c r="H96" s="166"/>
      <c r="I96" s="166"/>
      <c r="J96" s="166"/>
      <c r="K96" s="166"/>
    </row>
    <row r="97" spans="2:11" x14ac:dyDescent="0.25">
      <c r="B97" s="116">
        <v>45618</v>
      </c>
      <c r="C97" s="117">
        <v>223.96</v>
      </c>
      <c r="D97" s="109">
        <f t="shared" si="7"/>
        <v>-4.661359669660714E-2</v>
      </c>
      <c r="E97" s="117">
        <v>23907.25</v>
      </c>
      <c r="F97" s="109">
        <f t="shared" si="5"/>
        <v>-1.2990310421560736E-2</v>
      </c>
      <c r="G97" s="166"/>
      <c r="H97" s="166"/>
      <c r="I97" s="166"/>
      <c r="J97" s="166"/>
      <c r="K97" s="166"/>
    </row>
    <row r="98" spans="2:11" x14ac:dyDescent="0.25">
      <c r="B98" s="116">
        <v>45617</v>
      </c>
      <c r="C98" s="117">
        <v>218.9</v>
      </c>
      <c r="D98" s="109">
        <f t="shared" si="7"/>
        <v>-2.2593320235756442E-2</v>
      </c>
      <c r="E98" s="117">
        <v>23349.9</v>
      </c>
      <c r="F98" s="109">
        <f t="shared" si="5"/>
        <v>-2.3313011743299583E-2</v>
      </c>
      <c r="G98" s="166"/>
      <c r="H98" s="166"/>
      <c r="I98" s="166"/>
      <c r="J98" s="166"/>
      <c r="K98" s="166"/>
    </row>
    <row r="99" spans="2:11" x14ac:dyDescent="0.25">
      <c r="B99" s="116">
        <v>45615</v>
      </c>
      <c r="C99" s="117">
        <v>221.34</v>
      </c>
      <c r="D99" s="109">
        <f t="shared" si="7"/>
        <v>1.1146642302421128E-2</v>
      </c>
      <c r="E99" s="117">
        <v>23518.5</v>
      </c>
      <c r="F99" s="109">
        <f t="shared" si="5"/>
        <v>7.220587668469669E-3</v>
      </c>
      <c r="G99" s="166"/>
      <c r="H99" s="166"/>
      <c r="I99" s="166"/>
      <c r="J99" s="166"/>
      <c r="K99" s="166"/>
    </row>
    <row r="100" spans="2:11" x14ac:dyDescent="0.25">
      <c r="B100" s="116">
        <v>45614</v>
      </c>
      <c r="C100" s="117">
        <v>220.25</v>
      </c>
      <c r="D100" s="109">
        <f t="shared" si="7"/>
        <v>-4.9245504653474548E-3</v>
      </c>
      <c r="E100" s="117">
        <v>23453.8</v>
      </c>
      <c r="F100" s="109">
        <f t="shared" si="5"/>
        <v>-2.7510257882092937E-3</v>
      </c>
      <c r="G100" s="166"/>
      <c r="H100" s="166"/>
      <c r="I100" s="166"/>
      <c r="J100" s="166"/>
      <c r="K100" s="166"/>
    </row>
    <row r="101" spans="2:11" x14ac:dyDescent="0.25">
      <c r="B101" s="116">
        <v>45610</v>
      </c>
      <c r="C101" s="117">
        <v>217.57</v>
      </c>
      <c r="D101" s="109">
        <f t="shared" si="7"/>
        <v>-1.2167990919409788E-2</v>
      </c>
      <c r="E101" s="117">
        <v>23532.7</v>
      </c>
      <c r="F101" s="109">
        <f t="shared" si="5"/>
        <v>3.3640604081215386E-3</v>
      </c>
      <c r="G101" s="166"/>
      <c r="H101" s="166"/>
      <c r="I101" s="166"/>
      <c r="J101" s="166"/>
      <c r="K101" s="166"/>
    </row>
    <row r="102" spans="2:11" x14ac:dyDescent="0.25">
      <c r="B102" s="116">
        <v>45609</v>
      </c>
      <c r="C102" s="117">
        <v>217.42</v>
      </c>
      <c r="D102" s="109">
        <f t="shared" si="7"/>
        <v>-6.8943328583903618E-4</v>
      </c>
      <c r="E102" s="117">
        <v>23559.05</v>
      </c>
      <c r="F102" s="109">
        <f t="shared" si="5"/>
        <v>1.1197185193367876E-3</v>
      </c>
      <c r="G102" s="166"/>
      <c r="H102" s="166"/>
      <c r="I102" s="166"/>
      <c r="J102" s="166"/>
      <c r="K102" s="166"/>
    </row>
    <row r="103" spans="2:11" x14ac:dyDescent="0.25">
      <c r="B103" s="116">
        <v>45608</v>
      </c>
      <c r="C103" s="117">
        <v>221.12</v>
      </c>
      <c r="D103" s="109">
        <f t="shared" si="7"/>
        <v>1.7017753656517476E-2</v>
      </c>
      <c r="E103" s="117">
        <v>23883.45</v>
      </c>
      <c r="F103" s="109">
        <f t="shared" si="5"/>
        <v>1.3769655397819491E-2</v>
      </c>
      <c r="G103" s="166"/>
      <c r="H103" s="166"/>
      <c r="I103" s="166"/>
      <c r="J103" s="166"/>
      <c r="K103" s="166"/>
    </row>
    <row r="104" spans="2:11" x14ac:dyDescent="0.25">
      <c r="B104" s="116">
        <v>45607</v>
      </c>
      <c r="C104" s="117">
        <v>224.34</v>
      </c>
      <c r="D104" s="109">
        <f t="shared" si="7"/>
        <v>1.4562228654124487E-2</v>
      </c>
      <c r="E104" s="117">
        <v>24141.3</v>
      </c>
      <c r="F104" s="109">
        <f t="shared" si="5"/>
        <v>1.0796178943996759E-2</v>
      </c>
      <c r="G104" s="166"/>
      <c r="H104" s="166"/>
      <c r="I104" s="166"/>
      <c r="J104" s="166"/>
      <c r="K104" s="166"/>
    </row>
    <row r="105" spans="2:11" x14ac:dyDescent="0.25">
      <c r="B105" s="116">
        <v>45604</v>
      </c>
      <c r="C105" s="117">
        <v>221.89</v>
      </c>
      <c r="D105" s="109">
        <f t="shared" si="7"/>
        <v>-1.0920923598110033E-2</v>
      </c>
      <c r="E105" s="117">
        <v>24148.2</v>
      </c>
      <c r="F105" s="109">
        <f t="shared" si="5"/>
        <v>2.8581725093523858E-4</v>
      </c>
      <c r="G105" s="166"/>
      <c r="H105" s="166"/>
      <c r="I105" s="166"/>
      <c r="J105" s="166"/>
      <c r="K105" s="166"/>
    </row>
    <row r="106" spans="2:11" x14ac:dyDescent="0.25">
      <c r="B106" s="116">
        <v>45603</v>
      </c>
      <c r="C106" s="117">
        <v>215.9</v>
      </c>
      <c r="D106" s="109">
        <f t="shared" si="7"/>
        <v>-2.6995358060300068E-2</v>
      </c>
      <c r="E106" s="117">
        <v>24199.35</v>
      </c>
      <c r="F106" s="109">
        <f t="shared" si="5"/>
        <v>2.1181702984072182E-3</v>
      </c>
      <c r="G106" s="166"/>
      <c r="H106" s="166"/>
      <c r="I106" s="166"/>
      <c r="J106" s="166"/>
      <c r="K106" s="166"/>
    </row>
    <row r="107" spans="2:11" x14ac:dyDescent="0.25">
      <c r="B107" s="116">
        <v>45602</v>
      </c>
      <c r="C107" s="117">
        <v>215.61</v>
      </c>
      <c r="D107" s="109">
        <f t="shared" si="7"/>
        <v>-1.3432144511347222E-3</v>
      </c>
      <c r="E107" s="117">
        <v>24484.05</v>
      </c>
      <c r="F107" s="109">
        <f t="shared" si="5"/>
        <v>1.1764778806042431E-2</v>
      </c>
      <c r="G107" s="166"/>
      <c r="H107" s="166"/>
      <c r="I107" s="166"/>
      <c r="J107" s="166"/>
      <c r="K107" s="166"/>
    </row>
    <row r="108" spans="2:11" x14ac:dyDescent="0.25">
      <c r="B108" s="116">
        <v>45601</v>
      </c>
      <c r="C108" s="117">
        <v>211.84</v>
      </c>
      <c r="D108" s="109">
        <f t="shared" si="7"/>
        <v>-1.7485274337925016E-2</v>
      </c>
      <c r="E108" s="117">
        <v>24213.3</v>
      </c>
      <c r="F108" s="109">
        <f t="shared" si="5"/>
        <v>-1.1058219534758384E-2</v>
      </c>
      <c r="G108" s="166"/>
      <c r="H108" s="166"/>
      <c r="I108" s="166"/>
      <c r="J108" s="166"/>
      <c r="K108" s="166"/>
    </row>
    <row r="109" spans="2:11" x14ac:dyDescent="0.25">
      <c r="B109" s="116">
        <v>45600</v>
      </c>
      <c r="C109" s="117">
        <v>208.71</v>
      </c>
      <c r="D109" s="109">
        <f t="shared" si="7"/>
        <v>-1.4775302114803601E-2</v>
      </c>
      <c r="E109" s="117">
        <v>23995.35</v>
      </c>
      <c r="F109" s="109">
        <f t="shared" si="5"/>
        <v>-9.0012513783747083E-3</v>
      </c>
      <c r="G109" s="166"/>
      <c r="H109" s="166"/>
      <c r="I109" s="166"/>
      <c r="J109" s="166"/>
      <c r="K109" s="166"/>
    </row>
    <row r="110" spans="2:11" x14ac:dyDescent="0.25">
      <c r="B110" s="116">
        <v>45597</v>
      </c>
      <c r="C110" s="117">
        <v>209.25</v>
      </c>
      <c r="D110" s="109">
        <f t="shared" si="7"/>
        <v>2.5873221216041742E-3</v>
      </c>
      <c r="E110" s="117">
        <v>24304.35</v>
      </c>
      <c r="F110" s="109">
        <f t="shared" si="5"/>
        <v>1.2877495014659068E-2</v>
      </c>
      <c r="G110" s="166"/>
      <c r="H110" s="166"/>
      <c r="I110" s="166"/>
      <c r="J110" s="166"/>
      <c r="K110" s="166"/>
    </row>
    <row r="111" spans="2:11" x14ac:dyDescent="0.25">
      <c r="B111" s="116">
        <v>45596</v>
      </c>
      <c r="C111" s="117">
        <v>208.18</v>
      </c>
      <c r="D111" s="109">
        <f t="shared" si="7"/>
        <v>-5.1135005973714787E-3</v>
      </c>
      <c r="E111" s="117">
        <v>24205.35</v>
      </c>
      <c r="F111" s="109">
        <f t="shared" si="5"/>
        <v>-4.0733448950496243E-3</v>
      </c>
      <c r="G111" s="166"/>
      <c r="H111" s="166"/>
      <c r="I111" s="166"/>
      <c r="J111" s="166"/>
      <c r="K111" s="166"/>
    </row>
    <row r="112" spans="2:11" x14ac:dyDescent="0.25">
      <c r="B112" s="116">
        <v>45595</v>
      </c>
      <c r="C112" s="117">
        <v>209.39</v>
      </c>
      <c r="D112" s="109">
        <f t="shared" si="7"/>
        <v>5.8122778364875227E-3</v>
      </c>
      <c r="E112" s="117">
        <v>24340.85</v>
      </c>
      <c r="F112" s="109">
        <f t="shared" si="5"/>
        <v>5.5979359934890116E-3</v>
      </c>
      <c r="G112" s="166"/>
      <c r="H112" s="166"/>
      <c r="I112" s="166"/>
      <c r="J112" s="166"/>
      <c r="K112" s="166"/>
    </row>
    <row r="113" spans="2:11" x14ac:dyDescent="0.25">
      <c r="B113" s="116">
        <v>45594</v>
      </c>
      <c r="C113" s="117">
        <v>208.15</v>
      </c>
      <c r="D113" s="109">
        <f t="shared" si="7"/>
        <v>-5.9219637996082986E-3</v>
      </c>
      <c r="E113" s="117">
        <v>24466.85</v>
      </c>
      <c r="F113" s="109">
        <f t="shared" si="5"/>
        <v>5.1764831548610779E-3</v>
      </c>
      <c r="G113" s="166"/>
      <c r="H113" s="166"/>
      <c r="I113" s="166"/>
      <c r="J113" s="166"/>
      <c r="K113" s="166"/>
    </row>
    <row r="114" spans="2:11" x14ac:dyDescent="0.25">
      <c r="B114" s="116">
        <v>45593</v>
      </c>
      <c r="C114" s="117">
        <v>211.89</v>
      </c>
      <c r="D114" s="109">
        <f t="shared" si="7"/>
        <v>1.7967811674273193E-2</v>
      </c>
      <c r="E114" s="117">
        <v>24339.15</v>
      </c>
      <c r="F114" s="109">
        <f t="shared" si="5"/>
        <v>-5.2193069397979963E-3</v>
      </c>
      <c r="G114" s="166"/>
      <c r="H114" s="166"/>
      <c r="I114" s="166"/>
      <c r="J114" s="166"/>
      <c r="K114" s="166"/>
    </row>
    <row r="115" spans="2:11" x14ac:dyDescent="0.25">
      <c r="B115" s="116">
        <v>45590</v>
      </c>
      <c r="C115" s="117">
        <v>214</v>
      </c>
      <c r="D115" s="109">
        <f t="shared" si="7"/>
        <v>9.9579970739536172E-3</v>
      </c>
      <c r="E115" s="117">
        <v>24180.799999999999</v>
      </c>
      <c r="F115" s="109">
        <f t="shared" si="5"/>
        <v>-6.5059790502134396E-3</v>
      </c>
      <c r="G115" s="166"/>
      <c r="H115" s="166"/>
      <c r="I115" s="166"/>
      <c r="J115" s="166"/>
      <c r="K115" s="166"/>
    </row>
    <row r="116" spans="2:11" x14ac:dyDescent="0.25">
      <c r="B116" s="116">
        <v>45589</v>
      </c>
      <c r="C116" s="117">
        <v>217.26</v>
      </c>
      <c r="D116" s="109">
        <f t="shared" si="7"/>
        <v>1.5233644859812934E-2</v>
      </c>
      <c r="E116" s="117">
        <v>24399.4</v>
      </c>
      <c r="F116" s="109">
        <f t="shared" si="5"/>
        <v>9.0402302653345146E-3</v>
      </c>
      <c r="G116" s="166"/>
      <c r="H116" s="166"/>
      <c r="I116" s="166"/>
      <c r="J116" s="166"/>
      <c r="K116" s="166"/>
    </row>
    <row r="117" spans="2:11" x14ac:dyDescent="0.25">
      <c r="B117" s="116">
        <v>45588</v>
      </c>
      <c r="C117" s="117">
        <v>214.11</v>
      </c>
      <c r="D117" s="109">
        <f t="shared" si="7"/>
        <v>-1.4498757249378547E-2</v>
      </c>
      <c r="E117" s="117">
        <v>24435.5</v>
      </c>
      <c r="F117" s="109">
        <f t="shared" si="5"/>
        <v>1.4795445789650419E-3</v>
      </c>
      <c r="G117" s="166"/>
      <c r="H117" s="166"/>
      <c r="I117" s="166"/>
      <c r="J117" s="166"/>
      <c r="K117" s="166"/>
    </row>
    <row r="118" spans="2:11" x14ac:dyDescent="0.25">
      <c r="B118" s="116">
        <v>45587</v>
      </c>
      <c r="C118" s="117">
        <v>212.58</v>
      </c>
      <c r="D118" s="109">
        <f t="shared" si="7"/>
        <v>-7.1458596048760148E-3</v>
      </c>
      <c r="E118" s="117">
        <v>24472.1</v>
      </c>
      <c r="F118" s="109">
        <f t="shared" ref="F118:F181" si="8">E118/E117-1</f>
        <v>1.497820793517679E-3</v>
      </c>
      <c r="G118" s="166"/>
      <c r="H118" s="166"/>
      <c r="I118" s="166"/>
      <c r="J118" s="166"/>
      <c r="K118" s="166"/>
    </row>
    <row r="119" spans="2:11" x14ac:dyDescent="0.25">
      <c r="B119" s="116">
        <v>45586</v>
      </c>
      <c r="C119" s="117">
        <v>217.8</v>
      </c>
      <c r="D119" s="109">
        <f t="shared" si="7"/>
        <v>2.4555461473327655E-2</v>
      </c>
      <c r="E119" s="117">
        <v>24781.1</v>
      </c>
      <c r="F119" s="109">
        <f t="shared" si="8"/>
        <v>1.2626623787905356E-2</v>
      </c>
      <c r="G119" s="166"/>
      <c r="H119" s="166"/>
      <c r="I119" s="166"/>
      <c r="J119" s="166"/>
      <c r="K119" s="166"/>
    </row>
    <row r="120" spans="2:11" x14ac:dyDescent="0.25">
      <c r="B120" s="116">
        <v>45583</v>
      </c>
      <c r="C120" s="117">
        <v>223.28</v>
      </c>
      <c r="D120" s="109">
        <f t="shared" si="7"/>
        <v>2.5160697887970596E-2</v>
      </c>
      <c r="E120" s="117">
        <v>24854.05</v>
      </c>
      <c r="F120" s="109">
        <f t="shared" si="8"/>
        <v>2.9437757000294607E-3</v>
      </c>
      <c r="G120" s="166"/>
      <c r="H120" s="166"/>
      <c r="I120" s="166"/>
      <c r="J120" s="166"/>
      <c r="K120" s="166"/>
    </row>
    <row r="121" spans="2:11" x14ac:dyDescent="0.25">
      <c r="B121" s="116">
        <v>45582</v>
      </c>
      <c r="C121" s="117">
        <v>219.56</v>
      </c>
      <c r="D121" s="109">
        <f t="shared" ref="D121:D184" si="9">C121/C120-1</f>
        <v>-1.6660695091365141E-2</v>
      </c>
      <c r="E121" s="117">
        <v>24749.85</v>
      </c>
      <c r="F121" s="109">
        <f t="shared" si="8"/>
        <v>-4.1924756729788681E-3</v>
      </c>
      <c r="G121" s="166"/>
      <c r="H121" s="166"/>
      <c r="I121" s="166"/>
      <c r="J121" s="166"/>
      <c r="K121" s="166"/>
    </row>
    <row r="122" spans="2:11" x14ac:dyDescent="0.25">
      <c r="B122" s="116">
        <v>45581</v>
      </c>
      <c r="C122" s="117">
        <v>224.36</v>
      </c>
      <c r="D122" s="109">
        <f t="shared" si="9"/>
        <v>2.1861905629440681E-2</v>
      </c>
      <c r="E122" s="117">
        <v>24971.3</v>
      </c>
      <c r="F122" s="109">
        <f t="shared" si="8"/>
        <v>8.9475289749230136E-3</v>
      </c>
      <c r="G122" s="166"/>
      <c r="H122" s="166"/>
      <c r="I122" s="166"/>
      <c r="J122" s="166"/>
      <c r="K122" s="166"/>
    </row>
    <row r="123" spans="2:11" x14ac:dyDescent="0.25">
      <c r="B123" s="116">
        <v>45580</v>
      </c>
      <c r="C123" s="117">
        <v>226.3</v>
      </c>
      <c r="D123" s="109">
        <f t="shared" si="9"/>
        <v>8.6468176145479969E-3</v>
      </c>
      <c r="E123" s="117">
        <v>25057.35</v>
      </c>
      <c r="F123" s="109">
        <f t="shared" si="8"/>
        <v>3.4459559574391285E-3</v>
      </c>
      <c r="G123" s="166"/>
      <c r="H123" s="166"/>
      <c r="I123" s="166"/>
      <c r="J123" s="166"/>
      <c r="K123" s="166"/>
    </row>
    <row r="124" spans="2:11" x14ac:dyDescent="0.25">
      <c r="B124" s="116">
        <v>45579</v>
      </c>
      <c r="C124" s="117">
        <v>228.71</v>
      </c>
      <c r="D124" s="109">
        <f t="shared" si="9"/>
        <v>1.0649580203270004E-2</v>
      </c>
      <c r="E124" s="117">
        <v>25127.95</v>
      </c>
      <c r="F124" s="109">
        <f t="shared" si="8"/>
        <v>2.8175365711060607E-3</v>
      </c>
      <c r="G124" s="166"/>
      <c r="H124" s="166"/>
      <c r="I124" s="166"/>
      <c r="J124" s="166"/>
      <c r="K124" s="166"/>
    </row>
    <row r="125" spans="2:11" x14ac:dyDescent="0.25">
      <c r="B125" s="116">
        <v>45576</v>
      </c>
      <c r="C125" s="117">
        <v>227.86</v>
      </c>
      <c r="D125" s="109">
        <f t="shared" si="9"/>
        <v>-3.7164968737702919E-3</v>
      </c>
      <c r="E125" s="117">
        <v>24964.25</v>
      </c>
      <c r="F125" s="109">
        <f t="shared" si="8"/>
        <v>-6.514657980456029E-3</v>
      </c>
      <c r="G125" s="166"/>
      <c r="H125" s="166"/>
      <c r="I125" s="166"/>
      <c r="J125" s="166"/>
      <c r="K125" s="166"/>
    </row>
    <row r="126" spans="2:11" x14ac:dyDescent="0.25">
      <c r="B126" s="116">
        <v>45575</v>
      </c>
      <c r="C126" s="117">
        <v>225.7</v>
      </c>
      <c r="D126" s="109">
        <f t="shared" si="9"/>
        <v>-9.4795049591855918E-3</v>
      </c>
      <c r="E126" s="117">
        <v>24998.45</v>
      </c>
      <c r="F126" s="109">
        <f t="shared" si="8"/>
        <v>1.3699590414293361E-3</v>
      </c>
      <c r="G126" s="166"/>
      <c r="H126" s="166"/>
      <c r="I126" s="166"/>
      <c r="J126" s="166"/>
      <c r="K126" s="166"/>
    </row>
    <row r="127" spans="2:11" x14ac:dyDescent="0.25">
      <c r="B127" s="116">
        <v>45574</v>
      </c>
      <c r="C127" s="117">
        <v>221.82</v>
      </c>
      <c r="D127" s="109">
        <f t="shared" si="9"/>
        <v>-1.7190961453256492E-2</v>
      </c>
      <c r="E127" s="117">
        <v>24981.95</v>
      </c>
      <c r="F127" s="109">
        <f t="shared" si="8"/>
        <v>-6.6004092253724167E-4</v>
      </c>
      <c r="G127" s="166"/>
      <c r="H127" s="166"/>
      <c r="I127" s="166"/>
      <c r="J127" s="166"/>
      <c r="K127" s="166"/>
    </row>
    <row r="128" spans="2:11" x14ac:dyDescent="0.25">
      <c r="B128" s="116">
        <v>45573</v>
      </c>
      <c r="C128" s="117">
        <v>222.47</v>
      </c>
      <c r="D128" s="109">
        <f t="shared" si="9"/>
        <v>2.9303038499683964E-3</v>
      </c>
      <c r="E128" s="117">
        <v>25013.15</v>
      </c>
      <c r="F128" s="109">
        <f t="shared" si="8"/>
        <v>1.2489017070325126E-3</v>
      </c>
      <c r="G128" s="166"/>
      <c r="H128" s="166"/>
      <c r="I128" s="166"/>
      <c r="J128" s="166"/>
      <c r="K128" s="166"/>
    </row>
    <row r="129" spans="2:11" x14ac:dyDescent="0.25">
      <c r="B129" s="116">
        <v>45572</v>
      </c>
      <c r="C129" s="117">
        <v>222.42</v>
      </c>
      <c r="D129" s="109">
        <f t="shared" si="9"/>
        <v>-2.2474940441408187E-4</v>
      </c>
      <c r="E129" s="117">
        <v>24795.75</v>
      </c>
      <c r="F129" s="109">
        <f t="shared" si="8"/>
        <v>-8.6914283087097255E-3</v>
      </c>
      <c r="G129" s="166"/>
      <c r="H129" s="166"/>
      <c r="I129" s="166"/>
      <c r="J129" s="166"/>
      <c r="K129" s="166"/>
    </row>
    <row r="130" spans="2:11" x14ac:dyDescent="0.25">
      <c r="B130" s="116">
        <v>45569</v>
      </c>
      <c r="C130" s="117">
        <v>225.39</v>
      </c>
      <c r="D130" s="109">
        <f t="shared" si="9"/>
        <v>1.335311572700304E-2</v>
      </c>
      <c r="E130" s="117">
        <v>25014.6</v>
      </c>
      <c r="F130" s="109">
        <f t="shared" si="8"/>
        <v>8.8261093130879154E-3</v>
      </c>
      <c r="G130" s="166"/>
      <c r="H130" s="166"/>
      <c r="I130" s="166"/>
      <c r="J130" s="166"/>
      <c r="K130" s="166"/>
    </row>
    <row r="131" spans="2:11" x14ac:dyDescent="0.25">
      <c r="B131" s="116">
        <v>45568</v>
      </c>
      <c r="C131" s="117">
        <v>230.7</v>
      </c>
      <c r="D131" s="109">
        <f t="shared" si="9"/>
        <v>2.3559164115533049E-2</v>
      </c>
      <c r="E131" s="117">
        <v>25250.1</v>
      </c>
      <c r="F131" s="109">
        <f t="shared" si="8"/>
        <v>9.4145019308724542E-3</v>
      </c>
      <c r="G131" s="166"/>
      <c r="H131" s="166"/>
      <c r="I131" s="166"/>
      <c r="J131" s="166"/>
      <c r="K131" s="166"/>
    </row>
    <row r="132" spans="2:11" x14ac:dyDescent="0.25">
      <c r="B132" s="116">
        <v>45566</v>
      </c>
      <c r="C132" s="117">
        <v>238.13</v>
      </c>
      <c r="D132" s="109">
        <f t="shared" si="9"/>
        <v>3.2206328565236308E-2</v>
      </c>
      <c r="E132" s="117">
        <v>25796.9</v>
      </c>
      <c r="F132" s="109">
        <f t="shared" si="8"/>
        <v>2.1655359780753392E-2</v>
      </c>
      <c r="G132" s="166"/>
      <c r="H132" s="166"/>
      <c r="I132" s="166"/>
      <c r="J132" s="166"/>
      <c r="K132" s="166"/>
    </row>
    <row r="133" spans="2:11" x14ac:dyDescent="0.25">
      <c r="B133" s="116">
        <v>45565</v>
      </c>
      <c r="C133" s="117">
        <v>235.4</v>
      </c>
      <c r="D133" s="109">
        <f t="shared" si="9"/>
        <v>-1.1464326208373565E-2</v>
      </c>
      <c r="E133" s="117">
        <v>25810.85</v>
      </c>
      <c r="F133" s="109">
        <f t="shared" si="8"/>
        <v>5.4076264977553912E-4</v>
      </c>
      <c r="G133" s="166"/>
      <c r="H133" s="166"/>
      <c r="I133" s="166"/>
      <c r="J133" s="166"/>
      <c r="K133" s="166"/>
    </row>
    <row r="134" spans="2:11" x14ac:dyDescent="0.25">
      <c r="B134" s="116">
        <v>45562</v>
      </c>
      <c r="C134" s="117">
        <v>239.55</v>
      </c>
      <c r="D134" s="109">
        <f t="shared" si="9"/>
        <v>1.7629566694987275E-2</v>
      </c>
      <c r="E134" s="117">
        <v>26178.95</v>
      </c>
      <c r="F134" s="109">
        <f t="shared" si="8"/>
        <v>1.4261444315084582E-2</v>
      </c>
      <c r="G134" s="166"/>
      <c r="H134" s="166"/>
      <c r="I134" s="166"/>
      <c r="J134" s="166"/>
      <c r="K134" s="166"/>
    </row>
    <row r="135" spans="2:11" x14ac:dyDescent="0.25">
      <c r="B135" s="116">
        <v>45561</v>
      </c>
      <c r="C135" s="117">
        <v>241.2</v>
      </c>
      <c r="D135" s="109">
        <f t="shared" si="9"/>
        <v>6.8879148403255819E-3</v>
      </c>
      <c r="E135" s="117">
        <v>26216.05</v>
      </c>
      <c r="F135" s="109">
        <f t="shared" si="8"/>
        <v>1.4171691377995455E-3</v>
      </c>
      <c r="G135" s="166"/>
      <c r="H135" s="166"/>
      <c r="I135" s="166"/>
      <c r="J135" s="166"/>
      <c r="K135" s="166"/>
    </row>
    <row r="136" spans="2:11" x14ac:dyDescent="0.25">
      <c r="B136" s="116">
        <v>45560</v>
      </c>
      <c r="C136" s="117">
        <v>238.35</v>
      </c>
      <c r="D136" s="109">
        <f t="shared" si="9"/>
        <v>-1.1815920398009938E-2</v>
      </c>
      <c r="E136" s="117">
        <v>26004.15</v>
      </c>
      <c r="F136" s="109">
        <f t="shared" si="8"/>
        <v>-8.0828347519934507E-3</v>
      </c>
      <c r="G136" s="166"/>
      <c r="H136" s="166"/>
      <c r="I136" s="166"/>
      <c r="J136" s="166"/>
      <c r="K136" s="166"/>
    </row>
    <row r="137" spans="2:11" x14ac:dyDescent="0.25">
      <c r="B137" s="116">
        <v>45559</v>
      </c>
      <c r="C137" s="117">
        <v>237.3</v>
      </c>
      <c r="D137" s="109">
        <f t="shared" si="9"/>
        <v>-4.405286343612258E-3</v>
      </c>
      <c r="E137" s="117">
        <v>25940.400000000001</v>
      </c>
      <c r="F137" s="109">
        <f t="shared" si="8"/>
        <v>-2.4515317747360044E-3</v>
      </c>
      <c r="G137" s="166"/>
      <c r="H137" s="166"/>
      <c r="I137" s="166"/>
      <c r="J137" s="166"/>
      <c r="K137" s="166"/>
    </row>
    <row r="138" spans="2:11" x14ac:dyDescent="0.25">
      <c r="B138" s="116">
        <v>45558</v>
      </c>
      <c r="C138" s="117">
        <v>236.45</v>
      </c>
      <c r="D138" s="109">
        <f t="shared" si="9"/>
        <v>-3.5819637589550313E-3</v>
      </c>
      <c r="E138" s="117">
        <v>25939.05</v>
      </c>
      <c r="F138" s="109">
        <f t="shared" si="8"/>
        <v>-5.2042374057537089E-5</v>
      </c>
      <c r="G138" s="166"/>
      <c r="H138" s="166"/>
      <c r="I138" s="166"/>
      <c r="J138" s="166"/>
      <c r="K138" s="166"/>
    </row>
    <row r="139" spans="2:11" x14ac:dyDescent="0.25">
      <c r="B139" s="116">
        <v>45555</v>
      </c>
      <c r="C139" s="117">
        <v>237.85</v>
      </c>
      <c r="D139" s="109">
        <f t="shared" si="9"/>
        <v>5.9209135123705625E-3</v>
      </c>
      <c r="E139" s="117">
        <v>25790.95</v>
      </c>
      <c r="F139" s="109">
        <f t="shared" si="8"/>
        <v>-5.7095383215652884E-3</v>
      </c>
      <c r="G139" s="166"/>
      <c r="H139" s="166"/>
      <c r="I139" s="166"/>
      <c r="J139" s="166"/>
      <c r="K139" s="166"/>
    </row>
    <row r="140" spans="2:11" x14ac:dyDescent="0.25">
      <c r="B140" s="116">
        <v>45554</v>
      </c>
      <c r="C140" s="117">
        <v>237.55</v>
      </c>
      <c r="D140" s="109">
        <f t="shared" si="9"/>
        <v>-1.2612991381122374E-3</v>
      </c>
      <c r="E140" s="117">
        <v>25415.8</v>
      </c>
      <c r="F140" s="109">
        <f t="shared" si="8"/>
        <v>-1.4545799980225649E-2</v>
      </c>
      <c r="G140" s="166"/>
      <c r="H140" s="166"/>
      <c r="I140" s="166"/>
      <c r="J140" s="166"/>
      <c r="K140" s="166"/>
    </row>
    <row r="141" spans="2:11" x14ac:dyDescent="0.25">
      <c r="B141" s="116">
        <v>45553</v>
      </c>
      <c r="C141" s="117">
        <v>235.95</v>
      </c>
      <c r="D141" s="109">
        <f t="shared" si="9"/>
        <v>-6.7354241212377319E-3</v>
      </c>
      <c r="E141" s="117">
        <v>25377.55</v>
      </c>
      <c r="F141" s="109">
        <f t="shared" si="8"/>
        <v>-1.5049693497745098E-3</v>
      </c>
      <c r="G141" s="166"/>
      <c r="H141" s="166"/>
      <c r="I141" s="166"/>
      <c r="J141" s="166"/>
      <c r="K141" s="166"/>
    </row>
    <row r="142" spans="2:11" x14ac:dyDescent="0.25">
      <c r="B142" s="116">
        <v>45552</v>
      </c>
      <c r="C142" s="117">
        <v>240.8</v>
      </c>
      <c r="D142" s="109">
        <f t="shared" si="9"/>
        <v>2.0555202373384374E-2</v>
      </c>
      <c r="E142" s="117">
        <v>25418.55</v>
      </c>
      <c r="F142" s="109">
        <f t="shared" si="8"/>
        <v>1.6156011908163848E-3</v>
      </c>
      <c r="G142" s="166"/>
      <c r="H142" s="166"/>
      <c r="I142" s="166"/>
      <c r="J142" s="166"/>
      <c r="K142" s="166"/>
    </row>
    <row r="143" spans="2:11" x14ac:dyDescent="0.25">
      <c r="B143" s="116">
        <v>45551</v>
      </c>
      <c r="C143" s="117">
        <v>243.8</v>
      </c>
      <c r="D143" s="109">
        <f t="shared" si="9"/>
        <v>1.2458471760797396E-2</v>
      </c>
      <c r="E143" s="117">
        <v>25383.75</v>
      </c>
      <c r="F143" s="109">
        <f t="shared" si="8"/>
        <v>-1.3690788813680577E-3</v>
      </c>
      <c r="G143" s="166"/>
      <c r="H143" s="166"/>
      <c r="I143" s="166"/>
      <c r="J143" s="166"/>
      <c r="K143" s="166"/>
    </row>
    <row r="144" spans="2:11" x14ac:dyDescent="0.25">
      <c r="B144" s="116">
        <v>45548</v>
      </c>
      <c r="C144" s="117">
        <v>245.65</v>
      </c>
      <c r="D144" s="109">
        <f t="shared" si="9"/>
        <v>7.5881870385561268E-3</v>
      </c>
      <c r="E144" s="117">
        <v>25356.5</v>
      </c>
      <c r="F144" s="109">
        <f t="shared" si="8"/>
        <v>-1.0735214458068576E-3</v>
      </c>
      <c r="G144" s="166"/>
      <c r="H144" s="166"/>
      <c r="I144" s="166"/>
      <c r="J144" s="166"/>
      <c r="K144" s="166"/>
    </row>
    <row r="145" spans="2:11" x14ac:dyDescent="0.25">
      <c r="B145" s="116">
        <v>45547</v>
      </c>
      <c r="C145" s="117">
        <v>246.15</v>
      </c>
      <c r="D145" s="109">
        <f t="shared" si="9"/>
        <v>2.0354162426217126E-3</v>
      </c>
      <c r="E145" s="117">
        <v>25388.9</v>
      </c>
      <c r="F145" s="109">
        <f t="shared" si="8"/>
        <v>1.277778873267188E-3</v>
      </c>
      <c r="G145" s="166"/>
      <c r="H145" s="166"/>
      <c r="I145" s="166"/>
      <c r="J145" s="166"/>
      <c r="K145" s="166"/>
    </row>
    <row r="146" spans="2:11" x14ac:dyDescent="0.25">
      <c r="B146" s="116">
        <v>45546</v>
      </c>
      <c r="C146" s="117">
        <v>241.55</v>
      </c>
      <c r="D146" s="109">
        <f t="shared" si="9"/>
        <v>-1.8687791996749969E-2</v>
      </c>
      <c r="E146" s="117">
        <v>24918.45</v>
      </c>
      <c r="F146" s="109">
        <f t="shared" si="8"/>
        <v>-1.8529751190480948E-2</v>
      </c>
      <c r="G146" s="166"/>
      <c r="H146" s="166"/>
      <c r="I146" s="166"/>
      <c r="J146" s="166"/>
      <c r="K146" s="166"/>
    </row>
    <row r="147" spans="2:11" x14ac:dyDescent="0.25">
      <c r="B147" s="116">
        <v>45545</v>
      </c>
      <c r="C147" s="117">
        <v>248.25</v>
      </c>
      <c r="D147" s="109">
        <f t="shared" si="9"/>
        <v>2.7737528462016048E-2</v>
      </c>
      <c r="E147" s="117">
        <v>25041.1</v>
      </c>
      <c r="F147" s="109">
        <f t="shared" si="8"/>
        <v>4.9220557458429237E-3</v>
      </c>
      <c r="G147" s="166"/>
      <c r="H147" s="166"/>
      <c r="I147" s="166"/>
      <c r="J147" s="166"/>
      <c r="K147" s="166"/>
    </row>
    <row r="148" spans="2:11" x14ac:dyDescent="0.25">
      <c r="B148" s="116">
        <v>45544</v>
      </c>
      <c r="C148" s="117">
        <v>243.9</v>
      </c>
      <c r="D148" s="109">
        <f t="shared" si="9"/>
        <v>-1.7522658610271913E-2</v>
      </c>
      <c r="E148" s="117">
        <v>24936.400000000001</v>
      </c>
      <c r="F148" s="109">
        <f t="shared" si="8"/>
        <v>-4.1811262284802142E-3</v>
      </c>
      <c r="G148" s="166"/>
      <c r="H148" s="166"/>
      <c r="I148" s="166"/>
      <c r="J148" s="166"/>
      <c r="K148" s="166"/>
    </row>
    <row r="149" spans="2:11" x14ac:dyDescent="0.25">
      <c r="B149" s="116">
        <v>45541</v>
      </c>
      <c r="C149" s="117">
        <v>247.8</v>
      </c>
      <c r="D149" s="109">
        <f t="shared" si="9"/>
        <v>1.5990159901599021E-2</v>
      </c>
      <c r="E149" s="117">
        <v>24852.15</v>
      </c>
      <c r="F149" s="109">
        <f t="shared" si="8"/>
        <v>-3.378595146051544E-3</v>
      </c>
      <c r="G149" s="166"/>
      <c r="H149" s="166"/>
      <c r="I149" s="166"/>
      <c r="J149" s="166"/>
      <c r="K149" s="166"/>
    </row>
    <row r="150" spans="2:11" x14ac:dyDescent="0.25">
      <c r="B150" s="116">
        <v>45540</v>
      </c>
      <c r="C150" s="117">
        <v>251.15</v>
      </c>
      <c r="D150" s="109">
        <f t="shared" si="9"/>
        <v>1.3518966908797392E-2</v>
      </c>
      <c r="E150" s="117">
        <v>25145.1</v>
      </c>
      <c r="F150" s="109">
        <f t="shared" si="8"/>
        <v>1.1787712531913686E-2</v>
      </c>
      <c r="G150" s="166"/>
      <c r="H150" s="166"/>
      <c r="I150" s="166"/>
      <c r="J150" s="166"/>
      <c r="K150" s="166"/>
    </row>
    <row r="151" spans="2:11" x14ac:dyDescent="0.25">
      <c r="B151" s="116">
        <v>45539</v>
      </c>
      <c r="C151" s="117">
        <v>250.5</v>
      </c>
      <c r="D151" s="109">
        <f t="shared" si="9"/>
        <v>-2.5880947640852803E-3</v>
      </c>
      <c r="E151" s="117">
        <v>25198.7</v>
      </c>
      <c r="F151" s="109">
        <f t="shared" si="8"/>
        <v>2.1316280309087166E-3</v>
      </c>
      <c r="G151" s="166"/>
      <c r="H151" s="166"/>
      <c r="I151" s="166"/>
      <c r="J151" s="166"/>
      <c r="K151" s="166"/>
    </row>
    <row r="152" spans="2:11" x14ac:dyDescent="0.25">
      <c r="B152" s="116">
        <v>45538</v>
      </c>
      <c r="C152" s="117">
        <v>251</v>
      </c>
      <c r="D152" s="109">
        <f t="shared" si="9"/>
        <v>1.9960079840319889E-3</v>
      </c>
      <c r="E152" s="117">
        <v>25279.85</v>
      </c>
      <c r="F152" s="109">
        <f t="shared" si="8"/>
        <v>3.220404227202156E-3</v>
      </c>
      <c r="G152" s="166"/>
      <c r="H152" s="166"/>
      <c r="I152" s="166"/>
      <c r="J152" s="166"/>
      <c r="K152" s="166"/>
    </row>
    <row r="153" spans="2:11" x14ac:dyDescent="0.25">
      <c r="B153" s="116">
        <v>45537</v>
      </c>
      <c r="C153" s="117">
        <v>251.35</v>
      </c>
      <c r="D153" s="109">
        <f t="shared" si="9"/>
        <v>1.3944223107569265E-3</v>
      </c>
      <c r="E153" s="117">
        <v>25278.7</v>
      </c>
      <c r="F153" s="109">
        <f t="shared" si="8"/>
        <v>-4.5490776250600717E-5</v>
      </c>
      <c r="G153" s="166"/>
      <c r="H153" s="166"/>
      <c r="I153" s="166"/>
      <c r="J153" s="166"/>
      <c r="K153" s="166"/>
    </row>
    <row r="154" spans="2:11" x14ac:dyDescent="0.25">
      <c r="B154" s="116">
        <v>45534</v>
      </c>
      <c r="C154" s="117">
        <v>256.45</v>
      </c>
      <c r="D154" s="109">
        <f t="shared" si="9"/>
        <v>2.0290431668987363E-2</v>
      </c>
      <c r="E154" s="117">
        <v>25235.9</v>
      </c>
      <c r="F154" s="109">
        <f t="shared" si="8"/>
        <v>-1.6931250420314514E-3</v>
      </c>
      <c r="G154" s="166"/>
      <c r="H154" s="166"/>
      <c r="I154" s="166"/>
      <c r="J154" s="166"/>
      <c r="K154" s="166"/>
    </row>
    <row r="155" spans="2:11" x14ac:dyDescent="0.25">
      <c r="B155" s="116">
        <v>45533</v>
      </c>
      <c r="C155" s="117">
        <v>253.8</v>
      </c>
      <c r="D155" s="109">
        <f t="shared" si="9"/>
        <v>-1.0333398323259857E-2</v>
      </c>
      <c r="E155" s="117">
        <v>25151.95</v>
      </c>
      <c r="F155" s="109">
        <f t="shared" si="8"/>
        <v>-3.3266101070300591E-3</v>
      </c>
      <c r="G155" s="166"/>
      <c r="H155" s="166"/>
      <c r="I155" s="166"/>
      <c r="J155" s="166"/>
      <c r="K155" s="166"/>
    </row>
    <row r="156" spans="2:11" x14ac:dyDescent="0.25">
      <c r="B156" s="116">
        <v>45532</v>
      </c>
      <c r="C156" s="117">
        <v>260.45</v>
      </c>
      <c r="D156" s="109">
        <f t="shared" si="9"/>
        <v>2.6201733648542058E-2</v>
      </c>
      <c r="E156" s="117">
        <v>25052.35</v>
      </c>
      <c r="F156" s="109">
        <f t="shared" si="8"/>
        <v>-3.9599315361235066E-3</v>
      </c>
      <c r="G156" s="166"/>
      <c r="H156" s="166"/>
      <c r="I156" s="166"/>
      <c r="J156" s="166"/>
      <c r="K156" s="166"/>
    </row>
    <row r="157" spans="2:11" x14ac:dyDescent="0.25">
      <c r="B157" s="116">
        <v>45531</v>
      </c>
      <c r="C157" s="117">
        <v>262.14999999999998</v>
      </c>
      <c r="D157" s="109">
        <f t="shared" si="9"/>
        <v>6.527164522940998E-3</v>
      </c>
      <c r="E157" s="117">
        <v>25017.75</v>
      </c>
      <c r="F157" s="109">
        <f t="shared" si="8"/>
        <v>-1.3811079599318488E-3</v>
      </c>
      <c r="G157" s="166"/>
      <c r="H157" s="166"/>
      <c r="I157" s="166"/>
      <c r="J157" s="166"/>
      <c r="K157" s="166"/>
    </row>
    <row r="158" spans="2:11" x14ac:dyDescent="0.25">
      <c r="B158" s="116">
        <v>45530</v>
      </c>
      <c r="C158" s="117">
        <v>260.14999999999998</v>
      </c>
      <c r="D158" s="109">
        <f t="shared" si="9"/>
        <v>-7.6292199122639515E-3</v>
      </c>
      <c r="E158" s="117">
        <v>25010.6</v>
      </c>
      <c r="F158" s="109">
        <f t="shared" si="8"/>
        <v>-2.8579708407039384E-4</v>
      </c>
      <c r="G158" s="166"/>
      <c r="H158" s="166"/>
      <c r="I158" s="166"/>
      <c r="J158" s="166"/>
      <c r="K158" s="166"/>
    </row>
    <row r="159" spans="2:11" x14ac:dyDescent="0.25">
      <c r="B159" s="116">
        <v>45527</v>
      </c>
      <c r="C159" s="117">
        <v>260.39999999999998</v>
      </c>
      <c r="D159" s="109">
        <f t="shared" si="9"/>
        <v>9.6098404766475909E-4</v>
      </c>
      <c r="E159" s="117">
        <v>24823.15</v>
      </c>
      <c r="F159" s="109">
        <f t="shared" si="8"/>
        <v>-7.4948221953889949E-3</v>
      </c>
      <c r="G159" s="166"/>
      <c r="H159" s="166"/>
      <c r="I159" s="166"/>
      <c r="J159" s="166"/>
      <c r="K159" s="166"/>
    </row>
    <row r="160" spans="2:11" x14ac:dyDescent="0.25">
      <c r="B160" s="116">
        <v>45526</v>
      </c>
      <c r="C160" s="117">
        <v>261.75</v>
      </c>
      <c r="D160" s="109">
        <f t="shared" si="9"/>
        <v>5.1843317972350977E-3</v>
      </c>
      <c r="E160" s="117">
        <v>24811.5</v>
      </c>
      <c r="F160" s="109">
        <f t="shared" si="8"/>
        <v>-4.6931996946408816E-4</v>
      </c>
      <c r="G160" s="166"/>
      <c r="H160" s="166"/>
      <c r="I160" s="166"/>
      <c r="J160" s="166"/>
      <c r="K160" s="166"/>
    </row>
    <row r="161" spans="2:11" x14ac:dyDescent="0.25">
      <c r="B161" s="116">
        <v>45525</v>
      </c>
      <c r="C161" s="117">
        <v>260.25</v>
      </c>
      <c r="D161" s="109">
        <f t="shared" si="9"/>
        <v>-5.7306590257879542E-3</v>
      </c>
      <c r="E161" s="117">
        <v>24770.2</v>
      </c>
      <c r="F161" s="109">
        <f t="shared" si="8"/>
        <v>-1.66455071237126E-3</v>
      </c>
      <c r="G161" s="166"/>
      <c r="H161" s="166"/>
      <c r="I161" s="166"/>
      <c r="J161" s="166"/>
      <c r="K161" s="166"/>
    </row>
    <row r="162" spans="2:11" x14ac:dyDescent="0.25">
      <c r="B162" s="116">
        <v>45524</v>
      </c>
      <c r="C162" s="117">
        <v>260</v>
      </c>
      <c r="D162" s="109">
        <f t="shared" si="9"/>
        <v>-9.6061479346787326E-4</v>
      </c>
      <c r="E162" s="117">
        <v>24698.85</v>
      </c>
      <c r="F162" s="109">
        <f t="shared" si="8"/>
        <v>-2.8804773477808521E-3</v>
      </c>
      <c r="G162" s="166"/>
      <c r="H162" s="166"/>
      <c r="I162" s="166"/>
      <c r="J162" s="166"/>
      <c r="K162" s="166"/>
    </row>
    <row r="163" spans="2:11" x14ac:dyDescent="0.25">
      <c r="B163" s="116">
        <v>45523</v>
      </c>
      <c r="C163" s="117">
        <v>257.5</v>
      </c>
      <c r="D163" s="109">
        <f t="shared" si="9"/>
        <v>-9.6153846153845812E-3</v>
      </c>
      <c r="E163" s="117">
        <v>24572.65</v>
      </c>
      <c r="F163" s="109">
        <f t="shared" si="8"/>
        <v>-5.1095496349019554E-3</v>
      </c>
      <c r="G163" s="166"/>
      <c r="H163" s="166"/>
      <c r="I163" s="166"/>
      <c r="J163" s="166"/>
      <c r="K163" s="166"/>
    </row>
    <row r="164" spans="2:11" x14ac:dyDescent="0.25">
      <c r="B164" s="116">
        <v>45520</v>
      </c>
      <c r="C164" s="117">
        <v>255.95</v>
      </c>
      <c r="D164" s="109">
        <f t="shared" si="9"/>
        <v>-6.019417475728206E-3</v>
      </c>
      <c r="E164" s="117">
        <v>24541.15</v>
      </c>
      <c r="F164" s="109">
        <f t="shared" si="8"/>
        <v>-1.2819130211840779E-3</v>
      </c>
      <c r="G164" s="166"/>
      <c r="H164" s="166"/>
      <c r="I164" s="166"/>
      <c r="J164" s="166"/>
      <c r="K164" s="166"/>
    </row>
    <row r="165" spans="2:11" x14ac:dyDescent="0.25">
      <c r="B165" s="116">
        <v>45518</v>
      </c>
      <c r="C165" s="117">
        <v>246.45</v>
      </c>
      <c r="D165" s="109">
        <f t="shared" si="9"/>
        <v>-3.7116624340691518E-2</v>
      </c>
      <c r="E165" s="117">
        <v>24143.75</v>
      </c>
      <c r="F165" s="109">
        <f t="shared" si="8"/>
        <v>-1.6193210179637152E-2</v>
      </c>
      <c r="G165" s="166"/>
      <c r="H165" s="166"/>
      <c r="I165" s="166"/>
      <c r="J165" s="166"/>
      <c r="K165" s="166"/>
    </row>
    <row r="166" spans="2:11" x14ac:dyDescent="0.25">
      <c r="B166" s="116">
        <v>45517</v>
      </c>
      <c r="C166" s="117">
        <v>251.7</v>
      </c>
      <c r="D166" s="109">
        <f t="shared" si="9"/>
        <v>2.130249543517948E-2</v>
      </c>
      <c r="E166" s="117">
        <v>24139</v>
      </c>
      <c r="F166" s="109">
        <f t="shared" si="8"/>
        <v>-1.9673828630595303E-4</v>
      </c>
      <c r="G166" s="166"/>
      <c r="H166" s="166"/>
      <c r="I166" s="166"/>
      <c r="J166" s="166"/>
      <c r="K166" s="166"/>
    </row>
    <row r="167" spans="2:11" x14ac:dyDescent="0.25">
      <c r="B167" s="116">
        <v>45516</v>
      </c>
      <c r="C167" s="117">
        <v>252.05</v>
      </c>
      <c r="D167" s="109">
        <f t="shared" si="9"/>
        <v>1.3905442987685035E-3</v>
      </c>
      <c r="E167" s="117">
        <v>24347</v>
      </c>
      <c r="F167" s="109">
        <f t="shared" si="8"/>
        <v>8.6167612577157104E-3</v>
      </c>
      <c r="G167" s="166"/>
      <c r="H167" s="166"/>
      <c r="I167" s="166"/>
      <c r="J167" s="166"/>
      <c r="K167" s="166"/>
    </row>
    <row r="168" spans="2:11" x14ac:dyDescent="0.25">
      <c r="B168" s="116">
        <v>45513</v>
      </c>
      <c r="C168" s="117">
        <v>253.1</v>
      </c>
      <c r="D168" s="109">
        <f t="shared" si="9"/>
        <v>4.1658401110888921E-3</v>
      </c>
      <c r="E168" s="117">
        <v>24367.5</v>
      </c>
      <c r="F168" s="109">
        <f t="shared" si="8"/>
        <v>8.4199285332897666E-4</v>
      </c>
      <c r="G168" s="166"/>
      <c r="H168" s="166"/>
      <c r="I168" s="166"/>
      <c r="J168" s="166"/>
      <c r="K168" s="166"/>
    </row>
    <row r="169" spans="2:11" x14ac:dyDescent="0.25">
      <c r="B169" s="116">
        <v>45512</v>
      </c>
      <c r="C169" s="117">
        <v>246.3</v>
      </c>
      <c r="D169" s="109">
        <f t="shared" si="9"/>
        <v>-2.6866851047016915E-2</v>
      </c>
      <c r="E169" s="117">
        <v>24117</v>
      </c>
      <c r="F169" s="109">
        <f t="shared" si="8"/>
        <v>-1.0280086180363135E-2</v>
      </c>
      <c r="G169" s="166"/>
      <c r="H169" s="166"/>
      <c r="I169" s="166"/>
      <c r="J169" s="166"/>
      <c r="K169" s="166"/>
    </row>
    <row r="170" spans="2:11" x14ac:dyDescent="0.25">
      <c r="B170" s="116">
        <v>45511</v>
      </c>
      <c r="C170" s="117">
        <v>247.3</v>
      </c>
      <c r="D170" s="109">
        <f t="shared" si="9"/>
        <v>4.0600893219651102E-3</v>
      </c>
      <c r="E170" s="117">
        <v>24297.5</v>
      </c>
      <c r="F170" s="109">
        <f t="shared" si="8"/>
        <v>7.484347141020864E-3</v>
      </c>
      <c r="G170" s="166"/>
      <c r="H170" s="166"/>
      <c r="I170" s="166"/>
      <c r="J170" s="166"/>
      <c r="K170" s="166"/>
    </row>
    <row r="171" spans="2:11" x14ac:dyDescent="0.25">
      <c r="B171" s="116">
        <v>45510</v>
      </c>
      <c r="C171" s="117">
        <v>243.15</v>
      </c>
      <c r="D171" s="109">
        <f t="shared" si="9"/>
        <v>-1.6781237363526103E-2</v>
      </c>
      <c r="E171" s="117">
        <v>23992.55</v>
      </c>
      <c r="F171" s="109">
        <f t="shared" si="8"/>
        <v>-1.2550673937647971E-2</v>
      </c>
      <c r="G171" s="166"/>
      <c r="H171" s="166"/>
      <c r="I171" s="166"/>
      <c r="J171" s="166"/>
      <c r="K171" s="166"/>
    </row>
    <row r="172" spans="2:11" x14ac:dyDescent="0.25">
      <c r="B172" s="116">
        <v>45509</v>
      </c>
      <c r="C172" s="117">
        <v>244</v>
      </c>
      <c r="D172" s="109">
        <f t="shared" si="9"/>
        <v>3.4957844951675199E-3</v>
      </c>
      <c r="E172" s="117">
        <v>24055.599999999999</v>
      </c>
      <c r="F172" s="109">
        <f t="shared" si="8"/>
        <v>2.6278990770052246E-3</v>
      </c>
      <c r="G172" s="166"/>
      <c r="H172" s="166"/>
      <c r="I172" s="166"/>
      <c r="J172" s="166"/>
      <c r="K172" s="166"/>
    </row>
    <row r="173" spans="2:11" x14ac:dyDescent="0.25">
      <c r="B173" s="116">
        <v>45506</v>
      </c>
      <c r="C173" s="117">
        <v>250.15</v>
      </c>
      <c r="D173" s="109">
        <f t="shared" si="9"/>
        <v>2.5204918032786905E-2</v>
      </c>
      <c r="E173" s="117">
        <v>24717.7</v>
      </c>
      <c r="F173" s="109">
        <f t="shared" si="8"/>
        <v>2.7523736676699162E-2</v>
      </c>
      <c r="G173" s="166"/>
      <c r="H173" s="166"/>
      <c r="I173" s="166"/>
      <c r="J173" s="166"/>
      <c r="K173" s="166"/>
    </row>
    <row r="174" spans="2:11" x14ac:dyDescent="0.25">
      <c r="B174" s="116">
        <v>45505</v>
      </c>
      <c r="C174" s="117">
        <v>250.2</v>
      </c>
      <c r="D174" s="109">
        <f t="shared" si="9"/>
        <v>1.9988007195670399E-4</v>
      </c>
      <c r="E174" s="117">
        <v>25010.9</v>
      </c>
      <c r="F174" s="109">
        <f t="shared" si="8"/>
        <v>1.1861945083887271E-2</v>
      </c>
      <c r="G174" s="166"/>
      <c r="H174" s="166"/>
      <c r="I174" s="166"/>
      <c r="J174" s="166"/>
      <c r="K174" s="166"/>
    </row>
    <row r="175" spans="2:11" x14ac:dyDescent="0.25">
      <c r="B175" s="116">
        <v>45504</v>
      </c>
      <c r="C175" s="117">
        <v>257.08999999999997</v>
      </c>
      <c r="D175" s="109">
        <f t="shared" si="9"/>
        <v>2.7537969624300551E-2</v>
      </c>
      <c r="E175" s="117">
        <v>24951.15</v>
      </c>
      <c r="F175" s="109">
        <f t="shared" si="8"/>
        <v>-2.3889584141314479E-3</v>
      </c>
      <c r="G175" s="166"/>
      <c r="H175" s="166"/>
      <c r="I175" s="166"/>
      <c r="J175" s="166"/>
      <c r="K175" s="166"/>
    </row>
    <row r="176" spans="2:11" x14ac:dyDescent="0.25">
      <c r="B176" s="116">
        <v>45503</v>
      </c>
      <c r="C176" s="117">
        <v>253.59</v>
      </c>
      <c r="D176" s="109">
        <f t="shared" si="9"/>
        <v>-1.3613909525846846E-2</v>
      </c>
      <c r="E176" s="117">
        <v>24857.3</v>
      </c>
      <c r="F176" s="109">
        <f t="shared" si="8"/>
        <v>-3.7613496772694877E-3</v>
      </c>
      <c r="G176" s="166"/>
      <c r="H176" s="166"/>
      <c r="I176" s="166"/>
      <c r="J176" s="166"/>
      <c r="K176" s="166"/>
    </row>
    <row r="177" spans="2:11" x14ac:dyDescent="0.25">
      <c r="B177" s="116">
        <v>45502</v>
      </c>
      <c r="C177" s="117">
        <v>256.35000000000002</v>
      </c>
      <c r="D177" s="109">
        <f t="shared" si="9"/>
        <v>1.0883709925470386E-2</v>
      </c>
      <c r="E177" s="117">
        <v>24836.1</v>
      </c>
      <c r="F177" s="109">
        <f t="shared" si="8"/>
        <v>-8.5286817152308014E-4</v>
      </c>
      <c r="G177" s="166"/>
      <c r="H177" s="166"/>
      <c r="I177" s="166"/>
      <c r="J177" s="166"/>
      <c r="K177" s="166"/>
    </row>
    <row r="178" spans="2:11" x14ac:dyDescent="0.25">
      <c r="B178" s="116">
        <v>45499</v>
      </c>
      <c r="C178" s="117">
        <v>246.38</v>
      </c>
      <c r="D178" s="109">
        <f t="shared" si="9"/>
        <v>-3.8892139652818569E-2</v>
      </c>
      <c r="E178" s="117">
        <v>24834.85</v>
      </c>
      <c r="F178" s="109">
        <f t="shared" si="8"/>
        <v>-5.0329963238948672E-5</v>
      </c>
      <c r="G178" s="166"/>
      <c r="H178" s="166"/>
      <c r="I178" s="166"/>
      <c r="J178" s="166"/>
      <c r="K178" s="166"/>
    </row>
    <row r="179" spans="2:11" x14ac:dyDescent="0.25">
      <c r="B179" s="116">
        <v>45498</v>
      </c>
      <c r="C179" s="117">
        <v>232.43</v>
      </c>
      <c r="D179" s="109">
        <f t="shared" si="9"/>
        <v>-5.661985550775217E-2</v>
      </c>
      <c r="E179" s="117">
        <v>24406.1</v>
      </c>
      <c r="F179" s="109">
        <f t="shared" si="8"/>
        <v>-1.7264046289790391E-2</v>
      </c>
      <c r="G179" s="166"/>
      <c r="H179" s="166"/>
      <c r="I179" s="166"/>
      <c r="J179" s="166"/>
      <c r="K179" s="166"/>
    </row>
    <row r="180" spans="2:11" x14ac:dyDescent="0.25">
      <c r="B180" s="116">
        <v>45497</v>
      </c>
      <c r="C180" s="117">
        <v>232.5</v>
      </c>
      <c r="D180" s="109">
        <f t="shared" si="9"/>
        <v>3.0116594243434491E-4</v>
      </c>
      <c r="E180" s="117">
        <v>24413.5</v>
      </c>
      <c r="F180" s="109">
        <f t="shared" si="8"/>
        <v>3.0320288780272264E-4</v>
      </c>
      <c r="G180" s="166"/>
      <c r="H180" s="166"/>
      <c r="I180" s="166"/>
      <c r="J180" s="166"/>
      <c r="K180" s="166"/>
    </row>
    <row r="181" spans="2:11" x14ac:dyDescent="0.25">
      <c r="B181" s="116">
        <v>45496</v>
      </c>
      <c r="C181" s="117">
        <v>229.63</v>
      </c>
      <c r="D181" s="109">
        <f t="shared" si="9"/>
        <v>-1.2344086021505385E-2</v>
      </c>
      <c r="E181" s="117">
        <v>24479.05</v>
      </c>
      <c r="F181" s="109">
        <f t="shared" si="8"/>
        <v>2.6849898621663648E-3</v>
      </c>
      <c r="G181" s="166"/>
      <c r="H181" s="166"/>
      <c r="I181" s="166"/>
      <c r="J181" s="166"/>
      <c r="K181" s="166"/>
    </row>
    <row r="182" spans="2:11" x14ac:dyDescent="0.25">
      <c r="B182" s="116">
        <v>45495</v>
      </c>
      <c r="C182" s="117">
        <v>230.7</v>
      </c>
      <c r="D182" s="109">
        <f t="shared" si="9"/>
        <v>4.6596699037582123E-3</v>
      </c>
      <c r="E182" s="117">
        <v>24509.25</v>
      </c>
      <c r="F182" s="109">
        <f t="shared" ref="F182:F245" si="10">E182/E181-1</f>
        <v>1.2337080074593665E-3</v>
      </c>
      <c r="G182" s="166"/>
      <c r="H182" s="166"/>
      <c r="I182" s="166"/>
      <c r="J182" s="166"/>
      <c r="K182" s="166"/>
    </row>
    <row r="183" spans="2:11" x14ac:dyDescent="0.25">
      <c r="B183" s="116">
        <v>45492</v>
      </c>
      <c r="C183" s="117">
        <v>223.95</v>
      </c>
      <c r="D183" s="109">
        <f t="shared" si="9"/>
        <v>-2.925877763328999E-2</v>
      </c>
      <c r="E183" s="117">
        <v>24530.9</v>
      </c>
      <c r="F183" s="109">
        <f t="shared" si="10"/>
        <v>8.8333996348333166E-4</v>
      </c>
      <c r="G183" s="166"/>
      <c r="H183" s="166"/>
      <c r="I183" s="166"/>
      <c r="J183" s="166"/>
      <c r="K183" s="166"/>
    </row>
    <row r="184" spans="2:11" x14ac:dyDescent="0.25">
      <c r="B184" s="116">
        <v>45491</v>
      </c>
      <c r="C184" s="117">
        <v>228.33</v>
      </c>
      <c r="D184" s="109">
        <f t="shared" si="9"/>
        <v>1.9557937039517803E-2</v>
      </c>
      <c r="E184" s="117">
        <v>24800.85</v>
      </c>
      <c r="F184" s="109">
        <f t="shared" si="10"/>
        <v>1.1004488216901809E-2</v>
      </c>
      <c r="G184" s="166"/>
      <c r="H184" s="166"/>
      <c r="I184" s="166"/>
      <c r="J184" s="166"/>
      <c r="K184" s="166"/>
    </row>
    <row r="185" spans="2:11" x14ac:dyDescent="0.25">
      <c r="B185" s="116">
        <v>45489</v>
      </c>
      <c r="C185" s="117">
        <v>228.41</v>
      </c>
      <c r="D185" s="109">
        <f t="shared" ref="D185:D248" si="11">C185/C184-1</f>
        <v>3.5037007839533452E-4</v>
      </c>
      <c r="E185" s="117">
        <v>24613</v>
      </c>
      <c r="F185" s="109">
        <f t="shared" si="10"/>
        <v>-7.5743371698953066E-3</v>
      </c>
      <c r="G185" s="166"/>
      <c r="H185" s="166"/>
      <c r="I185" s="166"/>
      <c r="J185" s="166"/>
      <c r="K185" s="166"/>
    </row>
    <row r="186" spans="2:11" x14ac:dyDescent="0.25">
      <c r="B186" s="116">
        <v>45488</v>
      </c>
      <c r="C186" s="117">
        <v>228.2</v>
      </c>
      <c r="D186" s="109">
        <f t="shared" si="11"/>
        <v>-9.1939932577389527E-4</v>
      </c>
      <c r="E186" s="117">
        <v>24586.7</v>
      </c>
      <c r="F186" s="109">
        <f t="shared" si="10"/>
        <v>-1.0685410149108288E-3</v>
      </c>
      <c r="G186" s="166"/>
      <c r="H186" s="166"/>
      <c r="I186" s="166"/>
      <c r="J186" s="166"/>
      <c r="K186" s="166"/>
    </row>
    <row r="187" spans="2:11" x14ac:dyDescent="0.25">
      <c r="B187" s="116">
        <v>45485</v>
      </c>
      <c r="C187" s="117">
        <v>224.26</v>
      </c>
      <c r="D187" s="109">
        <f t="shared" si="11"/>
        <v>-1.7265556529360238E-2</v>
      </c>
      <c r="E187" s="117">
        <v>24502.15</v>
      </c>
      <c r="F187" s="109">
        <f t="shared" si="10"/>
        <v>-3.4388510861562693E-3</v>
      </c>
      <c r="G187" s="166"/>
      <c r="H187" s="166"/>
      <c r="I187" s="166"/>
      <c r="J187" s="166"/>
      <c r="K187" s="166"/>
    </row>
    <row r="188" spans="2:11" x14ac:dyDescent="0.25">
      <c r="B188" s="116">
        <v>45484</v>
      </c>
      <c r="C188" s="117">
        <v>226.94</v>
      </c>
      <c r="D188" s="109">
        <f t="shared" si="11"/>
        <v>1.1950414697226464E-2</v>
      </c>
      <c r="E188" s="117">
        <v>24315.95</v>
      </c>
      <c r="F188" s="109">
        <f t="shared" si="10"/>
        <v>-7.5993331197466985E-3</v>
      </c>
      <c r="G188" s="166"/>
      <c r="H188" s="166"/>
      <c r="I188" s="166"/>
      <c r="J188" s="166"/>
      <c r="K188" s="166"/>
    </row>
    <row r="189" spans="2:11" x14ac:dyDescent="0.25">
      <c r="B189" s="116">
        <v>45483</v>
      </c>
      <c r="C189" s="117">
        <v>225.97</v>
      </c>
      <c r="D189" s="109">
        <f t="shared" si="11"/>
        <v>-4.2742575129990357E-3</v>
      </c>
      <c r="E189" s="117">
        <v>24324.45</v>
      </c>
      <c r="F189" s="109">
        <f t="shared" si="10"/>
        <v>3.495647918341227E-4</v>
      </c>
      <c r="G189" s="166"/>
      <c r="H189" s="166"/>
      <c r="I189" s="166"/>
      <c r="J189" s="166"/>
      <c r="K189" s="166"/>
    </row>
    <row r="190" spans="2:11" x14ac:dyDescent="0.25">
      <c r="B190" s="116">
        <v>45482</v>
      </c>
      <c r="C190" s="117">
        <v>228.28</v>
      </c>
      <c r="D190" s="109">
        <f t="shared" si="11"/>
        <v>1.0222595919812338E-2</v>
      </c>
      <c r="E190" s="117">
        <v>24433.200000000001</v>
      </c>
      <c r="F190" s="109">
        <f t="shared" si="10"/>
        <v>4.4708102341470823E-3</v>
      </c>
      <c r="G190" s="166"/>
      <c r="H190" s="166"/>
      <c r="I190" s="166"/>
      <c r="J190" s="166"/>
      <c r="K190" s="166"/>
    </row>
    <row r="191" spans="2:11" x14ac:dyDescent="0.25">
      <c r="B191" s="116">
        <v>45481</v>
      </c>
      <c r="C191" s="117">
        <v>226.05</v>
      </c>
      <c r="D191" s="109">
        <f t="shared" si="11"/>
        <v>-9.7687050990011848E-3</v>
      </c>
      <c r="E191" s="117">
        <v>24320.55</v>
      </c>
      <c r="F191" s="109">
        <f t="shared" si="10"/>
        <v>-4.6105299346791417E-3</v>
      </c>
      <c r="G191" s="166"/>
      <c r="H191" s="166"/>
      <c r="I191" s="166"/>
      <c r="J191" s="166"/>
      <c r="K191" s="166"/>
    </row>
    <row r="192" spans="2:11" x14ac:dyDescent="0.25">
      <c r="B192" s="116">
        <v>45478</v>
      </c>
      <c r="C192" s="117">
        <v>229.56</v>
      </c>
      <c r="D192" s="109">
        <f t="shared" si="11"/>
        <v>1.55275381552753E-2</v>
      </c>
      <c r="E192" s="117">
        <v>24323.85</v>
      </c>
      <c r="F192" s="109">
        <f t="shared" si="10"/>
        <v>1.3568772087801939E-4</v>
      </c>
      <c r="G192" s="166"/>
      <c r="H192" s="166"/>
      <c r="I192" s="166"/>
      <c r="J192" s="166"/>
      <c r="K192" s="166"/>
    </row>
    <row r="193" spans="2:11" x14ac:dyDescent="0.25">
      <c r="B193" s="116">
        <v>45477</v>
      </c>
      <c r="C193" s="117">
        <v>227.11</v>
      </c>
      <c r="D193" s="109">
        <f t="shared" si="11"/>
        <v>-1.0672591043735746E-2</v>
      </c>
      <c r="E193" s="117">
        <v>24302.15</v>
      </c>
      <c r="F193" s="109">
        <f t="shared" si="10"/>
        <v>-8.92128507616885E-4</v>
      </c>
      <c r="G193" s="166"/>
      <c r="H193" s="166"/>
      <c r="I193" s="166"/>
      <c r="J193" s="166"/>
      <c r="K193" s="166"/>
    </row>
    <row r="194" spans="2:11" x14ac:dyDescent="0.25">
      <c r="B194" s="116">
        <v>45476</v>
      </c>
      <c r="C194" s="117">
        <v>229.47</v>
      </c>
      <c r="D194" s="109">
        <f t="shared" si="11"/>
        <v>1.0391440271234176E-2</v>
      </c>
      <c r="E194" s="117">
        <v>24286.5</v>
      </c>
      <c r="F194" s="109">
        <f t="shared" si="10"/>
        <v>-6.4397594451526263E-4</v>
      </c>
      <c r="G194" s="166"/>
      <c r="H194" s="166"/>
      <c r="I194" s="166"/>
      <c r="J194" s="166"/>
      <c r="K194" s="166"/>
    </row>
    <row r="195" spans="2:11" x14ac:dyDescent="0.25">
      <c r="B195" s="116">
        <v>45475</v>
      </c>
      <c r="C195" s="117">
        <v>234.52</v>
      </c>
      <c r="D195" s="109">
        <f t="shared" si="11"/>
        <v>2.2007234061097281E-2</v>
      </c>
      <c r="E195" s="117">
        <v>24123.85</v>
      </c>
      <c r="F195" s="109">
        <f t="shared" si="10"/>
        <v>-6.6971362691207181E-3</v>
      </c>
      <c r="G195" s="166"/>
      <c r="H195" s="166"/>
      <c r="I195" s="166"/>
      <c r="J195" s="166"/>
      <c r="K195" s="166"/>
    </row>
    <row r="196" spans="2:11" x14ac:dyDescent="0.25">
      <c r="B196" s="116">
        <v>45474</v>
      </c>
      <c r="C196" s="117">
        <v>238.78</v>
      </c>
      <c r="D196" s="109">
        <f t="shared" si="11"/>
        <v>1.8164762067200968E-2</v>
      </c>
      <c r="E196" s="117">
        <v>24141.95</v>
      </c>
      <c r="F196" s="109">
        <f t="shared" si="10"/>
        <v>7.5029483270716568E-4</v>
      </c>
      <c r="G196" s="166"/>
      <c r="H196" s="166"/>
      <c r="I196" s="166"/>
      <c r="J196" s="166"/>
      <c r="K196" s="166"/>
    </row>
    <row r="197" spans="2:11" x14ac:dyDescent="0.25">
      <c r="B197" s="116">
        <v>45471</v>
      </c>
      <c r="C197" s="117">
        <v>241.89</v>
      </c>
      <c r="D197" s="109">
        <f t="shared" si="11"/>
        <v>1.302454141887921E-2</v>
      </c>
      <c r="E197" s="117">
        <v>24010.6</v>
      </c>
      <c r="F197" s="109">
        <f t="shared" si="10"/>
        <v>-5.4407369744366996E-3</v>
      </c>
      <c r="G197" s="166"/>
      <c r="H197" s="166"/>
      <c r="I197" s="166"/>
      <c r="J197" s="166"/>
      <c r="K197" s="166"/>
    </row>
    <row r="198" spans="2:11" x14ac:dyDescent="0.25">
      <c r="B198" s="116">
        <v>45470</v>
      </c>
      <c r="C198" s="117">
        <v>242.16</v>
      </c>
      <c r="D198" s="109">
        <f t="shared" si="11"/>
        <v>1.1162098474513105E-3</v>
      </c>
      <c r="E198" s="117">
        <v>24044.5</v>
      </c>
      <c r="F198" s="109">
        <f t="shared" si="10"/>
        <v>1.4118764212474044E-3</v>
      </c>
      <c r="G198" s="166"/>
      <c r="H198" s="166"/>
      <c r="I198" s="166"/>
      <c r="J198" s="166"/>
      <c r="K198" s="166"/>
    </row>
    <row r="199" spans="2:11" x14ac:dyDescent="0.25">
      <c r="B199" s="116">
        <v>45469</v>
      </c>
      <c r="C199" s="117">
        <v>240.19</v>
      </c>
      <c r="D199" s="109">
        <f t="shared" si="11"/>
        <v>-8.1351172778327818E-3</v>
      </c>
      <c r="E199" s="117">
        <v>23868.799999999999</v>
      </c>
      <c r="F199" s="109">
        <f t="shared" si="10"/>
        <v>-7.3072844101561563E-3</v>
      </c>
      <c r="G199" s="166"/>
      <c r="H199" s="166"/>
      <c r="I199" s="166"/>
      <c r="J199" s="166"/>
      <c r="K199" s="166"/>
    </row>
    <row r="200" spans="2:11" x14ac:dyDescent="0.25">
      <c r="B200" s="116">
        <v>45468</v>
      </c>
      <c r="C200" s="117">
        <v>241.86</v>
      </c>
      <c r="D200" s="109">
        <f t="shared" si="11"/>
        <v>6.9528290103668677E-3</v>
      </c>
      <c r="E200" s="117">
        <v>23721.3</v>
      </c>
      <c r="F200" s="109">
        <f t="shared" si="10"/>
        <v>-6.1796152299236073E-3</v>
      </c>
      <c r="G200" s="166"/>
      <c r="H200" s="166"/>
      <c r="I200" s="166"/>
      <c r="J200" s="166"/>
      <c r="K200" s="166"/>
    </row>
    <row r="201" spans="2:11" x14ac:dyDescent="0.25">
      <c r="B201" s="116">
        <v>45467</v>
      </c>
      <c r="C201" s="117">
        <v>240.3</v>
      </c>
      <c r="D201" s="109">
        <f t="shared" si="11"/>
        <v>-6.450012403869998E-3</v>
      </c>
      <c r="E201" s="117">
        <v>23537.85</v>
      </c>
      <c r="F201" s="109">
        <f t="shared" si="10"/>
        <v>-7.7335559180989888E-3</v>
      </c>
      <c r="G201" s="166"/>
      <c r="H201" s="166"/>
      <c r="I201" s="166"/>
      <c r="J201" s="166"/>
      <c r="K201" s="166"/>
    </row>
    <row r="202" spans="2:11" x14ac:dyDescent="0.25">
      <c r="B202" s="116">
        <v>45464</v>
      </c>
      <c r="C202" s="117">
        <v>235.65</v>
      </c>
      <c r="D202" s="109">
        <f t="shared" si="11"/>
        <v>-1.9350811485642994E-2</v>
      </c>
      <c r="E202" s="117">
        <v>23501.1</v>
      </c>
      <c r="F202" s="109">
        <f t="shared" si="10"/>
        <v>-1.5613150733818637E-3</v>
      </c>
      <c r="G202" s="166"/>
      <c r="H202" s="166"/>
      <c r="I202" s="166"/>
      <c r="J202" s="166"/>
      <c r="K202" s="166"/>
    </row>
    <row r="203" spans="2:11" x14ac:dyDescent="0.25">
      <c r="B203" s="116">
        <v>45463</v>
      </c>
      <c r="C203" s="117">
        <v>236.86</v>
      </c>
      <c r="D203" s="109">
        <f t="shared" si="11"/>
        <v>5.1347337152556349E-3</v>
      </c>
      <c r="E203" s="117">
        <v>23567</v>
      </c>
      <c r="F203" s="109">
        <f t="shared" si="10"/>
        <v>2.804124062278035E-3</v>
      </c>
      <c r="G203" s="166"/>
      <c r="H203" s="166"/>
      <c r="I203" s="166"/>
      <c r="J203" s="166"/>
      <c r="K203" s="166"/>
    </row>
    <row r="204" spans="2:11" x14ac:dyDescent="0.25">
      <c r="B204" s="116">
        <v>45462</v>
      </c>
      <c r="C204" s="117">
        <v>234.01</v>
      </c>
      <c r="D204" s="109">
        <f t="shared" si="11"/>
        <v>-1.2032424216837034E-2</v>
      </c>
      <c r="E204" s="117">
        <v>23516</v>
      </c>
      <c r="F204" s="109">
        <f t="shared" si="10"/>
        <v>-2.1640429414011564E-3</v>
      </c>
      <c r="G204" s="166"/>
      <c r="H204" s="166"/>
      <c r="I204" s="166"/>
      <c r="J204" s="166"/>
      <c r="K204" s="166"/>
    </row>
    <row r="205" spans="2:11" x14ac:dyDescent="0.25">
      <c r="B205" s="116">
        <v>45461</v>
      </c>
      <c r="C205" s="117">
        <v>239.24</v>
      </c>
      <c r="D205" s="109">
        <f t="shared" si="11"/>
        <v>2.2349472244775903E-2</v>
      </c>
      <c r="E205" s="117">
        <v>23557.9</v>
      </c>
      <c r="F205" s="109">
        <f t="shared" si="10"/>
        <v>1.7817656063956466E-3</v>
      </c>
      <c r="G205" s="166"/>
      <c r="H205" s="166"/>
      <c r="I205" s="166"/>
      <c r="J205" s="166"/>
      <c r="K205" s="166"/>
    </row>
    <row r="206" spans="2:11" x14ac:dyDescent="0.25">
      <c r="B206" s="116">
        <v>45457</v>
      </c>
      <c r="C206" s="117">
        <v>239.84</v>
      </c>
      <c r="D206" s="109">
        <f t="shared" si="11"/>
        <v>2.5079418157498701E-3</v>
      </c>
      <c r="E206" s="117">
        <v>23465.599999999999</v>
      </c>
      <c r="F206" s="109">
        <f t="shared" si="10"/>
        <v>-3.91800627390404E-3</v>
      </c>
      <c r="G206" s="166"/>
      <c r="H206" s="166"/>
      <c r="I206" s="166"/>
      <c r="J206" s="166"/>
      <c r="K206" s="166"/>
    </row>
    <row r="207" spans="2:11" x14ac:dyDescent="0.25">
      <c r="B207" s="116">
        <v>45456</v>
      </c>
      <c r="C207" s="117">
        <v>236.79</v>
      </c>
      <c r="D207" s="109">
        <f t="shared" si="11"/>
        <v>-1.2716811207471701E-2</v>
      </c>
      <c r="E207" s="117">
        <v>23398.9</v>
      </c>
      <c r="F207" s="109">
        <f t="shared" si="10"/>
        <v>-2.842458748124832E-3</v>
      </c>
      <c r="G207" s="166"/>
      <c r="H207" s="166"/>
      <c r="I207" s="166"/>
      <c r="J207" s="166"/>
      <c r="K207" s="166"/>
    </row>
    <row r="208" spans="2:11" x14ac:dyDescent="0.25">
      <c r="B208" s="116">
        <v>45455</v>
      </c>
      <c r="C208" s="117">
        <v>238.04</v>
      </c>
      <c r="D208" s="109">
        <f t="shared" si="11"/>
        <v>5.2789391443894829E-3</v>
      </c>
      <c r="E208" s="117">
        <v>23322.95</v>
      </c>
      <c r="F208" s="109">
        <f t="shared" si="10"/>
        <v>-3.2458790797857962E-3</v>
      </c>
      <c r="G208" s="166"/>
      <c r="H208" s="166"/>
      <c r="I208" s="166"/>
      <c r="J208" s="166"/>
      <c r="K208" s="166"/>
    </row>
    <row r="209" spans="2:11" x14ac:dyDescent="0.25">
      <c r="B209" s="116">
        <v>45454</v>
      </c>
      <c r="C209" s="117">
        <v>237.96</v>
      </c>
      <c r="D209" s="109">
        <f t="shared" si="11"/>
        <v>-3.360779700889438E-4</v>
      </c>
      <c r="E209" s="117">
        <v>23264.85</v>
      </c>
      <c r="F209" s="109">
        <f t="shared" si="10"/>
        <v>-2.4911085433018121E-3</v>
      </c>
      <c r="G209" s="166"/>
      <c r="H209" s="166"/>
      <c r="I209" s="166"/>
      <c r="J209" s="166"/>
      <c r="K209" s="166"/>
    </row>
    <row r="210" spans="2:11" x14ac:dyDescent="0.25">
      <c r="B210" s="116">
        <v>45453</v>
      </c>
      <c r="C210" s="117">
        <v>231.42</v>
      </c>
      <c r="D210" s="109">
        <f t="shared" si="11"/>
        <v>-2.7483610690872462E-2</v>
      </c>
      <c r="E210" s="117">
        <v>23259.200000000001</v>
      </c>
      <c r="F210" s="109">
        <f t="shared" si="10"/>
        <v>-2.4285563844161917E-4</v>
      </c>
      <c r="G210" s="166"/>
      <c r="H210" s="166"/>
      <c r="I210" s="166"/>
      <c r="J210" s="166"/>
      <c r="K210" s="166"/>
    </row>
    <row r="211" spans="2:11" x14ac:dyDescent="0.25">
      <c r="B211" s="116">
        <v>45450</v>
      </c>
      <c r="C211" s="117">
        <v>231.45</v>
      </c>
      <c r="D211" s="109">
        <f t="shared" si="11"/>
        <v>1.2963443090474591E-4</v>
      </c>
      <c r="E211" s="117">
        <v>23290.15</v>
      </c>
      <c r="F211" s="109">
        <f t="shared" si="10"/>
        <v>1.3306562564490143E-3</v>
      </c>
      <c r="G211" s="166"/>
      <c r="H211" s="166"/>
      <c r="I211" s="166"/>
      <c r="J211" s="166"/>
      <c r="K211" s="166"/>
    </row>
    <row r="212" spans="2:11" x14ac:dyDescent="0.25">
      <c r="B212" s="116">
        <v>45449</v>
      </c>
      <c r="C212" s="117">
        <v>225.7</v>
      </c>
      <c r="D212" s="109">
        <f t="shared" si="11"/>
        <v>-2.4843378699503149E-2</v>
      </c>
      <c r="E212" s="117">
        <v>22821.4</v>
      </c>
      <c r="F212" s="109">
        <f t="shared" si="10"/>
        <v>-2.0126534178611988E-2</v>
      </c>
      <c r="G212" s="166"/>
      <c r="H212" s="166"/>
      <c r="I212" s="166"/>
      <c r="J212" s="166"/>
      <c r="K212" s="166"/>
    </row>
    <row r="213" spans="2:11" x14ac:dyDescent="0.25">
      <c r="B213" s="116">
        <v>45448</v>
      </c>
      <c r="C213" s="117">
        <v>224.15</v>
      </c>
      <c r="D213" s="109">
        <f t="shared" si="11"/>
        <v>-6.8675232609658465E-3</v>
      </c>
      <c r="E213" s="117">
        <v>22620.35</v>
      </c>
      <c r="F213" s="109">
        <f t="shared" si="10"/>
        <v>-8.8097136897825612E-3</v>
      </c>
      <c r="G213" s="166"/>
      <c r="H213" s="166"/>
      <c r="I213" s="166"/>
      <c r="J213" s="166"/>
      <c r="K213" s="166"/>
    </row>
    <row r="214" spans="2:11" x14ac:dyDescent="0.25">
      <c r="B214" s="116">
        <v>45447</v>
      </c>
      <c r="C214" s="117">
        <v>207.75</v>
      </c>
      <c r="D214" s="109">
        <f t="shared" si="11"/>
        <v>-7.3165291099710039E-2</v>
      </c>
      <c r="E214" s="117">
        <v>21884.5</v>
      </c>
      <c r="F214" s="109">
        <f t="shared" si="10"/>
        <v>-3.2530442720824282E-2</v>
      </c>
      <c r="G214" s="166"/>
      <c r="H214" s="166"/>
      <c r="I214" s="166"/>
      <c r="J214" s="166"/>
      <c r="K214" s="166"/>
    </row>
    <row r="215" spans="2:11" x14ac:dyDescent="0.25">
      <c r="B215" s="116">
        <v>45446</v>
      </c>
      <c r="C215" s="117">
        <v>236.5</v>
      </c>
      <c r="D215" s="109">
        <f t="shared" si="11"/>
        <v>0.13838748495788211</v>
      </c>
      <c r="E215" s="117">
        <v>23263.9</v>
      </c>
      <c r="F215" s="109">
        <f t="shared" si="10"/>
        <v>6.3030912289520069E-2</v>
      </c>
      <c r="G215" s="166"/>
      <c r="H215" s="166"/>
      <c r="I215" s="166"/>
      <c r="J215" s="166"/>
      <c r="K215" s="166"/>
    </row>
    <row r="216" spans="2:11" x14ac:dyDescent="0.25">
      <c r="B216" s="116">
        <v>45443</v>
      </c>
      <c r="C216" s="117">
        <v>224</v>
      </c>
      <c r="D216" s="109">
        <f t="shared" si="11"/>
        <v>-5.2854122621564525E-2</v>
      </c>
      <c r="E216" s="117">
        <v>22530.7</v>
      </c>
      <c r="F216" s="109">
        <f t="shared" si="10"/>
        <v>-3.1516641663693612E-2</v>
      </c>
      <c r="G216" s="166"/>
      <c r="H216" s="166"/>
      <c r="I216" s="166"/>
      <c r="J216" s="166"/>
      <c r="K216" s="166"/>
    </row>
    <row r="217" spans="2:11" x14ac:dyDescent="0.25">
      <c r="B217" s="116">
        <v>45442</v>
      </c>
      <c r="C217" s="117">
        <v>219.75</v>
      </c>
      <c r="D217" s="109">
        <f t="shared" si="11"/>
        <v>-1.8973214285714302E-2</v>
      </c>
      <c r="E217" s="117">
        <v>22488.65</v>
      </c>
      <c r="F217" s="109">
        <f t="shared" si="10"/>
        <v>-1.8663423684128766E-3</v>
      </c>
      <c r="G217" s="166"/>
      <c r="H217" s="166"/>
      <c r="I217" s="166"/>
      <c r="J217" s="166"/>
      <c r="K217" s="166"/>
    </row>
    <row r="218" spans="2:11" x14ac:dyDescent="0.25">
      <c r="B218" s="116">
        <v>45441</v>
      </c>
      <c r="C218" s="117">
        <v>221.65</v>
      </c>
      <c r="D218" s="109">
        <f t="shared" si="11"/>
        <v>8.6461888509670182E-3</v>
      </c>
      <c r="E218" s="117">
        <v>22704.7</v>
      </c>
      <c r="F218" s="109">
        <f t="shared" si="10"/>
        <v>9.6070684545315199E-3</v>
      </c>
      <c r="G218" s="166"/>
      <c r="H218" s="166"/>
      <c r="I218" s="166"/>
      <c r="J218" s="166"/>
      <c r="K218" s="166"/>
    </row>
    <row r="219" spans="2:11" x14ac:dyDescent="0.25">
      <c r="B219" s="116">
        <v>45440</v>
      </c>
      <c r="C219" s="117">
        <v>226.85</v>
      </c>
      <c r="D219" s="109">
        <f t="shared" si="11"/>
        <v>2.346041055718473E-2</v>
      </c>
      <c r="E219" s="117">
        <v>22888.15</v>
      </c>
      <c r="F219" s="109">
        <f t="shared" si="10"/>
        <v>8.0798248820728169E-3</v>
      </c>
      <c r="G219" s="166"/>
      <c r="H219" s="166"/>
      <c r="I219" s="166"/>
      <c r="J219" s="166"/>
      <c r="K219" s="166"/>
    </row>
    <row r="220" spans="2:11" x14ac:dyDescent="0.25">
      <c r="B220" s="116">
        <v>45439</v>
      </c>
      <c r="C220" s="117">
        <v>226.7</v>
      </c>
      <c r="D220" s="109">
        <f t="shared" si="11"/>
        <v>-6.6122988759098611E-4</v>
      </c>
      <c r="E220" s="117">
        <v>22932.45</v>
      </c>
      <c r="F220" s="109">
        <f t="shared" si="10"/>
        <v>1.9354993741302895E-3</v>
      </c>
      <c r="G220" s="166"/>
      <c r="H220" s="166"/>
      <c r="I220" s="166"/>
      <c r="J220" s="166"/>
      <c r="K220" s="166"/>
    </row>
    <row r="221" spans="2:11" x14ac:dyDescent="0.25">
      <c r="B221" s="116">
        <v>45436</v>
      </c>
      <c r="C221" s="117">
        <v>210.7</v>
      </c>
      <c r="D221" s="109">
        <f t="shared" si="11"/>
        <v>-7.0577856197618027E-2</v>
      </c>
      <c r="E221" s="117">
        <v>22957.1</v>
      </c>
      <c r="F221" s="109">
        <f t="shared" si="10"/>
        <v>1.0748960534090468E-3</v>
      </c>
      <c r="G221" s="166"/>
      <c r="H221" s="166"/>
      <c r="I221" s="166"/>
      <c r="J221" s="166"/>
      <c r="K221" s="166"/>
    </row>
    <row r="222" spans="2:11" x14ac:dyDescent="0.25">
      <c r="B222" s="116">
        <v>45435</v>
      </c>
      <c r="C222" s="117">
        <v>212.35</v>
      </c>
      <c r="D222" s="109">
        <f t="shared" si="11"/>
        <v>7.8310393925011823E-3</v>
      </c>
      <c r="E222" s="117">
        <v>22967.65</v>
      </c>
      <c r="F222" s="109">
        <f t="shared" si="10"/>
        <v>4.5955281808263138E-4</v>
      </c>
      <c r="G222" s="166"/>
      <c r="H222" s="166"/>
      <c r="I222" s="166"/>
      <c r="J222" s="166"/>
      <c r="K222" s="166"/>
    </row>
    <row r="223" spans="2:11" x14ac:dyDescent="0.25">
      <c r="B223" s="116">
        <v>45434</v>
      </c>
      <c r="C223" s="117">
        <v>208.2</v>
      </c>
      <c r="D223" s="109">
        <f t="shared" si="11"/>
        <v>-1.9543206969625637E-2</v>
      </c>
      <c r="E223" s="117">
        <v>22597.8</v>
      </c>
      <c r="F223" s="109">
        <f t="shared" si="10"/>
        <v>-1.6103084120491329E-2</v>
      </c>
      <c r="G223" s="166"/>
      <c r="H223" s="166"/>
      <c r="I223" s="166"/>
      <c r="J223" s="166"/>
      <c r="K223" s="166"/>
    </row>
    <row r="224" spans="2:11" x14ac:dyDescent="0.25">
      <c r="B224" s="116">
        <v>45433</v>
      </c>
      <c r="C224" s="117">
        <v>211.35</v>
      </c>
      <c r="D224" s="109">
        <f t="shared" si="11"/>
        <v>1.5129682997118143E-2</v>
      </c>
      <c r="E224" s="117">
        <v>22529.05</v>
      </c>
      <c r="F224" s="109">
        <f t="shared" si="10"/>
        <v>-3.0423315543991469E-3</v>
      </c>
      <c r="G224" s="166"/>
      <c r="H224" s="166"/>
      <c r="I224" s="166"/>
      <c r="J224" s="166"/>
      <c r="K224" s="166"/>
    </row>
    <row r="225" spans="2:11" x14ac:dyDescent="0.25">
      <c r="B225" s="116">
        <v>45430</v>
      </c>
      <c r="C225" s="117">
        <v>210.6</v>
      </c>
      <c r="D225" s="109">
        <f t="shared" si="11"/>
        <v>-3.5486160397445454E-3</v>
      </c>
      <c r="E225" s="117">
        <v>22502</v>
      </c>
      <c r="F225" s="109">
        <f t="shared" si="10"/>
        <v>-1.2006720212347499E-3</v>
      </c>
      <c r="G225" s="166"/>
      <c r="H225" s="166"/>
      <c r="I225" s="166"/>
      <c r="J225" s="166"/>
      <c r="K225" s="166"/>
    </row>
    <row r="226" spans="2:11" x14ac:dyDescent="0.25">
      <c r="B226" s="116">
        <v>45429</v>
      </c>
      <c r="C226" s="117">
        <v>207.85</v>
      </c>
      <c r="D226" s="109">
        <f t="shared" si="11"/>
        <v>-1.3057929724596407E-2</v>
      </c>
      <c r="E226" s="117">
        <v>22466.1</v>
      </c>
      <c r="F226" s="109">
        <f t="shared" si="10"/>
        <v>-1.5954137410009173E-3</v>
      </c>
      <c r="G226" s="166"/>
      <c r="H226" s="166"/>
      <c r="I226" s="166"/>
      <c r="J226" s="166"/>
      <c r="K226" s="166"/>
    </row>
    <row r="227" spans="2:11" x14ac:dyDescent="0.25">
      <c r="B227" s="116">
        <v>45428</v>
      </c>
      <c r="C227" s="117">
        <v>206.65</v>
      </c>
      <c r="D227" s="109">
        <f t="shared" si="11"/>
        <v>-5.7733942747172362E-3</v>
      </c>
      <c r="E227" s="117">
        <v>22403.85</v>
      </c>
      <c r="F227" s="109">
        <f t="shared" si="10"/>
        <v>-2.7708414010442217E-3</v>
      </c>
      <c r="G227" s="166"/>
      <c r="H227" s="166"/>
      <c r="I227" s="166"/>
      <c r="J227" s="166"/>
      <c r="K227" s="166"/>
    </row>
    <row r="228" spans="2:11" x14ac:dyDescent="0.25">
      <c r="B228" s="116">
        <v>45427</v>
      </c>
      <c r="C228" s="117">
        <v>201.4</v>
      </c>
      <c r="D228" s="109">
        <f t="shared" si="11"/>
        <v>-2.5405274618920837E-2</v>
      </c>
      <c r="E228" s="117">
        <v>22200.55</v>
      </c>
      <c r="F228" s="109">
        <f t="shared" si="10"/>
        <v>-9.0743332061230531E-3</v>
      </c>
      <c r="G228" s="166"/>
      <c r="H228" s="166"/>
      <c r="I228" s="166"/>
      <c r="J228" s="166"/>
      <c r="K228" s="166"/>
    </row>
    <row r="229" spans="2:11" x14ac:dyDescent="0.25">
      <c r="B229" s="116">
        <v>45426</v>
      </c>
      <c r="C229" s="117">
        <v>204.55</v>
      </c>
      <c r="D229" s="109">
        <f t="shared" si="11"/>
        <v>1.5640516385302838E-2</v>
      </c>
      <c r="E229" s="117">
        <v>22217.85</v>
      </c>
      <c r="F229" s="109">
        <f t="shared" si="10"/>
        <v>7.7925997328898156E-4</v>
      </c>
      <c r="G229" s="166"/>
      <c r="H229" s="166"/>
      <c r="I229" s="166"/>
      <c r="J229" s="166"/>
      <c r="K229" s="166"/>
    </row>
    <row r="230" spans="2:11" x14ac:dyDescent="0.25">
      <c r="B230" s="116">
        <v>45425</v>
      </c>
      <c r="C230" s="117">
        <v>199.35</v>
      </c>
      <c r="D230" s="109">
        <f t="shared" si="11"/>
        <v>-2.5421657296504585E-2</v>
      </c>
      <c r="E230" s="117">
        <v>22104.05</v>
      </c>
      <c r="F230" s="109">
        <f t="shared" si="10"/>
        <v>-5.1220077550258036E-3</v>
      </c>
      <c r="G230" s="166"/>
      <c r="H230" s="166"/>
      <c r="I230" s="166"/>
      <c r="J230" s="166"/>
      <c r="K230" s="166"/>
    </row>
    <row r="231" spans="2:11" x14ac:dyDescent="0.25">
      <c r="B231" s="116">
        <v>45422</v>
      </c>
      <c r="C231" s="117">
        <v>198.3</v>
      </c>
      <c r="D231" s="109">
        <f t="shared" si="11"/>
        <v>-5.2671181339352113E-3</v>
      </c>
      <c r="E231" s="117">
        <v>22055.200000000001</v>
      </c>
      <c r="F231" s="109">
        <f t="shared" si="10"/>
        <v>-2.2100022394085928E-3</v>
      </c>
      <c r="G231" s="166"/>
      <c r="H231" s="166"/>
      <c r="I231" s="166"/>
      <c r="J231" s="166"/>
      <c r="K231" s="166"/>
    </row>
    <row r="232" spans="2:11" x14ac:dyDescent="0.25">
      <c r="B232" s="116">
        <v>45421</v>
      </c>
      <c r="C232" s="117">
        <v>194.65</v>
      </c>
      <c r="D232" s="109">
        <f t="shared" si="11"/>
        <v>-1.8406454866364164E-2</v>
      </c>
      <c r="E232" s="117">
        <v>21957.5</v>
      </c>
      <c r="F232" s="109">
        <f t="shared" si="10"/>
        <v>-4.4297943342159751E-3</v>
      </c>
      <c r="G232" s="166"/>
      <c r="H232" s="166"/>
      <c r="I232" s="166"/>
      <c r="J232" s="166"/>
      <c r="K232" s="166"/>
    </row>
    <row r="233" spans="2:11" x14ac:dyDescent="0.25">
      <c r="B233" s="116">
        <v>45420</v>
      </c>
      <c r="C233" s="117">
        <v>198.35</v>
      </c>
      <c r="D233" s="109">
        <f t="shared" si="11"/>
        <v>1.9008476753146653E-2</v>
      </c>
      <c r="E233" s="117">
        <v>22302.5</v>
      </c>
      <c r="F233" s="109">
        <f t="shared" si="10"/>
        <v>1.5712171239895323E-2</v>
      </c>
      <c r="G233" s="166"/>
      <c r="H233" s="166"/>
      <c r="I233" s="166"/>
      <c r="J233" s="166"/>
      <c r="K233" s="166"/>
    </row>
    <row r="234" spans="2:11" x14ac:dyDescent="0.25">
      <c r="B234" s="116">
        <v>45419</v>
      </c>
      <c r="C234" s="117">
        <v>194.1</v>
      </c>
      <c r="D234" s="109">
        <f t="shared" si="11"/>
        <v>-2.142677085959166E-2</v>
      </c>
      <c r="E234" s="117">
        <v>22302.5</v>
      </c>
      <c r="F234" s="109">
        <f t="shared" si="10"/>
        <v>0</v>
      </c>
      <c r="G234" s="166"/>
      <c r="H234" s="166"/>
      <c r="I234" s="166"/>
      <c r="J234" s="166"/>
      <c r="K234" s="166"/>
    </row>
    <row r="235" spans="2:11" x14ac:dyDescent="0.25">
      <c r="B235" s="116">
        <v>45418</v>
      </c>
      <c r="C235" s="117">
        <v>200.85</v>
      </c>
      <c r="D235" s="109">
        <f t="shared" si="11"/>
        <v>3.4775888717156089E-2</v>
      </c>
      <c r="E235" s="117">
        <v>22442.7</v>
      </c>
      <c r="F235" s="109">
        <f t="shared" si="10"/>
        <v>6.2862907745768748E-3</v>
      </c>
      <c r="G235" s="166"/>
      <c r="H235" s="166"/>
      <c r="I235" s="166"/>
      <c r="J235" s="166"/>
      <c r="K235" s="166"/>
    </row>
    <row r="236" spans="2:11" x14ac:dyDescent="0.25">
      <c r="B236" s="116">
        <v>45415</v>
      </c>
      <c r="C236" s="117">
        <v>202.3</v>
      </c>
      <c r="D236" s="109">
        <f t="shared" si="11"/>
        <v>7.2193178989297113E-3</v>
      </c>
      <c r="E236" s="117">
        <v>22475.85</v>
      </c>
      <c r="F236" s="109">
        <f t="shared" si="10"/>
        <v>1.4770950019382667E-3</v>
      </c>
      <c r="G236" s="166"/>
      <c r="H236" s="166"/>
      <c r="I236" s="166"/>
      <c r="J236" s="166"/>
      <c r="K236" s="166"/>
    </row>
    <row r="237" spans="2:11" x14ac:dyDescent="0.25">
      <c r="B237" s="116">
        <v>45414</v>
      </c>
      <c r="C237" s="117">
        <v>201.35</v>
      </c>
      <c r="D237" s="109">
        <f t="shared" si="11"/>
        <v>-4.6959960454771021E-3</v>
      </c>
      <c r="E237" s="117">
        <v>22648.2</v>
      </c>
      <c r="F237" s="109">
        <f t="shared" si="10"/>
        <v>7.6682305674757867E-3</v>
      </c>
      <c r="G237" s="166"/>
      <c r="H237" s="166"/>
      <c r="I237" s="166"/>
      <c r="J237" s="166"/>
      <c r="K237" s="166"/>
    </row>
    <row r="238" spans="2:11" x14ac:dyDescent="0.25">
      <c r="B238" s="116">
        <v>45412</v>
      </c>
      <c r="C238" s="117">
        <v>192.65</v>
      </c>
      <c r="D238" s="109">
        <f t="shared" si="11"/>
        <v>-4.3208343680158912E-2</v>
      </c>
      <c r="E238" s="117">
        <v>22604.85</v>
      </c>
      <c r="F238" s="109">
        <f t="shared" si="10"/>
        <v>-1.9140593954487528E-3</v>
      </c>
      <c r="G238" s="166"/>
      <c r="H238" s="166"/>
      <c r="I238" s="166"/>
      <c r="J238" s="166"/>
      <c r="K238" s="166"/>
    </row>
    <row r="239" spans="2:11" x14ac:dyDescent="0.25">
      <c r="B239" s="116">
        <v>45411</v>
      </c>
      <c r="C239" s="117">
        <v>185.35</v>
      </c>
      <c r="D239" s="109">
        <f t="shared" si="11"/>
        <v>-3.7892551258759455E-2</v>
      </c>
      <c r="E239" s="117">
        <v>22643.4</v>
      </c>
      <c r="F239" s="109">
        <f t="shared" si="10"/>
        <v>1.7053862334854841E-3</v>
      </c>
      <c r="G239" s="166"/>
      <c r="H239" s="166"/>
      <c r="I239" s="166"/>
      <c r="J239" s="166"/>
      <c r="K239" s="166"/>
    </row>
    <row r="240" spans="2:11" x14ac:dyDescent="0.25">
      <c r="B240" s="116">
        <v>45408</v>
      </c>
      <c r="C240" s="117">
        <v>185</v>
      </c>
      <c r="D240" s="109">
        <f t="shared" si="11"/>
        <v>-1.8883193957377475E-3</v>
      </c>
      <c r="E240" s="117">
        <v>22419.95</v>
      </c>
      <c r="F240" s="109">
        <f t="shared" si="10"/>
        <v>-9.868217670491175E-3</v>
      </c>
      <c r="G240" s="166"/>
      <c r="H240" s="166"/>
      <c r="I240" s="166"/>
      <c r="J240" s="166"/>
      <c r="K240" s="166"/>
    </row>
    <row r="241" spans="2:11" x14ac:dyDescent="0.25">
      <c r="B241" s="116">
        <v>45407</v>
      </c>
      <c r="C241" s="117">
        <v>177.7</v>
      </c>
      <c r="D241" s="109">
        <f t="shared" si="11"/>
        <v>-3.9459459459459501E-2</v>
      </c>
      <c r="E241" s="117">
        <v>22570.35</v>
      </c>
      <c r="F241" s="109">
        <f t="shared" si="10"/>
        <v>6.7083111246901694E-3</v>
      </c>
      <c r="G241" s="166"/>
      <c r="H241" s="166"/>
      <c r="I241" s="166"/>
      <c r="J241" s="166"/>
      <c r="K241" s="166"/>
    </row>
    <row r="242" spans="2:11" x14ac:dyDescent="0.25">
      <c r="B242" s="116">
        <v>45406</v>
      </c>
      <c r="C242" s="117">
        <v>177.6</v>
      </c>
      <c r="D242" s="109">
        <f t="shared" si="11"/>
        <v>-5.6274620146312682E-4</v>
      </c>
      <c r="E242" s="117">
        <v>22402.400000000001</v>
      </c>
      <c r="F242" s="109">
        <f t="shared" si="10"/>
        <v>-7.4411783601050496E-3</v>
      </c>
      <c r="G242" s="166"/>
      <c r="H242" s="166"/>
      <c r="I242" s="166"/>
      <c r="J242" s="166"/>
      <c r="K242" s="166"/>
    </row>
    <row r="243" spans="2:11" x14ac:dyDescent="0.25">
      <c r="B243" s="116">
        <v>45405</v>
      </c>
      <c r="C243" s="117">
        <v>174.65</v>
      </c>
      <c r="D243" s="109">
        <f t="shared" si="11"/>
        <v>-1.6610360360360343E-2</v>
      </c>
      <c r="E243" s="117">
        <v>22368</v>
      </c>
      <c r="F243" s="109">
        <f t="shared" si="10"/>
        <v>-1.5355497625254566E-3</v>
      </c>
      <c r="G243" s="166"/>
      <c r="H243" s="166"/>
      <c r="I243" s="166"/>
      <c r="J243" s="166"/>
      <c r="K243" s="166"/>
    </row>
    <row r="244" spans="2:11" x14ac:dyDescent="0.25">
      <c r="B244" s="116">
        <v>45404</v>
      </c>
      <c r="C244" s="117">
        <v>172.7</v>
      </c>
      <c r="D244" s="109">
        <f t="shared" si="11"/>
        <v>-1.1165187517892972E-2</v>
      </c>
      <c r="E244" s="117">
        <v>22336.400000000001</v>
      </c>
      <c r="F244" s="109">
        <f t="shared" si="10"/>
        <v>-1.4127324749642067E-3</v>
      </c>
      <c r="G244" s="166"/>
      <c r="H244" s="166"/>
      <c r="I244" s="166"/>
      <c r="J244" s="166"/>
      <c r="K244" s="166"/>
    </row>
    <row r="245" spans="2:11" x14ac:dyDescent="0.25">
      <c r="B245" s="116">
        <v>45401</v>
      </c>
      <c r="C245" s="117">
        <v>169.35</v>
      </c>
      <c r="D245" s="109">
        <f t="shared" si="11"/>
        <v>-1.9397799652576708E-2</v>
      </c>
      <c r="E245" s="117">
        <v>22147</v>
      </c>
      <c r="F245" s="109">
        <f t="shared" si="10"/>
        <v>-8.479432674916354E-3</v>
      </c>
      <c r="G245" s="166"/>
      <c r="H245" s="166"/>
      <c r="I245" s="166"/>
      <c r="J245" s="166"/>
      <c r="K245" s="166"/>
    </row>
    <row r="246" spans="2:11" x14ac:dyDescent="0.25">
      <c r="B246" s="116">
        <v>45400</v>
      </c>
      <c r="C246" s="117">
        <v>169.7</v>
      </c>
      <c r="D246" s="109">
        <f t="shared" si="11"/>
        <v>2.0667257159727725E-3</v>
      </c>
      <c r="E246" s="117">
        <v>21995.85</v>
      </c>
      <c r="F246" s="109">
        <f t="shared" ref="F246:F258" si="12">E246/E245-1</f>
        <v>-6.824852124441283E-3</v>
      </c>
      <c r="G246" s="166"/>
      <c r="H246" s="166"/>
      <c r="I246" s="166"/>
      <c r="J246" s="166"/>
      <c r="K246" s="166"/>
    </row>
    <row r="247" spans="2:11" x14ac:dyDescent="0.25">
      <c r="B247" s="116">
        <v>45398</v>
      </c>
      <c r="C247" s="117">
        <v>176.2</v>
      </c>
      <c r="D247" s="109">
        <f t="shared" si="11"/>
        <v>3.830288744843835E-2</v>
      </c>
      <c r="E247" s="117">
        <v>22147.9</v>
      </c>
      <c r="F247" s="109">
        <f t="shared" si="12"/>
        <v>6.9126676168460577E-3</v>
      </c>
      <c r="G247" s="166"/>
      <c r="H247" s="166"/>
      <c r="I247" s="166"/>
      <c r="J247" s="166"/>
      <c r="K247" s="166"/>
    </row>
    <row r="248" spans="2:11" x14ac:dyDescent="0.25">
      <c r="B248" s="116">
        <v>45397</v>
      </c>
      <c r="C248" s="117">
        <v>174.85</v>
      </c>
      <c r="D248" s="109">
        <f t="shared" si="11"/>
        <v>-7.6617480136208505E-3</v>
      </c>
      <c r="E248" s="117">
        <v>22272.5</v>
      </c>
      <c r="F248" s="109">
        <f t="shared" si="12"/>
        <v>5.6258155400736864E-3</v>
      </c>
      <c r="G248" s="166"/>
      <c r="H248" s="166"/>
      <c r="I248" s="166"/>
      <c r="J248" s="166"/>
      <c r="K248" s="166"/>
    </row>
    <row r="249" spans="2:11" x14ac:dyDescent="0.25">
      <c r="B249" s="116">
        <v>45394</v>
      </c>
      <c r="C249" s="117">
        <v>178.35</v>
      </c>
      <c r="D249" s="109">
        <f t="shared" ref="D249:D258" si="13">C249/C248-1</f>
        <v>2.0017157563625876E-2</v>
      </c>
      <c r="E249" s="117">
        <v>22519.4</v>
      </c>
      <c r="F249" s="109">
        <f t="shared" si="12"/>
        <v>1.1085419238971994E-2</v>
      </c>
      <c r="G249" s="166"/>
      <c r="H249" s="166"/>
      <c r="I249" s="166"/>
      <c r="J249" s="166"/>
      <c r="K249" s="166"/>
    </row>
    <row r="250" spans="2:11" x14ac:dyDescent="0.25">
      <c r="B250" s="116">
        <v>45392</v>
      </c>
      <c r="C250" s="117">
        <v>178.5</v>
      </c>
      <c r="D250" s="109">
        <f t="shared" si="13"/>
        <v>8.41042893187538E-4</v>
      </c>
      <c r="E250" s="117">
        <v>22753.8</v>
      </c>
      <c r="F250" s="109">
        <f t="shared" si="12"/>
        <v>1.0408803076458417E-2</v>
      </c>
      <c r="G250" s="166"/>
      <c r="H250" s="166"/>
      <c r="I250" s="166"/>
      <c r="J250" s="166"/>
      <c r="K250" s="166"/>
    </row>
    <row r="251" spans="2:11" x14ac:dyDescent="0.25">
      <c r="B251" s="116">
        <v>45391</v>
      </c>
      <c r="C251" s="117">
        <v>176.05</v>
      </c>
      <c r="D251" s="109">
        <f t="shared" si="13"/>
        <v>-1.3725490196078383E-2</v>
      </c>
      <c r="E251" s="117">
        <v>22642.75</v>
      </c>
      <c r="F251" s="109">
        <f t="shared" si="12"/>
        <v>-4.8805034763423905E-3</v>
      </c>
      <c r="G251" s="166"/>
      <c r="H251" s="166"/>
      <c r="I251" s="166"/>
      <c r="J251" s="166"/>
      <c r="K251" s="166"/>
    </row>
    <row r="252" spans="2:11" x14ac:dyDescent="0.25">
      <c r="B252" s="116">
        <v>45390</v>
      </c>
      <c r="C252" s="117">
        <v>177.2</v>
      </c>
      <c r="D252" s="109">
        <f t="shared" si="13"/>
        <v>6.5322351604657491E-3</v>
      </c>
      <c r="E252" s="117">
        <v>22666.3</v>
      </c>
      <c r="F252" s="109">
        <f t="shared" si="12"/>
        <v>1.0400680129400985E-3</v>
      </c>
      <c r="G252" s="166"/>
      <c r="H252" s="166"/>
      <c r="I252" s="166"/>
      <c r="J252" s="166"/>
      <c r="K252" s="166"/>
    </row>
    <row r="253" spans="2:11" x14ac:dyDescent="0.25">
      <c r="B253" s="116">
        <v>45387</v>
      </c>
      <c r="C253" s="117">
        <v>176</v>
      </c>
      <c r="D253" s="109">
        <f t="shared" si="13"/>
        <v>-6.7720090293452717E-3</v>
      </c>
      <c r="E253" s="117">
        <v>22513.7</v>
      </c>
      <c r="F253" s="109">
        <f t="shared" si="12"/>
        <v>-6.7324618486475085E-3</v>
      </c>
      <c r="G253" s="166"/>
      <c r="H253" s="166"/>
      <c r="I253" s="166"/>
      <c r="J253" s="166"/>
      <c r="K253" s="166"/>
    </row>
    <row r="254" spans="2:11" x14ac:dyDescent="0.25">
      <c r="B254" s="116">
        <v>45386</v>
      </c>
      <c r="C254" s="117">
        <v>173</v>
      </c>
      <c r="D254" s="109">
        <f t="shared" si="13"/>
        <v>-1.7045454545454586E-2</v>
      </c>
      <c r="E254" s="117">
        <v>22514.65</v>
      </c>
      <c r="F254" s="109">
        <f t="shared" si="12"/>
        <v>4.2196529224547419E-5</v>
      </c>
      <c r="G254" s="166"/>
      <c r="H254" s="166"/>
      <c r="I254" s="166"/>
      <c r="J254" s="166"/>
      <c r="K254" s="166"/>
    </row>
    <row r="255" spans="2:11" x14ac:dyDescent="0.25">
      <c r="B255" s="116">
        <v>45385</v>
      </c>
      <c r="C255" s="117">
        <v>174.25</v>
      </c>
      <c r="D255" s="109">
        <f t="shared" si="13"/>
        <v>7.225433526011571E-3</v>
      </c>
      <c r="E255" s="117">
        <v>22434.65</v>
      </c>
      <c r="F255" s="109">
        <f t="shared" si="12"/>
        <v>-3.5532420002087894E-3</v>
      </c>
      <c r="G255" s="166"/>
      <c r="H255" s="166"/>
      <c r="I255" s="166"/>
      <c r="J255" s="166"/>
      <c r="K255" s="166"/>
    </row>
    <row r="256" spans="2:11" x14ac:dyDescent="0.25">
      <c r="B256" s="116">
        <v>45384</v>
      </c>
      <c r="C256" s="117">
        <v>176.5</v>
      </c>
      <c r="D256" s="109">
        <f t="shared" si="13"/>
        <v>1.2912482065997155E-2</v>
      </c>
      <c r="E256" s="117">
        <v>22453.3</v>
      </c>
      <c r="F256" s="109">
        <f t="shared" si="12"/>
        <v>8.3130336332404298E-4</v>
      </c>
      <c r="G256" s="166"/>
      <c r="H256" s="166"/>
      <c r="I256" s="166"/>
      <c r="J256" s="166"/>
      <c r="K256" s="166"/>
    </row>
    <row r="257" spans="2:12" x14ac:dyDescent="0.25">
      <c r="B257" s="116">
        <v>45383</v>
      </c>
      <c r="C257" s="117">
        <v>174.65</v>
      </c>
      <c r="D257" s="109">
        <f t="shared" si="13"/>
        <v>-1.0481586402266263E-2</v>
      </c>
      <c r="E257" s="117">
        <v>22462</v>
      </c>
      <c r="F257" s="109">
        <f t="shared" si="12"/>
        <v>3.8747088401258623E-4</v>
      </c>
      <c r="G257" s="166"/>
      <c r="H257" s="166"/>
      <c r="I257" s="166"/>
      <c r="J257" s="166"/>
      <c r="K257" s="166"/>
    </row>
    <row r="258" spans="2:12" x14ac:dyDescent="0.25">
      <c r="B258" s="116">
        <v>45379</v>
      </c>
      <c r="C258" s="117">
        <v>171.25</v>
      </c>
      <c r="D258" s="109">
        <f t="shared" si="13"/>
        <v>-1.9467506441454341E-2</v>
      </c>
      <c r="E258" s="117">
        <v>22326.9</v>
      </c>
      <c r="F258" s="109">
        <f t="shared" si="12"/>
        <v>-6.0146024396758868E-3</v>
      </c>
      <c r="G258" s="166"/>
      <c r="H258" s="166"/>
      <c r="I258" s="166"/>
      <c r="J258" s="166"/>
      <c r="K258" s="166"/>
    </row>
    <row r="259" spans="2:12" s="166" customFormat="1" x14ac:dyDescent="0.25">
      <c r="B259" s="116"/>
      <c r="C259" s="117"/>
      <c r="D259" s="109"/>
      <c r="E259" s="117"/>
      <c r="F259" s="109"/>
    </row>
    <row r="260" spans="2:12" x14ac:dyDescent="0.25">
      <c r="B260" s="116"/>
      <c r="C260" s="117"/>
      <c r="D260" s="109"/>
      <c r="E260" s="117"/>
      <c r="F260" s="109"/>
      <c r="G260" s="166"/>
      <c r="H260" s="166"/>
      <c r="I260" s="166"/>
      <c r="J260" s="166"/>
      <c r="K260" s="166"/>
    </row>
    <row r="261" spans="2:12" x14ac:dyDescent="0.25">
      <c r="B261" s="116"/>
      <c r="C261" s="117"/>
      <c r="D261" s="109"/>
      <c r="E261" s="117"/>
      <c r="F261" s="109"/>
      <c r="G261" s="166"/>
      <c r="H261" s="166"/>
      <c r="I261" s="166"/>
      <c r="J261" s="166"/>
      <c r="K261" s="166"/>
    </row>
    <row r="262" spans="2:12" x14ac:dyDescent="0.25">
      <c r="B262" s="116"/>
      <c r="C262" s="117"/>
      <c r="D262" s="109"/>
      <c r="E262" s="117"/>
      <c r="F262" s="109"/>
      <c r="G262" s="166"/>
      <c r="H262" s="166"/>
      <c r="I262" s="166"/>
      <c r="J262" s="166"/>
      <c r="K262" s="166"/>
    </row>
    <row r="263" spans="2:12" x14ac:dyDescent="0.25">
      <c r="B263" s="116"/>
      <c r="C263" s="117"/>
      <c r="D263" s="109"/>
      <c r="E263" s="117"/>
      <c r="F263" s="109"/>
      <c r="G263" s="166"/>
      <c r="H263" s="166"/>
      <c r="I263" s="166"/>
      <c r="J263" s="166"/>
      <c r="K263" s="166"/>
    </row>
    <row r="264" spans="2:12" x14ac:dyDescent="0.25">
      <c r="B264" s="116"/>
      <c r="C264" s="117"/>
      <c r="D264" s="109"/>
      <c r="E264" s="117"/>
      <c r="F264" s="109"/>
      <c r="G264" s="166"/>
      <c r="H264" s="166"/>
      <c r="I264" s="166"/>
      <c r="J264" s="166"/>
      <c r="K264" s="166"/>
    </row>
    <row r="265" spans="2:12" s="166" customFormat="1" x14ac:dyDescent="0.25">
      <c r="B265" s="116"/>
      <c r="C265" s="117"/>
      <c r="D265" s="109"/>
      <c r="E265" s="117"/>
      <c r="F265" s="109"/>
    </row>
    <row r="266" spans="2:12" x14ac:dyDescent="0.25">
      <c r="B266" s="116"/>
      <c r="C266" s="117"/>
      <c r="D266" s="109"/>
      <c r="E266" s="117"/>
      <c r="F266" s="109"/>
      <c r="G266" s="166"/>
      <c r="H266" s="166"/>
      <c r="I266" s="166"/>
      <c r="J266" s="166"/>
      <c r="K266" s="166"/>
    </row>
    <row r="267" spans="2:12" x14ac:dyDescent="0.25">
      <c r="B267" s="116"/>
      <c r="C267" s="117"/>
      <c r="D267" s="109"/>
      <c r="E267" s="117"/>
      <c r="F267" s="109"/>
      <c r="G267" s="166"/>
      <c r="H267" s="166"/>
      <c r="I267" s="166"/>
      <c r="J267" s="166"/>
      <c r="K267" s="166"/>
      <c r="L267" s="166"/>
    </row>
    <row r="268" spans="2:12" x14ac:dyDescent="0.25">
      <c r="B268" s="116"/>
      <c r="C268" s="117"/>
      <c r="D268" s="109"/>
      <c r="E268" s="117"/>
      <c r="F268" s="109"/>
      <c r="G268" s="166"/>
      <c r="H268" s="166"/>
      <c r="I268" s="166"/>
      <c r="J268" s="166"/>
      <c r="K268" s="166"/>
      <c r="L268" s="166"/>
    </row>
    <row r="269" spans="2:12" s="166" customFormat="1" x14ac:dyDescent="0.25">
      <c r="B269" s="116"/>
      <c r="C269" s="117"/>
      <c r="D269" s="109"/>
      <c r="E269" s="117"/>
      <c r="F269" s="109"/>
    </row>
    <row r="270" spans="2:12" x14ac:dyDescent="0.25">
      <c r="B270" s="116"/>
      <c r="C270" s="117"/>
      <c r="D270" s="109"/>
      <c r="E270" s="117"/>
      <c r="F270" s="109"/>
      <c r="G270" s="166"/>
      <c r="H270" s="166"/>
      <c r="I270" s="166"/>
      <c r="J270" s="166"/>
      <c r="K270" s="166"/>
      <c r="L270" s="166"/>
    </row>
    <row r="271" spans="2:12" x14ac:dyDescent="0.25">
      <c r="B271" s="116"/>
      <c r="C271" s="117"/>
      <c r="D271" s="109"/>
      <c r="E271" s="117"/>
      <c r="F271" s="109"/>
      <c r="G271" s="166"/>
      <c r="H271" s="166"/>
      <c r="I271" s="166"/>
      <c r="J271" s="166"/>
      <c r="K271" s="166"/>
      <c r="L271" s="166"/>
    </row>
    <row r="272" spans="2:12" x14ac:dyDescent="0.25">
      <c r="B272" s="116"/>
      <c r="C272" s="117"/>
      <c r="D272" s="109"/>
      <c r="E272" s="117"/>
      <c r="F272" s="109"/>
      <c r="G272" s="166"/>
      <c r="H272" s="166"/>
      <c r="I272" s="166"/>
      <c r="J272" s="166"/>
      <c r="K272" s="166"/>
      <c r="L272" s="166"/>
    </row>
    <row r="273" spans="2:12" x14ac:dyDescent="0.25">
      <c r="B273" s="116"/>
      <c r="C273" s="117"/>
      <c r="D273" s="109"/>
      <c r="E273" s="117"/>
      <c r="F273" s="109"/>
      <c r="G273" s="166"/>
      <c r="H273" s="166"/>
      <c r="I273" s="166"/>
      <c r="J273" s="166"/>
      <c r="K273" s="166"/>
      <c r="L273" s="162"/>
    </row>
    <row r="274" spans="2:12" x14ac:dyDescent="0.25">
      <c r="B274" s="116"/>
      <c r="C274" s="117"/>
      <c r="D274" s="109"/>
      <c r="E274" s="117"/>
      <c r="F274" s="109"/>
      <c r="G274" s="166"/>
      <c r="H274" s="166"/>
      <c r="I274" s="166"/>
      <c r="J274" s="166"/>
      <c r="K274" s="166"/>
      <c r="L274" s="162"/>
    </row>
    <row r="275" spans="2:12" x14ac:dyDescent="0.25">
      <c r="B275" s="116"/>
      <c r="C275" s="117"/>
      <c r="D275" s="109"/>
      <c r="E275" s="117"/>
      <c r="F275" s="109"/>
      <c r="G275" s="166"/>
      <c r="H275" s="166"/>
      <c r="I275" s="166"/>
      <c r="J275" s="166"/>
      <c r="K275" s="166"/>
      <c r="L275" s="162"/>
    </row>
    <row r="276" spans="2:12" x14ac:dyDescent="0.25">
      <c r="B276" s="116"/>
      <c r="C276" s="117"/>
      <c r="D276" s="109"/>
      <c r="E276" s="117"/>
      <c r="F276" s="109"/>
      <c r="G276" s="166"/>
      <c r="H276" s="166"/>
      <c r="I276" s="166"/>
      <c r="J276" s="166"/>
      <c r="K276" s="166"/>
    </row>
    <row r="277" spans="2:12" x14ac:dyDescent="0.25">
      <c r="B277" s="116"/>
      <c r="C277" s="117"/>
      <c r="D277" s="109"/>
      <c r="E277" s="117"/>
      <c r="F277" s="109"/>
      <c r="G277" s="166"/>
      <c r="H277" s="166"/>
      <c r="I277" s="166"/>
      <c r="J277" s="166"/>
      <c r="K277" s="166"/>
    </row>
    <row r="278" spans="2:12" x14ac:dyDescent="0.25">
      <c r="B278" s="116"/>
      <c r="C278" s="117"/>
      <c r="D278" s="109"/>
      <c r="E278" s="117"/>
      <c r="F278" s="109"/>
      <c r="G278" s="166"/>
      <c r="H278" s="166"/>
      <c r="I278" s="166"/>
      <c r="J278" s="166"/>
      <c r="K278" s="166"/>
      <c r="L278" s="167"/>
    </row>
    <row r="279" spans="2:12" x14ac:dyDescent="0.25">
      <c r="B279" s="116"/>
      <c r="C279" s="117"/>
      <c r="D279" s="109"/>
      <c r="E279" s="117"/>
      <c r="F279" s="109"/>
      <c r="G279" s="166"/>
      <c r="H279" s="166"/>
      <c r="I279" s="166"/>
      <c r="J279" s="166"/>
      <c r="K279" s="166"/>
      <c r="L279" s="10"/>
    </row>
    <row r="280" spans="2:12" x14ac:dyDescent="0.25">
      <c r="B280" s="116"/>
      <c r="C280" s="117"/>
      <c r="D280" s="109"/>
      <c r="E280" s="117"/>
      <c r="F280" s="109"/>
      <c r="G280" s="166"/>
      <c r="H280" s="166"/>
      <c r="I280" s="166"/>
      <c r="J280" s="166"/>
      <c r="K280" s="166"/>
      <c r="L280" s="10"/>
    </row>
    <row r="281" spans="2:12" x14ac:dyDescent="0.25">
      <c r="B281" s="116"/>
      <c r="C281" s="117"/>
      <c r="D281" s="109"/>
      <c r="E281" s="117"/>
      <c r="F281" s="109"/>
      <c r="G281" s="166"/>
      <c r="H281" s="166"/>
      <c r="I281" s="166"/>
      <c r="J281" s="166"/>
      <c r="K281" s="166"/>
      <c r="L281" s="10"/>
    </row>
    <row r="282" spans="2:12" x14ac:dyDescent="0.25">
      <c r="B282" s="116"/>
      <c r="C282" s="117"/>
      <c r="D282" s="109"/>
      <c r="E282" s="117"/>
      <c r="F282" s="109"/>
      <c r="G282" s="166"/>
      <c r="H282" s="166"/>
      <c r="I282" s="166"/>
      <c r="J282" s="166"/>
      <c r="K282" s="166"/>
      <c r="L282" s="10"/>
    </row>
    <row r="283" spans="2:12" x14ac:dyDescent="0.25">
      <c r="B283" s="116"/>
      <c r="C283" s="117"/>
      <c r="D283" s="109"/>
      <c r="E283" s="117"/>
      <c r="F283" s="109"/>
      <c r="G283" s="166"/>
      <c r="H283" s="166"/>
      <c r="I283" s="166"/>
      <c r="J283" s="166"/>
      <c r="K283" s="166"/>
      <c r="L283" s="10"/>
    </row>
    <row r="284" spans="2:12" x14ac:dyDescent="0.25">
      <c r="B284" s="116"/>
      <c r="C284" s="117"/>
      <c r="D284" s="109"/>
      <c r="E284" s="117"/>
      <c r="F284" s="109"/>
      <c r="G284" s="166"/>
      <c r="H284" s="166"/>
      <c r="I284" s="166"/>
      <c r="J284" s="166"/>
      <c r="K284" s="166"/>
      <c r="L284" s="5"/>
    </row>
    <row r="285" spans="2:12" x14ac:dyDescent="0.25">
      <c r="B285" s="116"/>
      <c r="C285" s="117"/>
      <c r="D285" s="109"/>
      <c r="E285" s="117"/>
      <c r="F285" s="109"/>
      <c r="G285" s="166"/>
      <c r="H285" s="166"/>
      <c r="I285" s="166"/>
      <c r="J285" s="166"/>
      <c r="K285" s="166"/>
      <c r="L285" s="5"/>
    </row>
    <row r="286" spans="2:12" x14ac:dyDescent="0.25">
      <c r="B286" s="116"/>
      <c r="C286" s="117"/>
      <c r="D286" s="109"/>
      <c r="E286" s="117"/>
      <c r="F286" s="109"/>
      <c r="G286" s="166"/>
      <c r="H286" s="166"/>
      <c r="I286" s="166"/>
      <c r="J286" s="166"/>
      <c r="K286" s="166"/>
      <c r="L286" s="168"/>
    </row>
    <row r="287" spans="2:12" x14ac:dyDescent="0.25">
      <c r="B287" s="116"/>
      <c r="C287" s="117"/>
      <c r="D287" s="109"/>
      <c r="E287" s="117"/>
      <c r="F287" s="109"/>
      <c r="G287" s="166"/>
      <c r="H287" s="166"/>
      <c r="I287" s="166"/>
      <c r="J287" s="166"/>
      <c r="K287" s="166"/>
      <c r="L287" s="10"/>
    </row>
    <row r="288" spans="2:12" x14ac:dyDescent="0.25">
      <c r="B288" s="116"/>
      <c r="C288" s="117"/>
      <c r="D288" s="109"/>
      <c r="E288" s="117"/>
      <c r="F288" s="109"/>
      <c r="G288" s="166"/>
      <c r="H288" s="166"/>
      <c r="I288" s="166"/>
      <c r="J288" s="166"/>
      <c r="K288" s="166"/>
      <c r="L288" s="10"/>
    </row>
    <row r="289" spans="2:12" x14ac:dyDescent="0.25">
      <c r="B289" s="116"/>
      <c r="C289" s="117"/>
      <c r="D289" s="109"/>
      <c r="E289" s="117"/>
      <c r="F289" s="109"/>
      <c r="G289" s="166"/>
      <c r="H289" s="166"/>
      <c r="I289" s="166"/>
      <c r="J289" s="166"/>
      <c r="K289" s="166"/>
      <c r="L289" s="10"/>
    </row>
    <row r="290" spans="2:12" x14ac:dyDescent="0.25">
      <c r="B290" s="116"/>
      <c r="C290" s="117"/>
      <c r="D290" s="109"/>
      <c r="E290" s="117"/>
      <c r="F290" s="109"/>
      <c r="G290" s="166"/>
      <c r="H290" s="166"/>
      <c r="I290" s="166"/>
      <c r="J290" s="166"/>
      <c r="K290" s="166"/>
      <c r="L290" s="5"/>
    </row>
    <row r="291" spans="2:12" x14ac:dyDescent="0.25">
      <c r="B291" s="116"/>
      <c r="C291" s="117"/>
      <c r="D291" s="109"/>
      <c r="E291" s="117"/>
      <c r="F291" s="109"/>
      <c r="G291" s="166"/>
      <c r="H291" s="166"/>
      <c r="I291" s="166"/>
      <c r="J291" s="166"/>
      <c r="K291" s="166"/>
      <c r="L291" s="168"/>
    </row>
    <row r="292" spans="2:12" x14ac:dyDescent="0.25">
      <c r="B292" s="116"/>
      <c r="C292" s="117"/>
      <c r="D292" s="109"/>
      <c r="E292" s="117"/>
      <c r="F292" s="109"/>
      <c r="K292" s="10"/>
      <c r="L292" s="10"/>
    </row>
    <row r="293" spans="2:12" x14ac:dyDescent="0.25">
      <c r="B293" s="116"/>
      <c r="C293" s="117"/>
      <c r="D293" s="109"/>
      <c r="E293" s="117"/>
      <c r="F293" s="109"/>
      <c r="K293" s="10"/>
      <c r="L293" s="10"/>
    </row>
    <row r="294" spans="2:12" x14ac:dyDescent="0.25">
      <c r="B294" s="116"/>
      <c r="C294" s="117"/>
      <c r="D294" s="109"/>
      <c r="E294" s="117"/>
      <c r="F294" s="109"/>
      <c r="K294" s="5"/>
      <c r="L294" s="5"/>
    </row>
    <row r="295" spans="2:12" x14ac:dyDescent="0.25">
      <c r="B295" s="116"/>
      <c r="C295" s="117"/>
      <c r="D295" s="109"/>
      <c r="E295" s="117"/>
      <c r="F295" s="109"/>
    </row>
    <row r="296" spans="2:12" x14ac:dyDescent="0.25">
      <c r="B296" s="116"/>
      <c r="C296" s="117"/>
      <c r="D296" s="109"/>
      <c r="E296" s="117"/>
      <c r="F296" s="109"/>
    </row>
    <row r="297" spans="2:12" x14ac:dyDescent="0.25">
      <c r="B297" s="116"/>
      <c r="C297" s="117"/>
      <c r="D297" s="109"/>
      <c r="E297" s="117"/>
      <c r="F297" s="109"/>
    </row>
    <row r="298" spans="2:12" x14ac:dyDescent="0.25">
      <c r="B298" s="116"/>
      <c r="C298" s="117"/>
      <c r="D298" s="109"/>
      <c r="E298" s="117"/>
      <c r="F298" s="109"/>
    </row>
    <row r="299" spans="2:12" x14ac:dyDescent="0.25">
      <c r="B299" s="116"/>
      <c r="C299" s="117"/>
      <c r="D299" s="109"/>
      <c r="E299" s="117"/>
      <c r="F299" s="109"/>
    </row>
    <row r="300" spans="2:12" x14ac:dyDescent="0.25">
      <c r="B300" s="116"/>
      <c r="C300" s="117"/>
      <c r="D300" s="109"/>
      <c r="E300" s="117"/>
      <c r="F300" s="109"/>
    </row>
    <row r="301" spans="2:12" x14ac:dyDescent="0.25">
      <c r="B301" s="116"/>
      <c r="C301" s="117"/>
      <c r="D301" s="109"/>
      <c r="E301" s="117"/>
      <c r="F301" s="109"/>
    </row>
    <row r="302" spans="2:12" x14ac:dyDescent="0.25">
      <c r="B302" s="116"/>
      <c r="C302" s="117"/>
      <c r="D302" s="109"/>
      <c r="E302" s="117"/>
      <c r="F302" s="109"/>
    </row>
    <row r="303" spans="2:12" x14ac:dyDescent="0.25">
      <c r="B303" s="116"/>
      <c r="C303" s="117"/>
      <c r="D303" s="109"/>
      <c r="E303" s="117"/>
      <c r="F303" s="109"/>
    </row>
    <row r="304" spans="2:12" x14ac:dyDescent="0.25">
      <c r="B304" s="116"/>
      <c r="C304" s="117"/>
      <c r="D304" s="109"/>
      <c r="E304" s="117"/>
      <c r="F304" s="109"/>
    </row>
    <row r="305" spans="2:6" x14ac:dyDescent="0.25">
      <c r="B305" s="116"/>
      <c r="C305" s="117"/>
      <c r="D305" s="109"/>
      <c r="E305" s="117"/>
      <c r="F305" s="109"/>
    </row>
    <row r="306" spans="2:6" x14ac:dyDescent="0.25">
      <c r="B306" s="116"/>
      <c r="C306" s="117"/>
      <c r="D306" s="109"/>
      <c r="E306" s="117"/>
      <c r="F306" s="109"/>
    </row>
    <row r="307" spans="2:6" x14ac:dyDescent="0.25">
      <c r="B307" s="116"/>
      <c r="C307" s="117"/>
      <c r="D307" s="109"/>
      <c r="E307" s="117"/>
      <c r="F307" s="109"/>
    </row>
    <row r="308" spans="2:6" x14ac:dyDescent="0.25">
      <c r="B308" s="116"/>
      <c r="C308" s="117"/>
      <c r="D308" s="109"/>
      <c r="E308" s="117"/>
      <c r="F308" s="109"/>
    </row>
    <row r="309" spans="2:6" x14ac:dyDescent="0.25">
      <c r="B309" s="116"/>
      <c r="C309" s="117"/>
      <c r="D309" s="109"/>
      <c r="E309" s="117"/>
      <c r="F309" s="109"/>
    </row>
    <row r="310" spans="2:6" x14ac:dyDescent="0.25">
      <c r="B310" s="116"/>
      <c r="C310" s="117"/>
      <c r="D310" s="109"/>
      <c r="E310" s="117"/>
      <c r="F310" s="109"/>
    </row>
    <row r="311" spans="2:6" x14ac:dyDescent="0.25">
      <c r="B311" s="116"/>
      <c r="C311" s="117"/>
      <c r="D311" s="109"/>
      <c r="E311" s="117"/>
      <c r="F311" s="109"/>
    </row>
    <row r="312" spans="2:6" x14ac:dyDescent="0.25">
      <c r="B312" s="116"/>
      <c r="C312" s="117"/>
      <c r="D312" s="109"/>
      <c r="E312" s="117"/>
      <c r="F312" s="109"/>
    </row>
    <row r="313" spans="2:6" x14ac:dyDescent="0.25">
      <c r="B313" s="116"/>
      <c r="C313" s="117"/>
      <c r="D313" s="109"/>
      <c r="E313" s="117"/>
      <c r="F313" s="109"/>
    </row>
    <row r="314" spans="2:6" x14ac:dyDescent="0.25">
      <c r="B314" s="116"/>
      <c r="C314" s="117"/>
      <c r="D314" s="109"/>
      <c r="E314" s="117"/>
      <c r="F314" s="109"/>
    </row>
    <row r="315" spans="2:6" x14ac:dyDescent="0.25">
      <c r="B315" s="116"/>
      <c r="C315" s="117"/>
      <c r="D315" s="109"/>
      <c r="E315" s="117"/>
      <c r="F315" s="109"/>
    </row>
    <row r="316" spans="2:6" x14ac:dyDescent="0.25">
      <c r="B316" s="116"/>
      <c r="C316" s="117"/>
      <c r="D316" s="109"/>
      <c r="E316" s="117"/>
      <c r="F316" s="109"/>
    </row>
    <row r="317" spans="2:6" x14ac:dyDescent="0.25">
      <c r="B317" s="116"/>
      <c r="C317" s="117"/>
      <c r="D317" s="109"/>
      <c r="E317" s="117"/>
      <c r="F317" s="109"/>
    </row>
    <row r="318" spans="2:6" x14ac:dyDescent="0.25">
      <c r="B318" s="116"/>
      <c r="C318" s="117"/>
      <c r="D318" s="109"/>
      <c r="E318" s="117"/>
      <c r="F318" s="109"/>
    </row>
    <row r="319" spans="2:6" x14ac:dyDescent="0.25">
      <c r="B319" s="116"/>
      <c r="C319" s="117"/>
      <c r="D319" s="109"/>
      <c r="E319" s="117"/>
      <c r="F319" s="109"/>
    </row>
    <row r="320" spans="2:6" x14ac:dyDescent="0.25">
      <c r="B320" s="116"/>
      <c r="C320" s="117"/>
      <c r="D320" s="109"/>
      <c r="E320" s="117"/>
      <c r="F320" s="109"/>
    </row>
    <row r="321" spans="2:6" x14ac:dyDescent="0.25">
      <c r="B321" s="116"/>
      <c r="C321" s="117"/>
      <c r="D321" s="109"/>
      <c r="E321" s="117"/>
      <c r="F321" s="109"/>
    </row>
    <row r="322" spans="2:6" x14ac:dyDescent="0.25">
      <c r="B322" s="116"/>
      <c r="C322" s="117"/>
      <c r="D322" s="109"/>
      <c r="E322" s="117"/>
      <c r="F322" s="109"/>
    </row>
    <row r="323" spans="2:6" x14ac:dyDescent="0.25">
      <c r="B323" s="116"/>
      <c r="C323" s="117"/>
      <c r="D323" s="109"/>
      <c r="E323" s="117"/>
      <c r="F323" s="109"/>
    </row>
    <row r="324" spans="2:6" x14ac:dyDescent="0.25">
      <c r="B324" s="116"/>
      <c r="C324" s="117"/>
      <c r="D324" s="109"/>
      <c r="E324" s="117"/>
      <c r="F324" s="109"/>
    </row>
    <row r="325" spans="2:6" x14ac:dyDescent="0.25">
      <c r="B325" s="116"/>
      <c r="C325" s="117"/>
      <c r="D325" s="109"/>
      <c r="E325" s="117"/>
      <c r="F325" s="109"/>
    </row>
    <row r="326" spans="2:6" x14ac:dyDescent="0.25">
      <c r="B326" s="116"/>
      <c r="C326" s="117"/>
      <c r="D326" s="109"/>
      <c r="E326" s="117"/>
      <c r="F326" s="109"/>
    </row>
    <row r="327" spans="2:6" x14ac:dyDescent="0.25">
      <c r="B327" s="116"/>
      <c r="C327" s="117"/>
      <c r="D327" s="109"/>
      <c r="E327" s="117"/>
      <c r="F327" s="109"/>
    </row>
    <row r="328" spans="2:6" x14ac:dyDescent="0.25">
      <c r="B328" s="116"/>
      <c r="C328" s="117"/>
      <c r="D328" s="109"/>
      <c r="E328" s="117"/>
      <c r="F328" s="109"/>
    </row>
    <row r="329" spans="2:6" x14ac:dyDescent="0.25">
      <c r="B329" s="116"/>
      <c r="C329" s="117"/>
      <c r="D329" s="109"/>
      <c r="E329" s="117"/>
      <c r="F329" s="109"/>
    </row>
    <row r="330" spans="2:6" x14ac:dyDescent="0.25">
      <c r="B330" s="116"/>
      <c r="C330" s="117"/>
      <c r="D330" s="109"/>
      <c r="E330" s="117"/>
      <c r="F330" s="109"/>
    </row>
    <row r="331" spans="2:6" x14ac:dyDescent="0.25">
      <c r="B331" s="116"/>
      <c r="C331" s="117"/>
      <c r="D331" s="109"/>
      <c r="E331" s="117"/>
      <c r="F331" s="109"/>
    </row>
    <row r="332" spans="2:6" x14ac:dyDescent="0.25">
      <c r="B332" s="116"/>
      <c r="C332" s="117"/>
      <c r="D332" s="109"/>
      <c r="E332" s="117"/>
      <c r="F332" s="109"/>
    </row>
    <row r="333" spans="2:6" x14ac:dyDescent="0.25">
      <c r="B333" s="116"/>
      <c r="C333" s="117"/>
      <c r="D333" s="109"/>
      <c r="E333" s="117"/>
      <c r="F333" s="109"/>
    </row>
    <row r="334" spans="2:6" x14ac:dyDescent="0.25">
      <c r="B334" s="116"/>
      <c r="C334" s="117"/>
      <c r="D334" s="109"/>
      <c r="E334" s="117"/>
      <c r="F334" s="109"/>
    </row>
    <row r="335" spans="2:6" x14ac:dyDescent="0.25">
      <c r="B335" s="116"/>
      <c r="C335" s="117"/>
      <c r="D335" s="109"/>
      <c r="E335" s="117"/>
      <c r="F335" s="109"/>
    </row>
    <row r="336" spans="2:6" x14ac:dyDescent="0.25">
      <c r="B336" s="116"/>
      <c r="C336" s="117"/>
      <c r="D336" s="109"/>
      <c r="E336" s="117"/>
      <c r="F336" s="109"/>
    </row>
    <row r="337" spans="2:6" x14ac:dyDescent="0.25">
      <c r="B337" s="116"/>
      <c r="C337" s="117"/>
      <c r="D337" s="109"/>
      <c r="E337" s="117"/>
      <c r="F337" s="109"/>
    </row>
    <row r="338" spans="2:6" x14ac:dyDescent="0.25">
      <c r="B338" s="116"/>
      <c r="C338" s="117"/>
      <c r="D338" s="109"/>
      <c r="E338" s="117"/>
      <c r="F338" s="109"/>
    </row>
    <row r="339" spans="2:6" x14ac:dyDescent="0.25">
      <c r="B339" s="116"/>
      <c r="C339" s="117"/>
      <c r="D339" s="109"/>
      <c r="E339" s="117"/>
      <c r="F339" s="109"/>
    </row>
    <row r="340" spans="2:6" x14ac:dyDescent="0.25">
      <c r="B340" s="116"/>
      <c r="C340" s="117"/>
      <c r="D340" s="109"/>
      <c r="E340" s="117"/>
      <c r="F340" s="109"/>
    </row>
    <row r="341" spans="2:6" x14ac:dyDescent="0.25">
      <c r="B341" s="116"/>
      <c r="C341" s="117"/>
      <c r="D341" s="109"/>
      <c r="E341" s="117"/>
      <c r="F341" s="109"/>
    </row>
    <row r="342" spans="2:6" x14ac:dyDescent="0.25">
      <c r="B342" s="116"/>
      <c r="C342" s="117"/>
      <c r="D342" s="109"/>
      <c r="E342" s="117"/>
      <c r="F342" s="109"/>
    </row>
    <row r="343" spans="2:6" x14ac:dyDescent="0.25">
      <c r="B343" s="116"/>
      <c r="C343" s="117"/>
      <c r="D343" s="109"/>
      <c r="E343" s="117"/>
      <c r="F343" s="109"/>
    </row>
    <row r="344" spans="2:6" x14ac:dyDescent="0.25">
      <c r="B344" s="116"/>
      <c r="C344" s="117"/>
      <c r="D344" s="109"/>
      <c r="E344" s="117"/>
      <c r="F344" s="109"/>
    </row>
    <row r="345" spans="2:6" x14ac:dyDescent="0.25">
      <c r="B345" s="116"/>
      <c r="C345" s="117"/>
      <c r="D345" s="109"/>
      <c r="E345" s="117"/>
      <c r="F345" s="109"/>
    </row>
    <row r="346" spans="2:6" x14ac:dyDescent="0.25">
      <c r="B346" s="116"/>
      <c r="C346" s="117"/>
      <c r="D346" s="109"/>
      <c r="E346" s="117"/>
      <c r="F346" s="109"/>
    </row>
    <row r="347" spans="2:6" x14ac:dyDescent="0.25">
      <c r="B347" s="116"/>
      <c r="C347" s="117"/>
      <c r="D347" s="109"/>
      <c r="E347" s="117"/>
      <c r="F347" s="109"/>
    </row>
    <row r="348" spans="2:6" x14ac:dyDescent="0.25">
      <c r="B348" s="116"/>
      <c r="C348" s="117"/>
      <c r="D348" s="109"/>
      <c r="E348" s="117"/>
      <c r="F348" s="109"/>
    </row>
    <row r="349" spans="2:6" x14ac:dyDescent="0.25">
      <c r="B349" s="116"/>
      <c r="C349" s="117"/>
      <c r="D349" s="109"/>
      <c r="E349" s="117"/>
      <c r="F349" s="109"/>
    </row>
    <row r="350" spans="2:6" x14ac:dyDescent="0.25">
      <c r="B350" s="116"/>
      <c r="C350" s="117"/>
      <c r="D350" s="109"/>
      <c r="E350" s="117"/>
      <c r="F350" s="109"/>
    </row>
    <row r="351" spans="2:6" x14ac:dyDescent="0.25">
      <c r="B351" s="116"/>
      <c r="C351" s="117"/>
      <c r="D351" s="109"/>
      <c r="E351" s="117"/>
      <c r="F351" s="109"/>
    </row>
    <row r="352" spans="2:6" x14ac:dyDescent="0.25">
      <c r="B352" s="116"/>
      <c r="C352" s="117"/>
      <c r="D352" s="109"/>
      <c r="E352" s="117"/>
      <c r="F352" s="109"/>
    </row>
    <row r="353" spans="2:6" x14ac:dyDescent="0.25">
      <c r="B353" s="116"/>
      <c r="C353" s="117"/>
      <c r="D353" s="109"/>
      <c r="E353" s="117"/>
      <c r="F353" s="109"/>
    </row>
    <row r="354" spans="2:6" x14ac:dyDescent="0.25">
      <c r="B354" s="116"/>
      <c r="C354" s="117"/>
      <c r="D354" s="109"/>
      <c r="E354" s="117"/>
      <c r="F354" s="109"/>
    </row>
    <row r="355" spans="2:6" x14ac:dyDescent="0.25">
      <c r="B355" s="116"/>
      <c r="C355" s="117"/>
      <c r="D355" s="109"/>
      <c r="E355" s="117"/>
      <c r="F355" s="109"/>
    </row>
    <row r="356" spans="2:6" x14ac:dyDescent="0.25">
      <c r="B356" s="116"/>
      <c r="C356" s="117"/>
      <c r="D356" s="109"/>
      <c r="E356" s="117"/>
      <c r="F356" s="109"/>
    </row>
    <row r="357" spans="2:6" x14ac:dyDescent="0.25">
      <c r="B357" s="116"/>
      <c r="C357" s="117"/>
      <c r="D357" s="109"/>
      <c r="E357" s="117"/>
      <c r="F357" s="109"/>
    </row>
    <row r="358" spans="2:6" x14ac:dyDescent="0.25">
      <c r="B358" s="116"/>
      <c r="C358" s="117"/>
      <c r="D358" s="109"/>
      <c r="E358" s="117"/>
      <c r="F358" s="109"/>
    </row>
    <row r="359" spans="2:6" x14ac:dyDescent="0.25">
      <c r="B359" s="116"/>
      <c r="C359" s="117"/>
      <c r="D359" s="109"/>
      <c r="E359" s="117"/>
      <c r="F359" s="109"/>
    </row>
    <row r="360" spans="2:6" x14ac:dyDescent="0.25">
      <c r="B360" s="116"/>
      <c r="C360" s="117"/>
      <c r="D360" s="109"/>
      <c r="E360" s="117"/>
      <c r="F360" s="109"/>
    </row>
    <row r="361" spans="2:6" x14ac:dyDescent="0.25">
      <c r="B361" s="116"/>
      <c r="C361" s="117"/>
      <c r="D361" s="109"/>
      <c r="E361" s="117"/>
      <c r="F361" s="109"/>
    </row>
    <row r="362" spans="2:6" x14ac:dyDescent="0.25">
      <c r="B362" s="116"/>
      <c r="C362" s="117"/>
      <c r="D362" s="109"/>
      <c r="E362" s="117"/>
      <c r="F362" s="109"/>
    </row>
    <row r="363" spans="2:6" x14ac:dyDescent="0.25">
      <c r="B363" s="116"/>
      <c r="C363" s="117"/>
      <c r="D363" s="109"/>
      <c r="E363" s="117"/>
      <c r="F363" s="109"/>
    </row>
    <row r="364" spans="2:6" x14ac:dyDescent="0.25">
      <c r="B364" s="116"/>
      <c r="C364" s="117"/>
      <c r="D364" s="109"/>
      <c r="E364" s="117"/>
      <c r="F364" s="109"/>
    </row>
    <row r="365" spans="2:6" x14ac:dyDescent="0.25">
      <c r="B365" s="116"/>
      <c r="C365" s="117"/>
      <c r="D365" s="109"/>
      <c r="E365" s="117"/>
      <c r="F365" s="109"/>
    </row>
    <row r="366" spans="2:6" x14ac:dyDescent="0.25">
      <c r="B366" s="116"/>
      <c r="C366" s="117"/>
      <c r="D366" s="109"/>
      <c r="E366" s="117"/>
      <c r="F366" s="109"/>
    </row>
    <row r="367" spans="2:6" x14ac:dyDescent="0.25">
      <c r="B367" s="116"/>
      <c r="C367" s="117"/>
      <c r="D367" s="109"/>
      <c r="E367" s="117"/>
      <c r="F367" s="109"/>
    </row>
    <row r="368" spans="2:6" x14ac:dyDescent="0.25">
      <c r="B368" s="116"/>
      <c r="C368" s="117"/>
      <c r="D368" s="109"/>
      <c r="E368" s="117"/>
      <c r="F368" s="109"/>
    </row>
    <row r="369" spans="2:6" x14ac:dyDescent="0.25">
      <c r="B369" s="116"/>
      <c r="C369" s="117"/>
      <c r="D369" s="109"/>
      <c r="E369" s="117"/>
      <c r="F369" s="109"/>
    </row>
    <row r="370" spans="2:6" x14ac:dyDescent="0.25">
      <c r="B370" s="116"/>
      <c r="C370" s="117"/>
      <c r="D370" s="109"/>
      <c r="E370" s="117"/>
      <c r="F370" s="109"/>
    </row>
    <row r="371" spans="2:6" x14ac:dyDescent="0.25">
      <c r="B371" s="116"/>
      <c r="C371" s="117"/>
      <c r="D371" s="109"/>
      <c r="E371" s="117"/>
      <c r="F371" s="109"/>
    </row>
    <row r="372" spans="2:6" x14ac:dyDescent="0.25">
      <c r="B372" s="116"/>
      <c r="C372" s="117"/>
      <c r="D372" s="109"/>
      <c r="E372" s="117"/>
      <c r="F372" s="109"/>
    </row>
    <row r="373" spans="2:6" x14ac:dyDescent="0.25">
      <c r="B373" s="116"/>
      <c r="C373" s="117"/>
      <c r="D373" s="109"/>
      <c r="E373" s="117"/>
      <c r="F373" s="109"/>
    </row>
    <row r="374" spans="2:6" x14ac:dyDescent="0.25">
      <c r="B374" s="116"/>
      <c r="C374" s="117"/>
      <c r="D374" s="109"/>
      <c r="E374" s="117"/>
      <c r="F374" s="109"/>
    </row>
    <row r="375" spans="2:6" x14ac:dyDescent="0.25">
      <c r="B375" s="116"/>
      <c r="C375" s="117"/>
      <c r="D375" s="109"/>
      <c r="E375" s="117"/>
      <c r="F375" s="109"/>
    </row>
    <row r="376" spans="2:6" x14ac:dyDescent="0.25">
      <c r="B376" s="116"/>
      <c r="C376" s="117"/>
      <c r="D376" s="109"/>
      <c r="E376" s="117"/>
      <c r="F376" s="109"/>
    </row>
    <row r="377" spans="2:6" x14ac:dyDescent="0.25">
      <c r="B377" s="116"/>
      <c r="C377" s="117"/>
      <c r="D377" s="109"/>
      <c r="E377" s="117"/>
      <c r="F377" s="109"/>
    </row>
    <row r="378" spans="2:6" x14ac:dyDescent="0.25">
      <c r="B378" s="116"/>
      <c r="C378" s="117"/>
      <c r="D378" s="109"/>
      <c r="E378" s="117"/>
      <c r="F378" s="109"/>
    </row>
    <row r="379" spans="2:6" x14ac:dyDescent="0.25">
      <c r="B379" s="116"/>
      <c r="C379" s="117"/>
      <c r="D379" s="109"/>
      <c r="E379" s="117"/>
      <c r="F379" s="109"/>
    </row>
    <row r="380" spans="2:6" x14ac:dyDescent="0.25">
      <c r="B380" s="116"/>
      <c r="C380" s="117"/>
      <c r="D380" s="109"/>
      <c r="E380" s="117"/>
      <c r="F380" s="109"/>
    </row>
    <row r="381" spans="2:6" x14ac:dyDescent="0.25">
      <c r="B381" s="116"/>
      <c r="C381" s="117"/>
      <c r="D381" s="109"/>
      <c r="E381" s="117"/>
      <c r="F381" s="109"/>
    </row>
    <row r="382" spans="2:6" x14ac:dyDescent="0.25">
      <c r="B382" s="116"/>
      <c r="C382" s="117"/>
      <c r="D382" s="109"/>
      <c r="E382" s="117"/>
      <c r="F382" s="109"/>
    </row>
    <row r="383" spans="2:6" x14ac:dyDescent="0.25">
      <c r="B383" s="116"/>
      <c r="C383" s="117"/>
      <c r="D383" s="109"/>
      <c r="E383" s="117"/>
      <c r="F383" s="109"/>
    </row>
    <row r="384" spans="2:6" x14ac:dyDescent="0.25">
      <c r="B384" s="116"/>
      <c r="C384" s="117"/>
      <c r="D384" s="109"/>
      <c r="E384" s="117"/>
      <c r="F384" s="109"/>
    </row>
    <row r="385" spans="2:6" x14ac:dyDescent="0.25">
      <c r="B385" s="116"/>
      <c r="C385" s="117"/>
      <c r="D385" s="109"/>
      <c r="E385" s="117"/>
      <c r="F385" s="109"/>
    </row>
    <row r="386" spans="2:6" x14ac:dyDescent="0.25">
      <c r="B386" s="116"/>
      <c r="C386" s="117"/>
      <c r="D386" s="109"/>
      <c r="E386" s="117"/>
      <c r="F386" s="109"/>
    </row>
    <row r="387" spans="2:6" x14ac:dyDescent="0.25">
      <c r="B387" s="116"/>
      <c r="C387" s="117"/>
      <c r="D387" s="109"/>
      <c r="E387" s="117"/>
      <c r="F387" s="109"/>
    </row>
    <row r="388" spans="2:6" x14ac:dyDescent="0.25">
      <c r="B388" s="116"/>
      <c r="C388" s="117"/>
      <c r="D388" s="109"/>
      <c r="E388" s="117"/>
      <c r="F388" s="109"/>
    </row>
    <row r="389" spans="2:6" x14ac:dyDescent="0.25">
      <c r="B389" s="116"/>
      <c r="C389" s="117"/>
      <c r="D389" s="109"/>
      <c r="E389" s="117"/>
      <c r="F389" s="109"/>
    </row>
    <row r="390" spans="2:6" x14ac:dyDescent="0.25">
      <c r="B390" s="116"/>
      <c r="C390" s="117"/>
      <c r="D390" s="109"/>
      <c r="E390" s="117"/>
      <c r="F390" s="109"/>
    </row>
    <row r="391" spans="2:6" x14ac:dyDescent="0.25">
      <c r="B391" s="116"/>
      <c r="C391" s="117"/>
      <c r="D391" s="109"/>
      <c r="E391" s="117"/>
      <c r="F391" s="109"/>
    </row>
    <row r="392" spans="2:6" x14ac:dyDescent="0.25">
      <c r="B392" s="116"/>
      <c r="C392" s="117"/>
      <c r="D392" s="109"/>
      <c r="E392" s="117"/>
      <c r="F392" s="109"/>
    </row>
    <row r="393" spans="2:6" x14ac:dyDescent="0.25">
      <c r="B393" s="116"/>
      <c r="C393" s="117"/>
      <c r="D393" s="109"/>
      <c r="E393" s="117"/>
      <c r="F393" s="109"/>
    </row>
    <row r="394" spans="2:6" x14ac:dyDescent="0.25">
      <c r="B394" s="116"/>
      <c r="C394" s="117"/>
      <c r="D394" s="109"/>
      <c r="E394" s="117"/>
      <c r="F394" s="109"/>
    </row>
    <row r="395" spans="2:6" x14ac:dyDescent="0.25">
      <c r="B395" s="116"/>
      <c r="C395" s="117"/>
      <c r="D395" s="109"/>
      <c r="E395" s="117"/>
      <c r="F395" s="109"/>
    </row>
    <row r="396" spans="2:6" x14ac:dyDescent="0.25">
      <c r="B396" s="116"/>
      <c r="C396" s="117"/>
      <c r="D396" s="109"/>
      <c r="E396" s="117"/>
      <c r="F396" s="109"/>
    </row>
    <row r="397" spans="2:6" x14ac:dyDescent="0.25">
      <c r="B397" s="116"/>
      <c r="C397" s="117"/>
      <c r="D397" s="109"/>
      <c r="E397" s="117"/>
      <c r="F397" s="109"/>
    </row>
    <row r="398" spans="2:6" x14ac:dyDescent="0.25">
      <c r="B398" s="116"/>
      <c r="C398" s="117"/>
      <c r="D398" s="109"/>
      <c r="E398" s="117"/>
      <c r="F398" s="109"/>
    </row>
    <row r="399" spans="2:6" x14ac:dyDescent="0.25">
      <c r="B399" s="116"/>
      <c r="C399" s="117"/>
      <c r="D399" s="109"/>
      <c r="E399" s="117"/>
      <c r="F399" s="109"/>
    </row>
    <row r="400" spans="2:6" x14ac:dyDescent="0.25">
      <c r="B400" s="116"/>
      <c r="C400" s="117"/>
      <c r="D400" s="109"/>
      <c r="E400" s="117"/>
      <c r="F400" s="109"/>
    </row>
    <row r="401" spans="2:6" x14ac:dyDescent="0.25">
      <c r="B401" s="116"/>
      <c r="C401" s="117"/>
      <c r="D401" s="109"/>
      <c r="E401" s="117"/>
      <c r="F401" s="109"/>
    </row>
    <row r="402" spans="2:6" x14ac:dyDescent="0.25">
      <c r="B402" s="116"/>
      <c r="C402" s="117"/>
      <c r="D402" s="109"/>
      <c r="E402" s="117"/>
      <c r="F402" s="109"/>
    </row>
    <row r="403" spans="2:6" x14ac:dyDescent="0.25">
      <c r="B403" s="116"/>
      <c r="C403" s="117"/>
      <c r="D403" s="109"/>
      <c r="E403" s="117"/>
      <c r="F403" s="109"/>
    </row>
    <row r="404" spans="2:6" x14ac:dyDescent="0.25">
      <c r="B404" s="116"/>
      <c r="C404" s="117"/>
      <c r="D404" s="109"/>
      <c r="E404" s="117"/>
      <c r="F404" s="109"/>
    </row>
    <row r="405" spans="2:6" x14ac:dyDescent="0.25">
      <c r="B405" s="116"/>
      <c r="C405" s="117"/>
      <c r="D405" s="109"/>
      <c r="E405" s="117"/>
      <c r="F405" s="109"/>
    </row>
    <row r="406" spans="2:6" x14ac:dyDescent="0.25">
      <c r="B406" s="116"/>
      <c r="C406" s="117"/>
      <c r="D406" s="109"/>
      <c r="E406" s="117"/>
      <c r="F406" s="109"/>
    </row>
    <row r="407" spans="2:6" x14ac:dyDescent="0.25">
      <c r="B407" s="116"/>
      <c r="C407" s="117"/>
      <c r="D407" s="109"/>
      <c r="E407" s="117"/>
      <c r="F407" s="109"/>
    </row>
    <row r="408" spans="2:6" x14ac:dyDescent="0.25">
      <c r="B408" s="116"/>
      <c r="C408" s="117"/>
      <c r="D408" s="109"/>
      <c r="E408" s="117"/>
      <c r="F408" s="109"/>
    </row>
    <row r="409" spans="2:6" x14ac:dyDescent="0.25">
      <c r="B409" s="116"/>
      <c r="C409" s="117"/>
      <c r="D409" s="109"/>
      <c r="E409" s="117"/>
      <c r="F409" s="109"/>
    </row>
    <row r="410" spans="2:6" x14ac:dyDescent="0.25">
      <c r="B410" s="116"/>
      <c r="C410" s="117"/>
      <c r="D410" s="109"/>
      <c r="E410" s="117"/>
      <c r="F410" s="109"/>
    </row>
    <row r="411" spans="2:6" x14ac:dyDescent="0.25">
      <c r="B411" s="116"/>
      <c r="C411" s="117"/>
      <c r="D411" s="109"/>
      <c r="E411" s="117"/>
      <c r="F411" s="109"/>
    </row>
    <row r="412" spans="2:6" x14ac:dyDescent="0.25">
      <c r="B412" s="116"/>
      <c r="C412" s="117"/>
      <c r="D412" s="109"/>
      <c r="E412" s="117"/>
      <c r="F412" s="109"/>
    </row>
    <row r="413" spans="2:6" x14ac:dyDescent="0.25">
      <c r="B413" s="116"/>
      <c r="C413" s="117"/>
      <c r="D413" s="109"/>
      <c r="E413" s="117"/>
      <c r="F413" s="109"/>
    </row>
    <row r="414" spans="2:6" x14ac:dyDescent="0.25">
      <c r="B414" s="116"/>
      <c r="C414" s="117"/>
      <c r="D414" s="109"/>
      <c r="E414" s="117"/>
      <c r="F414" s="109"/>
    </row>
    <row r="415" spans="2:6" x14ac:dyDescent="0.25">
      <c r="B415" s="116"/>
      <c r="C415" s="117"/>
      <c r="D415" s="109"/>
      <c r="E415" s="117"/>
      <c r="F415" s="109"/>
    </row>
    <row r="416" spans="2:6" x14ac:dyDescent="0.25">
      <c r="B416" s="116"/>
      <c r="C416" s="117"/>
      <c r="D416" s="109"/>
      <c r="E416" s="117"/>
      <c r="F416" s="109"/>
    </row>
    <row r="417" spans="2:6" x14ac:dyDescent="0.25">
      <c r="B417" s="116"/>
      <c r="C417" s="117"/>
      <c r="D417" s="109"/>
      <c r="E417" s="117"/>
      <c r="F417" s="109"/>
    </row>
    <row r="418" spans="2:6" x14ac:dyDescent="0.25">
      <c r="B418" s="116"/>
      <c r="C418" s="117"/>
      <c r="D418" s="109"/>
      <c r="E418" s="117"/>
      <c r="F418" s="109"/>
    </row>
    <row r="419" spans="2:6" x14ac:dyDescent="0.25">
      <c r="B419" s="116"/>
      <c r="C419" s="117"/>
      <c r="D419" s="109"/>
      <c r="E419" s="117"/>
      <c r="F419" s="109"/>
    </row>
    <row r="420" spans="2:6" x14ac:dyDescent="0.25">
      <c r="B420" s="116"/>
      <c r="C420" s="117"/>
      <c r="D420" s="109"/>
      <c r="E420" s="117"/>
      <c r="F420" s="109"/>
    </row>
    <row r="421" spans="2:6" x14ac:dyDescent="0.25">
      <c r="B421" s="116"/>
      <c r="C421" s="117"/>
      <c r="D421" s="109"/>
      <c r="E421" s="117"/>
      <c r="F421" s="109"/>
    </row>
    <row r="422" spans="2:6" x14ac:dyDescent="0.25">
      <c r="B422" s="116"/>
      <c r="C422" s="117"/>
      <c r="D422" s="109"/>
      <c r="E422" s="117"/>
      <c r="F422" s="109"/>
    </row>
    <row r="423" spans="2:6" x14ac:dyDescent="0.25">
      <c r="B423" s="116"/>
      <c r="C423" s="117"/>
      <c r="D423" s="109"/>
      <c r="E423" s="117"/>
      <c r="F423" s="109"/>
    </row>
    <row r="424" spans="2:6" x14ac:dyDescent="0.25">
      <c r="B424" s="116"/>
      <c r="C424" s="117"/>
      <c r="D424" s="109"/>
      <c r="E424" s="117"/>
      <c r="F424" s="109"/>
    </row>
    <row r="425" spans="2:6" x14ac:dyDescent="0.25">
      <c r="B425" s="116"/>
      <c r="C425" s="117"/>
      <c r="D425" s="109"/>
      <c r="E425" s="117"/>
      <c r="F425" s="109"/>
    </row>
    <row r="426" spans="2:6" x14ac:dyDescent="0.25">
      <c r="B426" s="116"/>
      <c r="C426" s="117"/>
      <c r="D426" s="109"/>
      <c r="E426" s="117"/>
      <c r="F426" s="109"/>
    </row>
    <row r="427" spans="2:6" x14ac:dyDescent="0.25">
      <c r="B427" s="116"/>
      <c r="C427" s="117"/>
      <c r="D427" s="109"/>
      <c r="E427" s="117"/>
      <c r="F427" s="109"/>
    </row>
    <row r="428" spans="2:6" x14ac:dyDescent="0.25">
      <c r="B428" s="116"/>
      <c r="C428" s="117"/>
      <c r="D428" s="109"/>
      <c r="E428" s="117"/>
      <c r="F428" s="109"/>
    </row>
    <row r="429" spans="2:6" x14ac:dyDescent="0.25">
      <c r="B429" s="116"/>
      <c r="C429" s="117"/>
      <c r="D429" s="109"/>
      <c r="E429" s="117"/>
      <c r="F429" s="109"/>
    </row>
    <row r="430" spans="2:6" x14ac:dyDescent="0.25">
      <c r="B430" s="116"/>
      <c r="C430" s="117"/>
      <c r="D430" s="109"/>
      <c r="E430" s="117"/>
      <c r="F430" s="109"/>
    </row>
    <row r="431" spans="2:6" x14ac:dyDescent="0.25">
      <c r="B431" s="116"/>
      <c r="C431" s="117"/>
      <c r="D431" s="109"/>
      <c r="E431" s="117"/>
      <c r="F431" s="109"/>
    </row>
    <row r="432" spans="2:6" x14ac:dyDescent="0.25">
      <c r="B432" s="116"/>
      <c r="C432" s="117"/>
      <c r="D432" s="109"/>
      <c r="E432" s="117"/>
      <c r="F432" s="109"/>
    </row>
    <row r="433" spans="2:6" x14ac:dyDescent="0.25">
      <c r="B433" s="116"/>
      <c r="C433" s="117"/>
      <c r="D433" s="109"/>
      <c r="E433" s="117"/>
      <c r="F433" s="109"/>
    </row>
    <row r="434" spans="2:6" x14ac:dyDescent="0.25">
      <c r="B434" s="116"/>
      <c r="C434" s="117"/>
      <c r="D434" s="109"/>
      <c r="E434" s="117"/>
      <c r="F434" s="109"/>
    </row>
    <row r="435" spans="2:6" x14ac:dyDescent="0.25">
      <c r="B435" s="116"/>
      <c r="C435" s="117"/>
      <c r="D435" s="109"/>
      <c r="E435" s="117"/>
      <c r="F435" s="109"/>
    </row>
    <row r="436" spans="2:6" x14ac:dyDescent="0.25">
      <c r="B436" s="116"/>
      <c r="C436" s="117"/>
      <c r="D436" s="109"/>
      <c r="E436" s="117"/>
      <c r="F436" s="109"/>
    </row>
    <row r="437" spans="2:6" x14ac:dyDescent="0.25">
      <c r="B437" s="116"/>
      <c r="C437" s="117"/>
      <c r="D437" s="109"/>
      <c r="E437" s="117"/>
      <c r="F437" s="109"/>
    </row>
    <row r="438" spans="2:6" x14ac:dyDescent="0.25">
      <c r="B438" s="116"/>
      <c r="C438" s="117"/>
      <c r="D438" s="109"/>
      <c r="E438" s="117"/>
      <c r="F438" s="109"/>
    </row>
    <row r="439" spans="2:6" x14ac:dyDescent="0.25">
      <c r="B439" s="116"/>
      <c r="C439" s="117"/>
      <c r="D439" s="109"/>
      <c r="E439" s="117"/>
      <c r="F439" s="109"/>
    </row>
    <row r="440" spans="2:6" x14ac:dyDescent="0.25">
      <c r="B440" s="116"/>
      <c r="C440" s="117"/>
      <c r="D440" s="109"/>
      <c r="E440" s="117"/>
      <c r="F440" s="109"/>
    </row>
    <row r="441" spans="2:6" x14ac:dyDescent="0.25">
      <c r="B441" s="116"/>
      <c r="C441" s="117"/>
      <c r="D441" s="109"/>
      <c r="E441" s="117"/>
      <c r="F441" s="109"/>
    </row>
    <row r="442" spans="2:6" x14ac:dyDescent="0.25">
      <c r="B442" s="116"/>
      <c r="C442" s="117"/>
      <c r="D442" s="109"/>
      <c r="E442" s="117"/>
      <c r="F442" s="109"/>
    </row>
    <row r="443" spans="2:6" x14ac:dyDescent="0.25">
      <c r="B443" s="116"/>
      <c r="C443" s="117"/>
      <c r="D443" s="109"/>
      <c r="E443" s="117"/>
      <c r="F443" s="109"/>
    </row>
    <row r="444" spans="2:6" x14ac:dyDescent="0.25">
      <c r="B444" s="116"/>
      <c r="C444" s="117"/>
      <c r="D444" s="109"/>
      <c r="E444" s="117"/>
      <c r="F444" s="109"/>
    </row>
    <row r="445" spans="2:6" x14ac:dyDescent="0.25">
      <c r="B445" s="116"/>
      <c r="C445" s="117"/>
      <c r="D445" s="109"/>
      <c r="E445" s="117"/>
      <c r="F445" s="109"/>
    </row>
    <row r="446" spans="2:6" x14ac:dyDescent="0.25">
      <c r="B446" s="116"/>
      <c r="C446" s="117"/>
      <c r="D446" s="109"/>
      <c r="E446" s="117"/>
      <c r="F446" s="109"/>
    </row>
    <row r="447" spans="2:6" x14ac:dyDescent="0.25">
      <c r="B447" s="116"/>
      <c r="C447" s="117"/>
      <c r="D447" s="109"/>
      <c r="E447" s="117"/>
      <c r="F447" s="109"/>
    </row>
    <row r="448" spans="2:6" x14ac:dyDescent="0.25">
      <c r="B448" s="116"/>
      <c r="C448" s="117"/>
      <c r="D448" s="109"/>
      <c r="E448" s="117"/>
      <c r="F448" s="109"/>
    </row>
    <row r="449" spans="2:6" x14ac:dyDescent="0.25">
      <c r="B449" s="116"/>
      <c r="C449" s="117"/>
      <c r="D449" s="109"/>
      <c r="E449" s="117"/>
      <c r="F449" s="109"/>
    </row>
    <row r="450" spans="2:6" x14ac:dyDescent="0.25">
      <c r="B450" s="116"/>
      <c r="C450" s="117"/>
      <c r="D450" s="109"/>
      <c r="E450" s="117"/>
      <c r="F450" s="109"/>
    </row>
    <row r="451" spans="2:6" x14ac:dyDescent="0.25">
      <c r="B451" s="116"/>
      <c r="C451" s="117"/>
      <c r="D451" s="109"/>
      <c r="E451" s="117"/>
      <c r="F451" s="109"/>
    </row>
    <row r="452" spans="2:6" x14ac:dyDescent="0.25">
      <c r="B452" s="116"/>
      <c r="C452" s="117"/>
      <c r="D452" s="109"/>
      <c r="E452" s="117"/>
      <c r="F452" s="109"/>
    </row>
    <row r="453" spans="2:6" x14ac:dyDescent="0.25">
      <c r="B453" s="116"/>
      <c r="C453" s="117"/>
      <c r="D453" s="109"/>
      <c r="E453" s="117"/>
      <c r="F453" s="109"/>
    </row>
    <row r="454" spans="2:6" x14ac:dyDescent="0.25">
      <c r="B454" s="116"/>
      <c r="C454" s="117"/>
      <c r="D454" s="109"/>
      <c r="E454" s="117"/>
      <c r="F454" s="109"/>
    </row>
    <row r="455" spans="2:6" x14ac:dyDescent="0.25">
      <c r="B455" s="116"/>
      <c r="C455" s="117"/>
      <c r="D455" s="109"/>
      <c r="E455" s="117"/>
      <c r="F455" s="109"/>
    </row>
    <row r="456" spans="2:6" x14ac:dyDescent="0.25">
      <c r="B456" s="116"/>
      <c r="C456" s="117"/>
      <c r="D456" s="109"/>
      <c r="E456" s="117"/>
      <c r="F456" s="109"/>
    </row>
    <row r="457" spans="2:6" x14ac:dyDescent="0.25">
      <c r="B457" s="116"/>
      <c r="C457" s="117"/>
      <c r="D457" s="109"/>
      <c r="E457" s="117"/>
      <c r="F457" s="109"/>
    </row>
    <row r="458" spans="2:6" x14ac:dyDescent="0.25">
      <c r="B458" s="116"/>
      <c r="C458" s="117"/>
      <c r="D458" s="109"/>
      <c r="E458" s="117"/>
      <c r="F458" s="109"/>
    </row>
    <row r="459" spans="2:6" x14ac:dyDescent="0.25">
      <c r="B459" s="116"/>
      <c r="C459" s="117"/>
      <c r="D459" s="109"/>
      <c r="E459" s="117"/>
      <c r="F459" s="109"/>
    </row>
    <row r="460" spans="2:6" x14ac:dyDescent="0.25">
      <c r="B460" s="116"/>
      <c r="C460" s="117"/>
      <c r="D460" s="109"/>
      <c r="E460" s="117"/>
      <c r="F460" s="109"/>
    </row>
    <row r="461" spans="2:6" x14ac:dyDescent="0.25">
      <c r="B461" s="116"/>
      <c r="C461" s="117"/>
      <c r="D461" s="109"/>
      <c r="E461" s="117"/>
      <c r="F461" s="109"/>
    </row>
    <row r="462" spans="2:6" x14ac:dyDescent="0.25">
      <c r="B462" s="116"/>
      <c r="C462" s="117"/>
      <c r="D462" s="109"/>
      <c r="E462" s="117"/>
      <c r="F462" s="109"/>
    </row>
    <row r="463" spans="2:6" x14ac:dyDescent="0.25">
      <c r="B463" s="116"/>
      <c r="C463" s="117"/>
      <c r="D463" s="109"/>
      <c r="E463" s="117"/>
      <c r="F463" s="109"/>
    </row>
    <row r="464" spans="2:6" x14ac:dyDescent="0.25">
      <c r="B464" s="116"/>
      <c r="C464" s="117"/>
      <c r="D464" s="109"/>
      <c r="E464" s="117"/>
      <c r="F464" s="109"/>
    </row>
    <row r="465" spans="2:6" x14ac:dyDescent="0.25">
      <c r="B465" s="116"/>
      <c r="C465" s="117"/>
      <c r="D465" s="109"/>
      <c r="E465" s="117"/>
      <c r="F465" s="109"/>
    </row>
    <row r="466" spans="2:6" x14ac:dyDescent="0.25">
      <c r="B466" s="116"/>
      <c r="C466" s="117"/>
      <c r="D466" s="109"/>
      <c r="E466" s="117"/>
      <c r="F466" s="109"/>
    </row>
    <row r="467" spans="2:6" x14ac:dyDescent="0.25">
      <c r="B467" s="116"/>
      <c r="C467" s="117"/>
      <c r="D467" s="109"/>
      <c r="E467" s="117"/>
      <c r="F467" s="109"/>
    </row>
    <row r="468" spans="2:6" x14ac:dyDescent="0.25">
      <c r="B468" s="116"/>
      <c r="C468" s="117"/>
      <c r="D468" s="109"/>
      <c r="E468" s="117"/>
      <c r="F468" s="109"/>
    </row>
    <row r="469" spans="2:6" x14ac:dyDescent="0.25">
      <c r="B469" s="116"/>
      <c r="C469" s="117"/>
      <c r="D469" s="109"/>
      <c r="E469" s="117"/>
      <c r="F469" s="109"/>
    </row>
    <row r="470" spans="2:6" x14ac:dyDescent="0.25">
      <c r="B470" s="116"/>
      <c r="C470" s="117"/>
      <c r="D470" s="109"/>
      <c r="E470" s="117"/>
      <c r="F470" s="109"/>
    </row>
    <row r="471" spans="2:6" x14ac:dyDescent="0.25">
      <c r="B471" s="116"/>
      <c r="C471" s="117"/>
      <c r="D471" s="109"/>
      <c r="E471" s="117"/>
      <c r="F471" s="109"/>
    </row>
    <row r="472" spans="2:6" x14ac:dyDescent="0.25">
      <c r="B472" s="116"/>
      <c r="C472" s="117"/>
      <c r="D472" s="109"/>
      <c r="E472" s="117"/>
      <c r="F472" s="109"/>
    </row>
    <row r="473" spans="2:6" x14ac:dyDescent="0.25">
      <c r="B473" s="116"/>
      <c r="C473" s="117"/>
      <c r="D473" s="109"/>
      <c r="E473" s="117"/>
      <c r="F473" s="109"/>
    </row>
    <row r="474" spans="2:6" x14ac:dyDescent="0.25">
      <c r="B474" s="116"/>
      <c r="C474" s="117"/>
      <c r="D474" s="109"/>
      <c r="E474" s="117"/>
      <c r="F474" s="109"/>
    </row>
    <row r="475" spans="2:6" x14ac:dyDescent="0.25">
      <c r="B475" s="116"/>
      <c r="C475" s="117"/>
      <c r="D475" s="109"/>
      <c r="E475" s="117"/>
      <c r="F475" s="109"/>
    </row>
    <row r="476" spans="2:6" x14ac:dyDescent="0.25">
      <c r="B476" s="116"/>
      <c r="C476" s="117"/>
      <c r="D476" s="109"/>
      <c r="E476" s="117"/>
      <c r="F476" s="109"/>
    </row>
    <row r="477" spans="2:6" x14ac:dyDescent="0.25">
      <c r="B477" s="116"/>
      <c r="C477" s="117"/>
      <c r="D477" s="109"/>
      <c r="E477" s="117"/>
      <c r="F477" s="109"/>
    </row>
    <row r="478" spans="2:6" x14ac:dyDescent="0.25">
      <c r="B478" s="116"/>
      <c r="C478" s="117"/>
      <c r="D478" s="109"/>
      <c r="E478" s="117"/>
      <c r="F478" s="109"/>
    </row>
    <row r="479" spans="2:6" x14ac:dyDescent="0.25">
      <c r="B479" s="116"/>
      <c r="C479" s="117"/>
      <c r="D479" s="109"/>
      <c r="E479" s="117"/>
      <c r="F479" s="109"/>
    </row>
    <row r="480" spans="2:6" x14ac:dyDescent="0.25">
      <c r="B480" s="116"/>
      <c r="C480" s="117"/>
      <c r="D480" s="109"/>
      <c r="E480" s="117"/>
      <c r="F480" s="109"/>
    </row>
    <row r="481" spans="2:6" x14ac:dyDescent="0.25">
      <c r="B481" s="116"/>
      <c r="C481" s="117"/>
      <c r="D481" s="109"/>
      <c r="E481" s="117"/>
      <c r="F481" s="109"/>
    </row>
    <row r="482" spans="2:6" x14ac:dyDescent="0.25">
      <c r="B482" s="116"/>
      <c r="C482" s="117"/>
      <c r="D482" s="109"/>
      <c r="E482" s="117"/>
      <c r="F482" s="109"/>
    </row>
    <row r="483" spans="2:6" x14ac:dyDescent="0.25">
      <c r="B483" s="116"/>
      <c r="C483" s="117"/>
      <c r="D483" s="109"/>
      <c r="E483" s="117"/>
      <c r="F483" s="109"/>
    </row>
    <row r="484" spans="2:6" x14ac:dyDescent="0.25">
      <c r="B484" s="116"/>
      <c r="C484" s="117"/>
      <c r="D484" s="109"/>
      <c r="E484" s="117"/>
      <c r="F484" s="109"/>
    </row>
    <row r="485" spans="2:6" x14ac:dyDescent="0.25">
      <c r="B485" s="116"/>
      <c r="C485" s="117"/>
      <c r="D485" s="109"/>
      <c r="E485" s="117"/>
      <c r="F485" s="109"/>
    </row>
    <row r="486" spans="2:6" x14ac:dyDescent="0.25">
      <c r="B486" s="116"/>
      <c r="C486" s="117"/>
      <c r="D486" s="109"/>
      <c r="E486" s="117"/>
      <c r="F486" s="109"/>
    </row>
    <row r="487" spans="2:6" x14ac:dyDescent="0.25">
      <c r="B487" s="116"/>
      <c r="C487" s="117"/>
      <c r="D487" s="109"/>
      <c r="E487" s="117"/>
      <c r="F487" s="109"/>
    </row>
    <row r="488" spans="2:6" x14ac:dyDescent="0.25">
      <c r="B488" s="116"/>
      <c r="C488" s="117"/>
      <c r="D488" s="109"/>
      <c r="E488" s="117"/>
      <c r="F488" s="109"/>
    </row>
    <row r="489" spans="2:6" x14ac:dyDescent="0.25">
      <c r="B489" s="116"/>
      <c r="C489" s="117"/>
      <c r="D489" s="109"/>
      <c r="E489" s="117"/>
      <c r="F489" s="109"/>
    </row>
    <row r="490" spans="2:6" x14ac:dyDescent="0.25">
      <c r="B490" s="116"/>
      <c r="C490" s="117"/>
      <c r="D490" s="109"/>
      <c r="E490" s="117"/>
      <c r="F490" s="109"/>
    </row>
    <row r="491" spans="2:6" x14ac:dyDescent="0.25">
      <c r="B491" s="116"/>
      <c r="C491" s="117"/>
      <c r="D491" s="109"/>
      <c r="E491" s="117"/>
      <c r="F491" s="109"/>
    </row>
    <row r="492" spans="2:6" x14ac:dyDescent="0.25">
      <c r="B492" s="116"/>
      <c r="C492" s="117"/>
      <c r="D492" s="109"/>
      <c r="E492" s="117"/>
      <c r="F492" s="109"/>
    </row>
    <row r="493" spans="2:6" x14ac:dyDescent="0.25">
      <c r="B493" s="116"/>
      <c r="C493" s="117"/>
      <c r="D493" s="109"/>
      <c r="E493" s="117"/>
      <c r="F493" s="109"/>
    </row>
    <row r="494" spans="2:6" x14ac:dyDescent="0.25">
      <c r="B494" s="116"/>
      <c r="C494" s="117"/>
      <c r="D494" s="109"/>
      <c r="E494" s="117"/>
      <c r="F494" s="109"/>
    </row>
    <row r="495" spans="2:6" x14ac:dyDescent="0.25">
      <c r="B495" s="116"/>
      <c r="C495" s="117"/>
      <c r="D495" s="109"/>
      <c r="E495" s="117"/>
      <c r="F495" s="109"/>
    </row>
    <row r="496" spans="2:6" x14ac:dyDescent="0.25">
      <c r="B496" s="116"/>
      <c r="C496" s="117"/>
      <c r="D496" s="109"/>
      <c r="E496" s="117"/>
      <c r="F496" s="109"/>
    </row>
    <row r="497" spans="2:6" x14ac:dyDescent="0.25">
      <c r="B497" s="116"/>
      <c r="C497" s="117"/>
      <c r="D497" s="109"/>
      <c r="E497" s="117"/>
      <c r="F497" s="109"/>
    </row>
    <row r="498" spans="2:6" x14ac:dyDescent="0.25">
      <c r="B498" s="116"/>
      <c r="C498" s="117"/>
      <c r="D498" s="109"/>
      <c r="E498" s="117"/>
      <c r="F498" s="109"/>
    </row>
    <row r="499" spans="2:6" x14ac:dyDescent="0.25">
      <c r="B499" s="116"/>
      <c r="C499" s="117"/>
      <c r="D499" s="109"/>
      <c r="E499" s="117"/>
      <c r="F499" s="109"/>
    </row>
    <row r="500" spans="2:6" x14ac:dyDescent="0.25">
      <c r="B500" s="116"/>
      <c r="C500" s="117"/>
      <c r="D500" s="109"/>
      <c r="E500" s="117"/>
      <c r="F500" s="109"/>
    </row>
    <row r="501" spans="2:6" x14ac:dyDescent="0.25">
      <c r="B501" s="116"/>
      <c r="C501" s="117"/>
      <c r="D501" s="109"/>
      <c r="E501" s="117"/>
      <c r="F501" s="109"/>
    </row>
    <row r="502" spans="2:6" x14ac:dyDescent="0.25">
      <c r="B502" s="116"/>
      <c r="C502" s="117"/>
      <c r="D502" s="109"/>
      <c r="E502" s="117"/>
      <c r="F502" s="109"/>
    </row>
    <row r="503" spans="2:6" x14ac:dyDescent="0.25">
      <c r="B503" s="116"/>
      <c r="C503" s="117"/>
      <c r="D503" s="109"/>
      <c r="E503" s="117"/>
      <c r="F503" s="109"/>
    </row>
    <row r="504" spans="2:6" x14ac:dyDescent="0.25">
      <c r="B504" s="116"/>
      <c r="C504" s="117"/>
      <c r="D504" s="109"/>
      <c r="E504" s="117"/>
      <c r="F504" s="109"/>
    </row>
    <row r="505" spans="2:6" x14ac:dyDescent="0.25">
      <c r="B505" s="116"/>
      <c r="C505" s="117"/>
      <c r="D505" s="109"/>
      <c r="E505" s="117"/>
      <c r="F505" s="109"/>
    </row>
    <row r="506" spans="2:6" x14ac:dyDescent="0.25">
      <c r="B506" s="116"/>
      <c r="C506" s="117"/>
      <c r="D506" s="109"/>
      <c r="E506" s="117"/>
      <c r="F506" s="109"/>
    </row>
    <row r="507" spans="2:6" x14ac:dyDescent="0.25">
      <c r="B507" s="116"/>
      <c r="C507" s="117"/>
      <c r="D507" s="109"/>
      <c r="E507" s="117"/>
      <c r="F507" s="109"/>
    </row>
    <row r="508" spans="2:6" x14ac:dyDescent="0.25">
      <c r="B508" s="116"/>
      <c r="C508" s="117"/>
      <c r="D508" s="109"/>
      <c r="E508" s="117"/>
      <c r="F508" s="109"/>
    </row>
    <row r="509" spans="2:6" x14ac:dyDescent="0.25">
      <c r="B509" s="116"/>
      <c r="C509" s="117"/>
      <c r="D509" s="109"/>
      <c r="E509" s="117"/>
      <c r="F509" s="109"/>
    </row>
    <row r="510" spans="2:6" x14ac:dyDescent="0.25">
      <c r="B510" s="116"/>
      <c r="C510" s="117"/>
      <c r="D510" s="109"/>
      <c r="E510" s="117"/>
      <c r="F510" s="109"/>
    </row>
    <row r="511" spans="2:6" x14ac:dyDescent="0.25">
      <c r="B511" s="116"/>
      <c r="C511" s="117"/>
      <c r="D511" s="109"/>
      <c r="E511" s="117"/>
      <c r="F511" s="109"/>
    </row>
    <row r="512" spans="2:6" x14ac:dyDescent="0.25">
      <c r="B512" s="116"/>
      <c r="C512" s="117"/>
      <c r="D512" s="109"/>
      <c r="E512" s="117"/>
      <c r="F512" s="109"/>
    </row>
    <row r="513" spans="2:12" x14ac:dyDescent="0.25">
      <c r="B513" s="116"/>
      <c r="C513" s="117"/>
      <c r="D513" s="109"/>
      <c r="E513" s="117"/>
      <c r="F513" s="109"/>
    </row>
    <row r="514" spans="2:12" x14ac:dyDescent="0.25">
      <c r="B514" s="116"/>
      <c r="C514" s="117"/>
      <c r="D514" s="109"/>
      <c r="E514" s="117"/>
      <c r="F514" s="109"/>
    </row>
    <row r="515" spans="2:12" x14ac:dyDescent="0.25">
      <c r="B515" s="116"/>
      <c r="C515" s="117"/>
      <c r="D515" s="109"/>
      <c r="E515" s="117"/>
      <c r="F515" s="109"/>
    </row>
    <row r="516" spans="2:12" x14ac:dyDescent="0.25">
      <c r="B516" s="116"/>
      <c r="C516" s="117"/>
      <c r="D516" s="109"/>
      <c r="E516" s="117"/>
      <c r="F516" s="109"/>
    </row>
    <row r="517" spans="2:12" x14ac:dyDescent="0.25">
      <c r="B517" s="116"/>
      <c r="C517" s="117"/>
      <c r="D517" s="109"/>
      <c r="E517" s="117"/>
      <c r="F517" s="109"/>
    </row>
    <row r="518" spans="2:12" x14ac:dyDescent="0.25">
      <c r="B518" s="116"/>
      <c r="C518" s="117"/>
      <c r="D518" s="109"/>
      <c r="E518" s="117"/>
      <c r="F518" s="109"/>
    </row>
    <row r="519" spans="2:12" x14ac:dyDescent="0.25">
      <c r="B519" s="116"/>
      <c r="C519" s="117"/>
      <c r="D519" s="109"/>
      <c r="E519" s="117"/>
      <c r="F519" s="109"/>
    </row>
    <row r="520" spans="2:12" x14ac:dyDescent="0.25">
      <c r="B520" s="116"/>
      <c r="C520" s="117"/>
      <c r="D520" s="109"/>
      <c r="E520" s="117"/>
      <c r="F520" s="109"/>
      <c r="G520" s="166"/>
      <c r="H520" s="166"/>
      <c r="I520" s="166"/>
      <c r="J520" s="166"/>
      <c r="K520" s="166"/>
      <c r="L520" s="166"/>
    </row>
  </sheetData>
  <mergeCells count="1">
    <mergeCell ref="B7:K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0E86D-C060-491B-9A39-225B91CE5CDF}">
  <dimension ref="B7:I2519"/>
  <sheetViews>
    <sheetView showGridLines="0" topLeftCell="A4" workbookViewId="0">
      <selection activeCell="G10" sqref="G10"/>
    </sheetView>
  </sheetViews>
  <sheetFormatPr defaultRowHeight="15" x14ac:dyDescent="0.25"/>
  <cols>
    <col min="1" max="1" width="0.85546875" customWidth="1"/>
    <col min="2" max="2" width="18" customWidth="1"/>
    <col min="3" max="3" width="11.5703125" bestFit="1" customWidth="1"/>
    <col min="6" max="6" width="11.7109375" customWidth="1"/>
    <col min="7" max="7" width="9.5703125" bestFit="1" customWidth="1"/>
    <col min="9" max="9" width="11.5703125" bestFit="1" customWidth="1"/>
  </cols>
  <sheetData>
    <row r="7" spans="2:9" ht="15.75" x14ac:dyDescent="0.25">
      <c r="B7" s="235" t="s">
        <v>292</v>
      </c>
      <c r="C7" s="235"/>
      <c r="D7" s="235"/>
      <c r="E7" s="235"/>
      <c r="F7" s="235"/>
      <c r="G7" s="235"/>
    </row>
    <row r="8" spans="2:9" x14ac:dyDescent="0.25">
      <c r="B8" s="13" t="s">
        <v>219</v>
      </c>
      <c r="C8" s="9" t="s">
        <v>220</v>
      </c>
    </row>
    <row r="9" spans="2:9" s="166" customFormat="1" x14ac:dyDescent="0.25">
      <c r="B9" s="116">
        <v>45744</v>
      </c>
      <c r="C9" s="117">
        <v>23519.35</v>
      </c>
      <c r="F9" s="119" t="s">
        <v>221</v>
      </c>
      <c r="G9" s="119">
        <f>YEARFRAC(B2488,B9)</f>
        <v>10.002777777777778</v>
      </c>
    </row>
    <row r="10" spans="2:9" s="166" customFormat="1" x14ac:dyDescent="0.25">
      <c r="B10" s="116">
        <v>45743</v>
      </c>
      <c r="C10" s="117">
        <v>23591.95</v>
      </c>
      <c r="F10" s="119" t="s">
        <v>222</v>
      </c>
      <c r="G10" s="120">
        <f>_xlfn.RRI(G9,C2488,C9)</f>
        <v>0.10919048406231568</v>
      </c>
    </row>
    <row r="11" spans="2:9" s="166" customFormat="1" x14ac:dyDescent="0.25">
      <c r="B11" s="116">
        <v>45742</v>
      </c>
      <c r="C11" s="117">
        <v>23486.85</v>
      </c>
    </row>
    <row r="12" spans="2:9" s="166" customFormat="1" x14ac:dyDescent="0.25">
      <c r="B12" s="116">
        <v>45741</v>
      </c>
      <c r="C12" s="117">
        <v>23668.65</v>
      </c>
    </row>
    <row r="13" spans="2:9" s="166" customFormat="1" x14ac:dyDescent="0.25">
      <c r="B13" s="116">
        <v>45740</v>
      </c>
      <c r="C13" s="117">
        <v>23658.35</v>
      </c>
    </row>
    <row r="14" spans="2:9" s="162" customFormat="1" x14ac:dyDescent="0.25">
      <c r="B14" s="116">
        <v>45737</v>
      </c>
      <c r="C14" s="117">
        <v>23350.400000000001</v>
      </c>
      <c r="F14" s="118"/>
      <c r="G14" s="214"/>
      <c r="I14" s="200"/>
    </row>
    <row r="15" spans="2:9" s="162" customFormat="1" x14ac:dyDescent="0.25">
      <c r="B15" s="116">
        <v>45736</v>
      </c>
      <c r="C15" s="117">
        <v>23190.65</v>
      </c>
      <c r="F15" s="227"/>
      <c r="G15" s="228"/>
    </row>
    <row r="16" spans="2:9" s="162" customFormat="1" x14ac:dyDescent="0.25">
      <c r="B16" s="116">
        <v>45735</v>
      </c>
      <c r="C16" s="117">
        <v>22907.599999999999</v>
      </c>
    </row>
    <row r="17" spans="2:7" s="162" customFormat="1" x14ac:dyDescent="0.25">
      <c r="B17" s="116">
        <v>45734</v>
      </c>
      <c r="C17" s="117">
        <v>22834.3</v>
      </c>
    </row>
    <row r="18" spans="2:7" s="162" customFormat="1" x14ac:dyDescent="0.25">
      <c r="B18" s="116">
        <v>45733</v>
      </c>
      <c r="C18" s="117">
        <v>22508.75</v>
      </c>
    </row>
    <row r="19" spans="2:7" s="162" customFormat="1" x14ac:dyDescent="0.25">
      <c r="B19" s="116">
        <v>45729</v>
      </c>
      <c r="C19" s="117">
        <v>22397.200000000001</v>
      </c>
    </row>
    <row r="20" spans="2:7" x14ac:dyDescent="0.25">
      <c r="B20" s="116">
        <v>45728</v>
      </c>
      <c r="C20" s="117">
        <v>22470.5</v>
      </c>
      <c r="F20" s="9"/>
      <c r="G20" s="9"/>
    </row>
    <row r="21" spans="2:7" x14ac:dyDescent="0.25">
      <c r="B21" s="116">
        <v>45727</v>
      </c>
      <c r="C21" s="117">
        <v>22497.9</v>
      </c>
    </row>
    <row r="22" spans="2:7" x14ac:dyDescent="0.25">
      <c r="B22" s="116">
        <v>45726</v>
      </c>
      <c r="C22" s="117">
        <v>22460.3</v>
      </c>
    </row>
    <row r="23" spans="2:7" x14ac:dyDescent="0.25">
      <c r="B23" s="116">
        <v>45723</v>
      </c>
      <c r="C23" s="117">
        <v>22552.5</v>
      </c>
    </row>
    <row r="24" spans="2:7" x14ac:dyDescent="0.25">
      <c r="B24" s="116">
        <v>45722</v>
      </c>
      <c r="C24" s="117">
        <v>22544.7</v>
      </c>
    </row>
    <row r="25" spans="2:7" x14ac:dyDescent="0.25">
      <c r="B25" s="116">
        <v>45721</v>
      </c>
      <c r="C25" s="117">
        <v>22337.3</v>
      </c>
    </row>
    <row r="26" spans="2:7" x14ac:dyDescent="0.25">
      <c r="B26" s="116">
        <v>45720</v>
      </c>
      <c r="C26" s="117">
        <v>22082.65</v>
      </c>
    </row>
    <row r="27" spans="2:7" x14ac:dyDescent="0.25">
      <c r="B27" s="116">
        <v>45719</v>
      </c>
      <c r="C27" s="117">
        <v>22119.3</v>
      </c>
    </row>
    <row r="28" spans="2:7" x14ac:dyDescent="0.25">
      <c r="B28" s="116">
        <v>45716</v>
      </c>
      <c r="C28" s="117">
        <v>22124.7</v>
      </c>
    </row>
    <row r="29" spans="2:7" x14ac:dyDescent="0.25">
      <c r="B29" s="116">
        <v>45715</v>
      </c>
      <c r="C29" s="117">
        <v>22545.05</v>
      </c>
    </row>
    <row r="30" spans="2:7" x14ac:dyDescent="0.25">
      <c r="B30" s="116">
        <v>45713</v>
      </c>
      <c r="C30" s="117">
        <v>22547.55</v>
      </c>
    </row>
    <row r="31" spans="2:7" x14ac:dyDescent="0.25">
      <c r="B31" s="116">
        <v>45712</v>
      </c>
      <c r="C31" s="117">
        <v>22553.35</v>
      </c>
    </row>
    <row r="32" spans="2:7" x14ac:dyDescent="0.25">
      <c r="B32" s="116">
        <v>45709</v>
      </c>
      <c r="C32" s="117">
        <v>22795.9</v>
      </c>
    </row>
    <row r="33" spans="2:3" x14ac:dyDescent="0.25">
      <c r="B33" s="116">
        <v>45708</v>
      </c>
      <c r="C33" s="117">
        <v>22913.15</v>
      </c>
    </row>
    <row r="34" spans="2:3" x14ac:dyDescent="0.25">
      <c r="B34" s="116">
        <v>45707</v>
      </c>
      <c r="C34" s="117">
        <v>22932.9</v>
      </c>
    </row>
    <row r="35" spans="2:3" x14ac:dyDescent="0.25">
      <c r="B35" s="116">
        <v>45706</v>
      </c>
      <c r="C35" s="117">
        <v>22945.3</v>
      </c>
    </row>
    <row r="36" spans="2:3" x14ac:dyDescent="0.25">
      <c r="B36" s="116">
        <v>45705</v>
      </c>
      <c r="C36" s="117">
        <v>22959.5</v>
      </c>
    </row>
    <row r="37" spans="2:3" x14ac:dyDescent="0.25">
      <c r="B37" s="116">
        <v>45702</v>
      </c>
      <c r="C37" s="117">
        <v>22929.25</v>
      </c>
    </row>
    <row r="38" spans="2:3" x14ac:dyDescent="0.25">
      <c r="B38" s="116">
        <v>45701</v>
      </c>
      <c r="C38" s="117">
        <v>23031.4</v>
      </c>
    </row>
    <row r="39" spans="2:3" x14ac:dyDescent="0.25">
      <c r="B39" s="116">
        <v>45700</v>
      </c>
      <c r="C39" s="117">
        <v>23045.25</v>
      </c>
    </row>
    <row r="40" spans="2:3" x14ac:dyDescent="0.25">
      <c r="B40" s="116">
        <v>45699</v>
      </c>
      <c r="C40" s="117">
        <v>23071.8</v>
      </c>
    </row>
    <row r="41" spans="2:3" x14ac:dyDescent="0.25">
      <c r="B41" s="116">
        <v>45698</v>
      </c>
      <c r="C41" s="117">
        <v>23381.599999999999</v>
      </c>
    </row>
    <row r="42" spans="2:3" x14ac:dyDescent="0.25">
      <c r="B42" s="116">
        <v>45695</v>
      </c>
      <c r="C42" s="117">
        <v>23559.95</v>
      </c>
    </row>
    <row r="43" spans="2:3" x14ac:dyDescent="0.25">
      <c r="B43" s="116">
        <v>45694</v>
      </c>
      <c r="C43" s="117">
        <v>23603.35</v>
      </c>
    </row>
    <row r="44" spans="2:3" x14ac:dyDescent="0.25">
      <c r="B44" s="116">
        <v>45693</v>
      </c>
      <c r="C44" s="117">
        <v>23696.3</v>
      </c>
    </row>
    <row r="45" spans="2:3" x14ac:dyDescent="0.25">
      <c r="B45" s="116">
        <v>45692</v>
      </c>
      <c r="C45" s="117">
        <v>23739.25</v>
      </c>
    </row>
    <row r="46" spans="2:3" x14ac:dyDescent="0.25">
      <c r="B46" s="116">
        <v>45691</v>
      </c>
      <c r="C46" s="117">
        <v>23361.05</v>
      </c>
    </row>
    <row r="47" spans="2:3" x14ac:dyDescent="0.25">
      <c r="B47" s="116">
        <v>45689</v>
      </c>
      <c r="C47" s="117">
        <v>23482.15</v>
      </c>
    </row>
    <row r="48" spans="2:3" x14ac:dyDescent="0.25">
      <c r="B48" s="116">
        <v>45688</v>
      </c>
      <c r="C48" s="117">
        <v>23508.400000000001</v>
      </c>
    </row>
    <row r="49" spans="2:3" x14ac:dyDescent="0.25">
      <c r="B49" s="116">
        <v>45687</v>
      </c>
      <c r="C49" s="117">
        <v>23249.5</v>
      </c>
    </row>
    <row r="50" spans="2:3" x14ac:dyDescent="0.25">
      <c r="B50" s="116">
        <v>45686</v>
      </c>
      <c r="C50" s="117">
        <v>23163.1</v>
      </c>
    </row>
    <row r="51" spans="2:3" x14ac:dyDescent="0.25">
      <c r="B51" s="116">
        <v>45685</v>
      </c>
      <c r="C51" s="117">
        <v>22957.25</v>
      </c>
    </row>
    <row r="52" spans="2:3" x14ac:dyDescent="0.25">
      <c r="B52" s="116">
        <v>45684</v>
      </c>
      <c r="C52" s="117">
        <v>22829.15</v>
      </c>
    </row>
    <row r="53" spans="2:3" x14ac:dyDescent="0.25">
      <c r="B53" s="116">
        <v>45681</v>
      </c>
      <c r="C53" s="117">
        <v>23092.2</v>
      </c>
    </row>
    <row r="54" spans="2:3" x14ac:dyDescent="0.25">
      <c r="B54" s="116">
        <v>45680</v>
      </c>
      <c r="C54" s="117">
        <v>23205.35</v>
      </c>
    </row>
    <row r="55" spans="2:3" x14ac:dyDescent="0.25">
      <c r="B55" s="116">
        <v>45679</v>
      </c>
      <c r="C55" s="117">
        <v>23155.35</v>
      </c>
    </row>
    <row r="56" spans="2:3" x14ac:dyDescent="0.25">
      <c r="B56" s="116">
        <v>45678</v>
      </c>
      <c r="C56" s="117">
        <v>23024.65</v>
      </c>
    </row>
    <row r="57" spans="2:3" x14ac:dyDescent="0.25">
      <c r="B57" s="116">
        <v>45677</v>
      </c>
      <c r="C57" s="117">
        <v>23344.75</v>
      </c>
    </row>
    <row r="58" spans="2:3" x14ac:dyDescent="0.25">
      <c r="B58" s="116">
        <v>45674</v>
      </c>
      <c r="C58" s="117">
        <v>23203.200000000001</v>
      </c>
    </row>
    <row r="59" spans="2:3" x14ac:dyDescent="0.25">
      <c r="B59" s="116">
        <v>45673</v>
      </c>
      <c r="C59" s="117">
        <v>23311.8</v>
      </c>
    </row>
    <row r="60" spans="2:3" x14ac:dyDescent="0.25">
      <c r="B60" s="116">
        <v>45672</v>
      </c>
      <c r="C60" s="117">
        <v>23213.200000000001</v>
      </c>
    </row>
    <row r="61" spans="2:3" x14ac:dyDescent="0.25">
      <c r="B61" s="116">
        <v>45671</v>
      </c>
      <c r="C61" s="117">
        <v>23176.05</v>
      </c>
    </row>
    <row r="62" spans="2:3" x14ac:dyDescent="0.25">
      <c r="B62" s="116">
        <v>45670</v>
      </c>
      <c r="C62" s="117">
        <v>23085.95</v>
      </c>
    </row>
    <row r="63" spans="2:3" x14ac:dyDescent="0.25">
      <c r="B63" s="116">
        <v>45667</v>
      </c>
      <c r="C63" s="117">
        <v>23431.5</v>
      </c>
    </row>
    <row r="64" spans="2:3" x14ac:dyDescent="0.25">
      <c r="B64" s="116">
        <v>45666</v>
      </c>
      <c r="C64" s="117">
        <v>23526.5</v>
      </c>
    </row>
    <row r="65" spans="2:3" x14ac:dyDescent="0.25">
      <c r="B65" s="116">
        <v>45665</v>
      </c>
      <c r="C65" s="117">
        <v>23688.95</v>
      </c>
    </row>
    <row r="66" spans="2:3" x14ac:dyDescent="0.25">
      <c r="B66" s="116">
        <v>45664</v>
      </c>
      <c r="C66" s="117">
        <v>23707.9</v>
      </c>
    </row>
    <row r="67" spans="2:3" x14ac:dyDescent="0.25">
      <c r="B67" s="116">
        <v>45663</v>
      </c>
      <c r="C67" s="117">
        <v>23616.05</v>
      </c>
    </row>
    <row r="68" spans="2:3" x14ac:dyDescent="0.25">
      <c r="B68" s="116">
        <v>45660</v>
      </c>
      <c r="C68" s="117">
        <v>24004.75</v>
      </c>
    </row>
    <row r="69" spans="2:3" x14ac:dyDescent="0.25">
      <c r="B69" s="116">
        <v>45659</v>
      </c>
      <c r="C69" s="117">
        <v>24188.65</v>
      </c>
    </row>
    <row r="70" spans="2:3" x14ac:dyDescent="0.25">
      <c r="B70" s="116">
        <v>45658</v>
      </c>
      <c r="C70" s="117">
        <v>23742.9</v>
      </c>
    </row>
    <row r="71" spans="2:3" x14ac:dyDescent="0.25">
      <c r="B71" s="116">
        <v>45657</v>
      </c>
      <c r="C71" s="117">
        <v>23644.799999999999</v>
      </c>
    </row>
    <row r="72" spans="2:3" x14ac:dyDescent="0.25">
      <c r="B72" s="116">
        <v>45656</v>
      </c>
      <c r="C72" s="117">
        <v>23644.9</v>
      </c>
    </row>
    <row r="73" spans="2:3" x14ac:dyDescent="0.25">
      <c r="B73" s="116">
        <v>45653</v>
      </c>
      <c r="C73" s="117">
        <v>23813.4</v>
      </c>
    </row>
    <row r="74" spans="2:3" x14ac:dyDescent="0.25">
      <c r="B74" s="116">
        <v>45652</v>
      </c>
      <c r="C74" s="117">
        <v>23750.2</v>
      </c>
    </row>
    <row r="75" spans="2:3" x14ac:dyDescent="0.25">
      <c r="B75" s="116">
        <v>45650</v>
      </c>
      <c r="C75" s="117">
        <v>23727.65</v>
      </c>
    </row>
    <row r="76" spans="2:3" x14ac:dyDescent="0.25">
      <c r="B76" s="116">
        <v>45649</v>
      </c>
      <c r="C76" s="117">
        <v>23753.45</v>
      </c>
    </row>
    <row r="77" spans="2:3" x14ac:dyDescent="0.25">
      <c r="B77" s="116">
        <v>45646</v>
      </c>
      <c r="C77" s="117">
        <v>23587.5</v>
      </c>
    </row>
    <row r="78" spans="2:3" x14ac:dyDescent="0.25">
      <c r="B78" s="116">
        <v>45645</v>
      </c>
      <c r="C78" s="117">
        <v>23951.7</v>
      </c>
    </row>
    <row r="79" spans="2:3" x14ac:dyDescent="0.25">
      <c r="B79" s="116">
        <v>45644</v>
      </c>
      <c r="C79" s="117">
        <v>24198.85</v>
      </c>
    </row>
    <row r="80" spans="2:3" x14ac:dyDescent="0.25">
      <c r="B80" s="116">
        <v>45643</v>
      </c>
      <c r="C80" s="117">
        <v>24336</v>
      </c>
    </row>
    <row r="81" spans="2:3" x14ac:dyDescent="0.25">
      <c r="B81" s="116">
        <v>45642</v>
      </c>
      <c r="C81" s="117">
        <v>24668.25</v>
      </c>
    </row>
    <row r="82" spans="2:3" x14ac:dyDescent="0.25">
      <c r="B82" s="116">
        <v>45639</v>
      </c>
      <c r="C82" s="117">
        <v>24768.3</v>
      </c>
    </row>
    <row r="83" spans="2:3" x14ac:dyDescent="0.25">
      <c r="B83" s="116">
        <v>45638</v>
      </c>
      <c r="C83" s="117">
        <v>24548.7</v>
      </c>
    </row>
    <row r="84" spans="2:3" x14ac:dyDescent="0.25">
      <c r="B84" s="116">
        <v>45637</v>
      </c>
      <c r="C84" s="117">
        <v>24641.8</v>
      </c>
    </row>
    <row r="85" spans="2:3" x14ac:dyDescent="0.25">
      <c r="B85" s="116">
        <v>45636</v>
      </c>
      <c r="C85" s="117">
        <v>24610.05</v>
      </c>
    </row>
    <row r="86" spans="2:3" x14ac:dyDescent="0.25">
      <c r="B86" s="116">
        <v>45635</v>
      </c>
      <c r="C86" s="117">
        <v>24619</v>
      </c>
    </row>
    <row r="87" spans="2:3" x14ac:dyDescent="0.25">
      <c r="B87" s="116">
        <v>45632</v>
      </c>
      <c r="C87" s="117">
        <v>24677.8</v>
      </c>
    </row>
    <row r="88" spans="2:3" x14ac:dyDescent="0.25">
      <c r="B88" s="116">
        <v>45631</v>
      </c>
      <c r="C88" s="117">
        <v>24708.400000000001</v>
      </c>
    </row>
    <row r="89" spans="2:3" x14ac:dyDescent="0.25">
      <c r="B89" s="116">
        <v>45630</v>
      </c>
      <c r="C89" s="117">
        <v>24467.45</v>
      </c>
    </row>
    <row r="90" spans="2:3" x14ac:dyDescent="0.25">
      <c r="B90" s="116">
        <v>45629</v>
      </c>
      <c r="C90" s="117">
        <v>24457.15</v>
      </c>
    </row>
    <row r="91" spans="2:3" x14ac:dyDescent="0.25">
      <c r="B91" s="116">
        <v>45628</v>
      </c>
      <c r="C91" s="117">
        <v>24276.05</v>
      </c>
    </row>
    <row r="92" spans="2:3" x14ac:dyDescent="0.25">
      <c r="B92" s="116">
        <v>45625</v>
      </c>
      <c r="C92" s="117">
        <v>24131.1</v>
      </c>
    </row>
    <row r="93" spans="2:3" x14ac:dyDescent="0.25">
      <c r="B93" s="116">
        <v>45624</v>
      </c>
      <c r="C93" s="117">
        <v>23914.15</v>
      </c>
    </row>
    <row r="94" spans="2:3" x14ac:dyDescent="0.25">
      <c r="B94" s="116">
        <v>45623</v>
      </c>
      <c r="C94" s="117">
        <v>24274.9</v>
      </c>
    </row>
    <row r="95" spans="2:3" x14ac:dyDescent="0.25">
      <c r="B95" s="116">
        <v>45622</v>
      </c>
      <c r="C95" s="117">
        <v>24194.5</v>
      </c>
    </row>
    <row r="96" spans="2:3" x14ac:dyDescent="0.25">
      <c r="B96" s="116">
        <v>45621</v>
      </c>
      <c r="C96" s="117">
        <v>24221.9</v>
      </c>
    </row>
    <row r="97" spans="2:3" x14ac:dyDescent="0.25">
      <c r="B97" s="116">
        <v>45618</v>
      </c>
      <c r="C97" s="117">
        <v>23907.25</v>
      </c>
    </row>
    <row r="98" spans="2:3" x14ac:dyDescent="0.25">
      <c r="B98" s="116">
        <v>45617</v>
      </c>
      <c r="C98" s="117">
        <v>23349.9</v>
      </c>
    </row>
    <row r="99" spans="2:3" x14ac:dyDescent="0.25">
      <c r="B99" s="116">
        <v>45615</v>
      </c>
      <c r="C99" s="117">
        <v>23518.5</v>
      </c>
    </row>
    <row r="100" spans="2:3" x14ac:dyDescent="0.25">
      <c r="B100" s="116">
        <v>45614</v>
      </c>
      <c r="C100" s="117">
        <v>23453.8</v>
      </c>
    </row>
    <row r="101" spans="2:3" x14ac:dyDescent="0.25">
      <c r="B101" s="116">
        <v>45610</v>
      </c>
      <c r="C101" s="117">
        <v>23532.7</v>
      </c>
    </row>
    <row r="102" spans="2:3" x14ac:dyDescent="0.25">
      <c r="B102" s="116">
        <v>45609</v>
      </c>
      <c r="C102" s="117">
        <v>23559.05</v>
      </c>
    </row>
    <row r="103" spans="2:3" x14ac:dyDescent="0.25">
      <c r="B103" s="116">
        <v>45608</v>
      </c>
      <c r="C103" s="117">
        <v>23883.45</v>
      </c>
    </row>
    <row r="104" spans="2:3" x14ac:dyDescent="0.25">
      <c r="B104" s="116">
        <v>45607</v>
      </c>
      <c r="C104" s="117">
        <v>24141.3</v>
      </c>
    </row>
    <row r="105" spans="2:3" x14ac:dyDescent="0.25">
      <c r="B105" s="116">
        <v>45604</v>
      </c>
      <c r="C105" s="117">
        <v>24148.2</v>
      </c>
    </row>
    <row r="106" spans="2:3" x14ac:dyDescent="0.25">
      <c r="B106" s="116">
        <v>45603</v>
      </c>
      <c r="C106" s="117">
        <v>24199.35</v>
      </c>
    </row>
    <row r="107" spans="2:3" x14ac:dyDescent="0.25">
      <c r="B107" s="116">
        <v>45602</v>
      </c>
      <c r="C107" s="117">
        <v>24484.05</v>
      </c>
    </row>
    <row r="108" spans="2:3" x14ac:dyDescent="0.25">
      <c r="B108" s="116">
        <v>45601</v>
      </c>
      <c r="C108" s="117">
        <v>24213.3</v>
      </c>
    </row>
    <row r="109" spans="2:3" x14ac:dyDescent="0.25">
      <c r="B109" s="116">
        <v>45600</v>
      </c>
      <c r="C109" s="117">
        <v>23995.35</v>
      </c>
    </row>
    <row r="110" spans="2:3" x14ac:dyDescent="0.25">
      <c r="B110" s="116">
        <v>45597</v>
      </c>
      <c r="C110" s="117">
        <v>24304.35</v>
      </c>
    </row>
    <row r="111" spans="2:3" x14ac:dyDescent="0.25">
      <c r="B111" s="116">
        <v>45596</v>
      </c>
      <c r="C111" s="117">
        <v>24205.35</v>
      </c>
    </row>
    <row r="112" spans="2:3" x14ac:dyDescent="0.25">
      <c r="B112" s="116">
        <v>45595</v>
      </c>
      <c r="C112" s="117">
        <v>24340.85</v>
      </c>
    </row>
    <row r="113" spans="2:3" x14ac:dyDescent="0.25">
      <c r="B113" s="116">
        <v>45594</v>
      </c>
      <c r="C113" s="117">
        <v>24466.85</v>
      </c>
    </row>
    <row r="114" spans="2:3" x14ac:dyDescent="0.25">
      <c r="B114" s="116">
        <v>45593</v>
      </c>
      <c r="C114" s="117">
        <v>24339.15</v>
      </c>
    </row>
    <row r="115" spans="2:3" x14ac:dyDescent="0.25">
      <c r="B115" s="116">
        <v>45590</v>
      </c>
      <c r="C115" s="117">
        <v>24180.799999999999</v>
      </c>
    </row>
    <row r="116" spans="2:3" x14ac:dyDescent="0.25">
      <c r="B116" s="116">
        <v>45589</v>
      </c>
      <c r="C116" s="117">
        <v>24399.4</v>
      </c>
    </row>
    <row r="117" spans="2:3" x14ac:dyDescent="0.25">
      <c r="B117" s="116">
        <v>45588</v>
      </c>
      <c r="C117" s="117">
        <v>24435.5</v>
      </c>
    </row>
    <row r="118" spans="2:3" x14ac:dyDescent="0.25">
      <c r="B118" s="116">
        <v>45587</v>
      </c>
      <c r="C118" s="117">
        <v>24472.1</v>
      </c>
    </row>
    <row r="119" spans="2:3" x14ac:dyDescent="0.25">
      <c r="B119" s="116">
        <v>45586</v>
      </c>
      <c r="C119" s="117">
        <v>24781.1</v>
      </c>
    </row>
    <row r="120" spans="2:3" x14ac:dyDescent="0.25">
      <c r="B120" s="116">
        <v>45583</v>
      </c>
      <c r="C120" s="117">
        <v>24854.05</v>
      </c>
    </row>
    <row r="121" spans="2:3" x14ac:dyDescent="0.25">
      <c r="B121" s="116">
        <v>45582</v>
      </c>
      <c r="C121" s="117">
        <v>24749.85</v>
      </c>
    </row>
    <row r="122" spans="2:3" x14ac:dyDescent="0.25">
      <c r="B122" s="116">
        <v>45581</v>
      </c>
      <c r="C122" s="117">
        <v>24971.3</v>
      </c>
    </row>
    <row r="123" spans="2:3" x14ac:dyDescent="0.25">
      <c r="B123" s="116">
        <v>45580</v>
      </c>
      <c r="C123" s="117">
        <v>25057.35</v>
      </c>
    </row>
    <row r="124" spans="2:3" x14ac:dyDescent="0.25">
      <c r="B124" s="116">
        <v>45579</v>
      </c>
      <c r="C124" s="117">
        <v>25127.95</v>
      </c>
    </row>
    <row r="125" spans="2:3" x14ac:dyDescent="0.25">
      <c r="B125" s="116">
        <v>45576</v>
      </c>
      <c r="C125" s="117">
        <v>24964.25</v>
      </c>
    </row>
    <row r="126" spans="2:3" x14ac:dyDescent="0.25">
      <c r="B126" s="116">
        <v>45575</v>
      </c>
      <c r="C126" s="117">
        <v>24998.45</v>
      </c>
    </row>
    <row r="127" spans="2:3" x14ac:dyDescent="0.25">
      <c r="B127" s="116">
        <v>45574</v>
      </c>
      <c r="C127" s="117">
        <v>24981.95</v>
      </c>
    </row>
    <row r="128" spans="2:3" x14ac:dyDescent="0.25">
      <c r="B128" s="116">
        <v>45573</v>
      </c>
      <c r="C128" s="117">
        <v>25013.15</v>
      </c>
    </row>
    <row r="129" spans="2:3" x14ac:dyDescent="0.25">
      <c r="B129" s="116">
        <v>45572</v>
      </c>
      <c r="C129" s="117">
        <v>24795.75</v>
      </c>
    </row>
    <row r="130" spans="2:3" x14ac:dyDescent="0.25">
      <c r="B130" s="116">
        <v>45569</v>
      </c>
      <c r="C130" s="117">
        <v>25014.6</v>
      </c>
    </row>
    <row r="131" spans="2:3" x14ac:dyDescent="0.25">
      <c r="B131" s="116">
        <v>45568</v>
      </c>
      <c r="C131" s="117">
        <v>25250.1</v>
      </c>
    </row>
    <row r="132" spans="2:3" x14ac:dyDescent="0.25">
      <c r="B132" s="116">
        <v>45566</v>
      </c>
      <c r="C132" s="117">
        <v>25796.9</v>
      </c>
    </row>
    <row r="133" spans="2:3" x14ac:dyDescent="0.25">
      <c r="B133" s="116">
        <v>45565</v>
      </c>
      <c r="C133" s="117">
        <v>25810.85</v>
      </c>
    </row>
    <row r="134" spans="2:3" x14ac:dyDescent="0.25">
      <c r="B134" s="116">
        <v>45562</v>
      </c>
      <c r="C134" s="117">
        <v>26178.95</v>
      </c>
    </row>
    <row r="135" spans="2:3" x14ac:dyDescent="0.25">
      <c r="B135" s="116">
        <v>45561</v>
      </c>
      <c r="C135" s="117">
        <v>26216.05</v>
      </c>
    </row>
    <row r="136" spans="2:3" x14ac:dyDescent="0.25">
      <c r="B136" s="116">
        <v>45560</v>
      </c>
      <c r="C136" s="117">
        <v>26004.15</v>
      </c>
    </row>
    <row r="137" spans="2:3" x14ac:dyDescent="0.25">
      <c r="B137" s="116">
        <v>45559</v>
      </c>
      <c r="C137" s="117">
        <v>25940.400000000001</v>
      </c>
    </row>
    <row r="138" spans="2:3" x14ac:dyDescent="0.25">
      <c r="B138" s="116">
        <v>45558</v>
      </c>
      <c r="C138" s="117">
        <v>25939.05</v>
      </c>
    </row>
    <row r="139" spans="2:3" x14ac:dyDescent="0.25">
      <c r="B139" s="116">
        <v>45555</v>
      </c>
      <c r="C139" s="117">
        <v>25790.95</v>
      </c>
    </row>
    <row r="140" spans="2:3" x14ac:dyDescent="0.25">
      <c r="B140" s="116">
        <v>45554</v>
      </c>
      <c r="C140" s="117">
        <v>25415.8</v>
      </c>
    </row>
    <row r="141" spans="2:3" x14ac:dyDescent="0.25">
      <c r="B141" s="116">
        <v>45553</v>
      </c>
      <c r="C141" s="117">
        <v>25377.55</v>
      </c>
    </row>
    <row r="142" spans="2:3" x14ac:dyDescent="0.25">
      <c r="B142" s="116">
        <v>45552</v>
      </c>
      <c r="C142" s="117">
        <v>25418.55</v>
      </c>
    </row>
    <row r="143" spans="2:3" x14ac:dyDescent="0.25">
      <c r="B143" s="116">
        <v>45551</v>
      </c>
      <c r="C143" s="117">
        <v>25383.75</v>
      </c>
    </row>
    <row r="144" spans="2:3" x14ac:dyDescent="0.25">
      <c r="B144" s="116">
        <v>45548</v>
      </c>
      <c r="C144" s="117">
        <v>25356.5</v>
      </c>
    </row>
    <row r="145" spans="2:3" x14ac:dyDescent="0.25">
      <c r="B145" s="116">
        <v>45547</v>
      </c>
      <c r="C145" s="117">
        <v>25388.9</v>
      </c>
    </row>
    <row r="146" spans="2:3" x14ac:dyDescent="0.25">
      <c r="B146" s="116">
        <v>45546</v>
      </c>
      <c r="C146" s="117">
        <v>24918.45</v>
      </c>
    </row>
    <row r="147" spans="2:3" x14ac:dyDescent="0.25">
      <c r="B147" s="116">
        <v>45545</v>
      </c>
      <c r="C147" s="117">
        <v>25041.1</v>
      </c>
    </row>
    <row r="148" spans="2:3" x14ac:dyDescent="0.25">
      <c r="B148" s="116">
        <v>45544</v>
      </c>
      <c r="C148" s="117">
        <v>24936.400000000001</v>
      </c>
    </row>
    <row r="149" spans="2:3" x14ac:dyDescent="0.25">
      <c r="B149" s="116">
        <v>45541</v>
      </c>
      <c r="C149" s="117">
        <v>24852.15</v>
      </c>
    </row>
    <row r="150" spans="2:3" x14ac:dyDescent="0.25">
      <c r="B150" s="116">
        <v>45540</v>
      </c>
      <c r="C150" s="117">
        <v>25145.1</v>
      </c>
    </row>
    <row r="151" spans="2:3" x14ac:dyDescent="0.25">
      <c r="B151" s="116">
        <v>45539</v>
      </c>
      <c r="C151" s="117">
        <v>25198.7</v>
      </c>
    </row>
    <row r="152" spans="2:3" x14ac:dyDescent="0.25">
      <c r="B152" s="116">
        <v>45538</v>
      </c>
      <c r="C152" s="117">
        <v>25279.85</v>
      </c>
    </row>
    <row r="153" spans="2:3" x14ac:dyDescent="0.25">
      <c r="B153" s="116">
        <v>45537</v>
      </c>
      <c r="C153" s="117">
        <v>25278.7</v>
      </c>
    </row>
    <row r="154" spans="2:3" x14ac:dyDescent="0.25">
      <c r="B154" s="116">
        <v>45534</v>
      </c>
      <c r="C154" s="117">
        <v>25235.9</v>
      </c>
    </row>
    <row r="155" spans="2:3" x14ac:dyDescent="0.25">
      <c r="B155" s="116">
        <v>45533</v>
      </c>
      <c r="C155" s="117">
        <v>25151.95</v>
      </c>
    </row>
    <row r="156" spans="2:3" x14ac:dyDescent="0.25">
      <c r="B156" s="116">
        <v>45532</v>
      </c>
      <c r="C156" s="117">
        <v>25052.35</v>
      </c>
    </row>
    <row r="157" spans="2:3" x14ac:dyDescent="0.25">
      <c r="B157" s="116">
        <v>45531</v>
      </c>
      <c r="C157" s="117">
        <v>25017.75</v>
      </c>
    </row>
    <row r="158" spans="2:3" x14ac:dyDescent="0.25">
      <c r="B158" s="116">
        <v>45530</v>
      </c>
      <c r="C158" s="117">
        <v>25010.6</v>
      </c>
    </row>
    <row r="159" spans="2:3" x14ac:dyDescent="0.25">
      <c r="B159" s="116">
        <v>45527</v>
      </c>
      <c r="C159" s="117">
        <v>24823.15</v>
      </c>
    </row>
    <row r="160" spans="2:3" x14ac:dyDescent="0.25">
      <c r="B160" s="116">
        <v>45526</v>
      </c>
      <c r="C160" s="117">
        <v>24811.5</v>
      </c>
    </row>
    <row r="161" spans="2:3" x14ac:dyDescent="0.25">
      <c r="B161" s="116">
        <v>45525</v>
      </c>
      <c r="C161" s="117">
        <v>24770.2</v>
      </c>
    </row>
    <row r="162" spans="2:3" x14ac:dyDescent="0.25">
      <c r="B162" s="116">
        <v>45524</v>
      </c>
      <c r="C162" s="117">
        <v>24698.85</v>
      </c>
    </row>
    <row r="163" spans="2:3" x14ac:dyDescent="0.25">
      <c r="B163" s="116">
        <v>45523</v>
      </c>
      <c r="C163" s="117">
        <v>24572.65</v>
      </c>
    </row>
    <row r="164" spans="2:3" x14ac:dyDescent="0.25">
      <c r="B164" s="116">
        <v>45520</v>
      </c>
      <c r="C164" s="117">
        <v>24541.15</v>
      </c>
    </row>
    <row r="165" spans="2:3" x14ac:dyDescent="0.25">
      <c r="B165" s="116">
        <v>45518</v>
      </c>
      <c r="C165" s="117">
        <v>24143.75</v>
      </c>
    </row>
    <row r="166" spans="2:3" x14ac:dyDescent="0.25">
      <c r="B166" s="116">
        <v>45517</v>
      </c>
      <c r="C166" s="117">
        <v>24139</v>
      </c>
    </row>
    <row r="167" spans="2:3" x14ac:dyDescent="0.25">
      <c r="B167" s="116">
        <v>45516</v>
      </c>
      <c r="C167" s="117">
        <v>24347</v>
      </c>
    </row>
    <row r="168" spans="2:3" x14ac:dyDescent="0.25">
      <c r="B168" s="116">
        <v>45513</v>
      </c>
      <c r="C168" s="117">
        <v>24367.5</v>
      </c>
    </row>
    <row r="169" spans="2:3" x14ac:dyDescent="0.25">
      <c r="B169" s="116">
        <v>45512</v>
      </c>
      <c r="C169" s="117">
        <v>24117</v>
      </c>
    </row>
    <row r="170" spans="2:3" x14ac:dyDescent="0.25">
      <c r="B170" s="116">
        <v>45511</v>
      </c>
      <c r="C170" s="117">
        <v>24297.5</v>
      </c>
    </row>
    <row r="171" spans="2:3" x14ac:dyDescent="0.25">
      <c r="B171" s="116">
        <v>45510</v>
      </c>
      <c r="C171" s="117">
        <v>23992.55</v>
      </c>
    </row>
    <row r="172" spans="2:3" x14ac:dyDescent="0.25">
      <c r="B172" s="116">
        <v>45509</v>
      </c>
      <c r="C172" s="117">
        <v>24055.599999999999</v>
      </c>
    </row>
    <row r="173" spans="2:3" x14ac:dyDescent="0.25">
      <c r="B173" s="116">
        <v>45506</v>
      </c>
      <c r="C173" s="117">
        <v>24717.7</v>
      </c>
    </row>
    <row r="174" spans="2:3" x14ac:dyDescent="0.25">
      <c r="B174" s="116">
        <v>45505</v>
      </c>
      <c r="C174" s="117">
        <v>25010.9</v>
      </c>
    </row>
    <row r="175" spans="2:3" x14ac:dyDescent="0.25">
      <c r="B175" s="116">
        <v>45504</v>
      </c>
      <c r="C175" s="117">
        <v>24951.15</v>
      </c>
    </row>
    <row r="176" spans="2:3" x14ac:dyDescent="0.25">
      <c r="B176" s="116">
        <v>45503</v>
      </c>
      <c r="C176" s="117">
        <v>24857.3</v>
      </c>
    </row>
    <row r="177" spans="2:3" x14ac:dyDescent="0.25">
      <c r="B177" s="116">
        <v>45502</v>
      </c>
      <c r="C177" s="117">
        <v>24836.1</v>
      </c>
    </row>
    <row r="178" spans="2:3" x14ac:dyDescent="0.25">
      <c r="B178" s="116">
        <v>45499</v>
      </c>
      <c r="C178" s="117">
        <v>24834.85</v>
      </c>
    </row>
    <row r="179" spans="2:3" x14ac:dyDescent="0.25">
      <c r="B179" s="116">
        <v>45498</v>
      </c>
      <c r="C179" s="117">
        <v>24406.1</v>
      </c>
    </row>
    <row r="180" spans="2:3" x14ac:dyDescent="0.25">
      <c r="B180" s="116">
        <v>45497</v>
      </c>
      <c r="C180" s="117">
        <v>24413.5</v>
      </c>
    </row>
    <row r="181" spans="2:3" x14ac:dyDescent="0.25">
      <c r="B181" s="116">
        <v>45496</v>
      </c>
      <c r="C181" s="117">
        <v>24479.05</v>
      </c>
    </row>
    <row r="182" spans="2:3" x14ac:dyDescent="0.25">
      <c r="B182" s="116">
        <v>45495</v>
      </c>
      <c r="C182" s="117">
        <v>24509.25</v>
      </c>
    </row>
    <row r="183" spans="2:3" x14ac:dyDescent="0.25">
      <c r="B183" s="116">
        <v>45492</v>
      </c>
      <c r="C183" s="117">
        <v>24530.9</v>
      </c>
    </row>
    <row r="184" spans="2:3" x14ac:dyDescent="0.25">
      <c r="B184" s="116">
        <v>45491</v>
      </c>
      <c r="C184" s="117">
        <v>24800.85</v>
      </c>
    </row>
    <row r="185" spans="2:3" x14ac:dyDescent="0.25">
      <c r="B185" s="116">
        <v>45489</v>
      </c>
      <c r="C185" s="117">
        <v>24613</v>
      </c>
    </row>
    <row r="186" spans="2:3" x14ac:dyDescent="0.25">
      <c r="B186" s="116">
        <v>45488</v>
      </c>
      <c r="C186" s="117">
        <v>24586.7</v>
      </c>
    </row>
    <row r="187" spans="2:3" x14ac:dyDescent="0.25">
      <c r="B187" s="116">
        <v>45485</v>
      </c>
      <c r="C187" s="117">
        <v>24502.15</v>
      </c>
    </row>
    <row r="188" spans="2:3" x14ac:dyDescent="0.25">
      <c r="B188" s="116">
        <v>45484</v>
      </c>
      <c r="C188" s="117">
        <v>24315.95</v>
      </c>
    </row>
    <row r="189" spans="2:3" x14ac:dyDescent="0.25">
      <c r="B189" s="116">
        <v>45483</v>
      </c>
      <c r="C189" s="117">
        <v>24324.45</v>
      </c>
    </row>
    <row r="190" spans="2:3" x14ac:dyDescent="0.25">
      <c r="B190" s="116">
        <v>45482</v>
      </c>
      <c r="C190" s="117">
        <v>24433.200000000001</v>
      </c>
    </row>
    <row r="191" spans="2:3" x14ac:dyDescent="0.25">
      <c r="B191" s="116">
        <v>45481</v>
      </c>
      <c r="C191" s="117">
        <v>24320.55</v>
      </c>
    </row>
    <row r="192" spans="2:3" x14ac:dyDescent="0.25">
      <c r="B192" s="116">
        <v>45478</v>
      </c>
      <c r="C192" s="117">
        <v>24323.85</v>
      </c>
    </row>
    <row r="193" spans="2:3" x14ac:dyDescent="0.25">
      <c r="B193" s="116">
        <v>45477</v>
      </c>
      <c r="C193" s="117">
        <v>24302.15</v>
      </c>
    </row>
    <row r="194" spans="2:3" x14ac:dyDescent="0.25">
      <c r="B194" s="116">
        <v>45476</v>
      </c>
      <c r="C194" s="117">
        <v>24286.5</v>
      </c>
    </row>
    <row r="195" spans="2:3" x14ac:dyDescent="0.25">
      <c r="B195" s="116">
        <v>45475</v>
      </c>
      <c r="C195" s="117">
        <v>24123.85</v>
      </c>
    </row>
    <row r="196" spans="2:3" x14ac:dyDescent="0.25">
      <c r="B196" s="116">
        <v>45474</v>
      </c>
      <c r="C196" s="117">
        <v>24141.95</v>
      </c>
    </row>
    <row r="197" spans="2:3" x14ac:dyDescent="0.25">
      <c r="B197" s="116">
        <v>45471</v>
      </c>
      <c r="C197" s="117">
        <v>24010.6</v>
      </c>
    </row>
    <row r="198" spans="2:3" x14ac:dyDescent="0.25">
      <c r="B198" s="116">
        <v>45470</v>
      </c>
      <c r="C198" s="117">
        <v>24044.5</v>
      </c>
    </row>
    <row r="199" spans="2:3" x14ac:dyDescent="0.25">
      <c r="B199" s="116">
        <v>45469</v>
      </c>
      <c r="C199" s="117">
        <v>23868.799999999999</v>
      </c>
    </row>
    <row r="200" spans="2:3" x14ac:dyDescent="0.25">
      <c r="B200" s="116">
        <v>45468</v>
      </c>
      <c r="C200" s="117">
        <v>23721.3</v>
      </c>
    </row>
    <row r="201" spans="2:3" x14ac:dyDescent="0.25">
      <c r="B201" s="116">
        <v>45467</v>
      </c>
      <c r="C201" s="117">
        <v>23537.85</v>
      </c>
    </row>
    <row r="202" spans="2:3" x14ac:dyDescent="0.25">
      <c r="B202" s="116">
        <v>45464</v>
      </c>
      <c r="C202" s="117">
        <v>23501.1</v>
      </c>
    </row>
    <row r="203" spans="2:3" x14ac:dyDescent="0.25">
      <c r="B203" s="116">
        <v>45463</v>
      </c>
      <c r="C203" s="117">
        <v>23567</v>
      </c>
    </row>
    <row r="204" spans="2:3" x14ac:dyDescent="0.25">
      <c r="B204" s="116">
        <v>45462</v>
      </c>
      <c r="C204" s="117">
        <v>23516</v>
      </c>
    </row>
    <row r="205" spans="2:3" x14ac:dyDescent="0.25">
      <c r="B205" s="116">
        <v>45461</v>
      </c>
      <c r="C205" s="117">
        <v>23557.9</v>
      </c>
    </row>
    <row r="206" spans="2:3" x14ac:dyDescent="0.25">
      <c r="B206" s="116">
        <v>45457</v>
      </c>
      <c r="C206" s="117">
        <v>23465.599999999999</v>
      </c>
    </row>
    <row r="207" spans="2:3" x14ac:dyDescent="0.25">
      <c r="B207" s="116">
        <v>45456</v>
      </c>
      <c r="C207" s="117">
        <v>23398.9</v>
      </c>
    </row>
    <row r="208" spans="2:3" x14ac:dyDescent="0.25">
      <c r="B208" s="116">
        <v>45455</v>
      </c>
      <c r="C208" s="117">
        <v>23322.95</v>
      </c>
    </row>
    <row r="209" spans="2:3" x14ac:dyDescent="0.25">
      <c r="B209" s="116">
        <v>45454</v>
      </c>
      <c r="C209" s="117">
        <v>23264.85</v>
      </c>
    </row>
    <row r="210" spans="2:3" x14ac:dyDescent="0.25">
      <c r="B210" s="116">
        <v>45453</v>
      </c>
      <c r="C210" s="117">
        <v>23259.200000000001</v>
      </c>
    </row>
    <row r="211" spans="2:3" x14ac:dyDescent="0.25">
      <c r="B211" s="116">
        <v>45450</v>
      </c>
      <c r="C211" s="117">
        <v>23290.15</v>
      </c>
    </row>
    <row r="212" spans="2:3" x14ac:dyDescent="0.25">
      <c r="B212" s="116">
        <v>45449</v>
      </c>
      <c r="C212" s="117">
        <v>22821.4</v>
      </c>
    </row>
    <row r="213" spans="2:3" x14ac:dyDescent="0.25">
      <c r="B213" s="116">
        <v>45448</v>
      </c>
      <c r="C213" s="117">
        <v>22620.35</v>
      </c>
    </row>
    <row r="214" spans="2:3" x14ac:dyDescent="0.25">
      <c r="B214" s="116">
        <v>45447</v>
      </c>
      <c r="C214" s="117">
        <v>21884.5</v>
      </c>
    </row>
    <row r="215" spans="2:3" x14ac:dyDescent="0.25">
      <c r="B215" s="116">
        <v>45446</v>
      </c>
      <c r="C215" s="117">
        <v>23263.9</v>
      </c>
    </row>
    <row r="216" spans="2:3" x14ac:dyDescent="0.25">
      <c r="B216" s="116">
        <v>45443</v>
      </c>
      <c r="C216" s="117">
        <v>22530.7</v>
      </c>
    </row>
    <row r="217" spans="2:3" x14ac:dyDescent="0.25">
      <c r="B217" s="116">
        <v>45442</v>
      </c>
      <c r="C217" s="117">
        <v>22488.65</v>
      </c>
    </row>
    <row r="218" spans="2:3" x14ac:dyDescent="0.25">
      <c r="B218" s="116">
        <v>45441</v>
      </c>
      <c r="C218" s="117">
        <v>22704.7</v>
      </c>
    </row>
    <row r="219" spans="2:3" x14ac:dyDescent="0.25">
      <c r="B219" s="116">
        <v>45440</v>
      </c>
      <c r="C219" s="117">
        <v>22888.15</v>
      </c>
    </row>
    <row r="220" spans="2:3" x14ac:dyDescent="0.25">
      <c r="B220" s="116">
        <v>45439</v>
      </c>
      <c r="C220" s="117">
        <v>22932.45</v>
      </c>
    </row>
    <row r="221" spans="2:3" x14ac:dyDescent="0.25">
      <c r="B221" s="116">
        <v>45436</v>
      </c>
      <c r="C221" s="117">
        <v>22957.1</v>
      </c>
    </row>
    <row r="222" spans="2:3" x14ac:dyDescent="0.25">
      <c r="B222" s="116">
        <v>45435</v>
      </c>
      <c r="C222" s="117">
        <v>22967.65</v>
      </c>
    </row>
    <row r="223" spans="2:3" x14ac:dyDescent="0.25">
      <c r="B223" s="116">
        <v>45434</v>
      </c>
      <c r="C223" s="117">
        <v>22597.8</v>
      </c>
    </row>
    <row r="224" spans="2:3" x14ac:dyDescent="0.25">
      <c r="B224" s="116">
        <v>45433</v>
      </c>
      <c r="C224" s="117">
        <v>22529.05</v>
      </c>
    </row>
    <row r="225" spans="2:3" x14ac:dyDescent="0.25">
      <c r="B225" s="116">
        <v>45430</v>
      </c>
      <c r="C225" s="117">
        <v>22502</v>
      </c>
    </row>
    <row r="226" spans="2:3" x14ac:dyDescent="0.25">
      <c r="B226" s="116">
        <v>45429</v>
      </c>
      <c r="C226" s="117">
        <v>22466.1</v>
      </c>
    </row>
    <row r="227" spans="2:3" x14ac:dyDescent="0.25">
      <c r="B227" s="116">
        <v>45428</v>
      </c>
      <c r="C227" s="117">
        <v>22403.85</v>
      </c>
    </row>
    <row r="228" spans="2:3" x14ac:dyDescent="0.25">
      <c r="B228" s="116">
        <v>45427</v>
      </c>
      <c r="C228" s="117">
        <v>22200.55</v>
      </c>
    </row>
    <row r="229" spans="2:3" x14ac:dyDescent="0.25">
      <c r="B229" s="116">
        <v>45426</v>
      </c>
      <c r="C229" s="117">
        <v>22217.85</v>
      </c>
    </row>
    <row r="230" spans="2:3" x14ac:dyDescent="0.25">
      <c r="B230" s="116">
        <v>45425</v>
      </c>
      <c r="C230" s="117">
        <v>22104.05</v>
      </c>
    </row>
    <row r="231" spans="2:3" x14ac:dyDescent="0.25">
      <c r="B231" s="116">
        <v>45422</v>
      </c>
      <c r="C231" s="117">
        <v>22055.200000000001</v>
      </c>
    </row>
    <row r="232" spans="2:3" x14ac:dyDescent="0.25">
      <c r="B232" s="116">
        <v>45421</v>
      </c>
      <c r="C232" s="117">
        <v>21957.5</v>
      </c>
    </row>
    <row r="233" spans="2:3" x14ac:dyDescent="0.25">
      <c r="B233" s="116">
        <v>45420</v>
      </c>
      <c r="C233" s="117">
        <v>22302.5</v>
      </c>
    </row>
    <row r="234" spans="2:3" x14ac:dyDescent="0.25">
      <c r="B234" s="116">
        <v>45419</v>
      </c>
      <c r="C234" s="117">
        <v>22302.5</v>
      </c>
    </row>
    <row r="235" spans="2:3" x14ac:dyDescent="0.25">
      <c r="B235" s="116">
        <v>45418</v>
      </c>
      <c r="C235" s="117">
        <v>22442.7</v>
      </c>
    </row>
    <row r="236" spans="2:3" x14ac:dyDescent="0.25">
      <c r="B236" s="116">
        <v>45415</v>
      </c>
      <c r="C236" s="117">
        <v>22475.85</v>
      </c>
    </row>
    <row r="237" spans="2:3" x14ac:dyDescent="0.25">
      <c r="B237" s="116">
        <v>45414</v>
      </c>
      <c r="C237" s="117">
        <v>22648.2</v>
      </c>
    </row>
    <row r="238" spans="2:3" x14ac:dyDescent="0.25">
      <c r="B238" s="116">
        <v>45412</v>
      </c>
      <c r="C238" s="117">
        <v>22604.85</v>
      </c>
    </row>
    <row r="239" spans="2:3" x14ac:dyDescent="0.25">
      <c r="B239" s="116">
        <v>45411</v>
      </c>
      <c r="C239" s="117">
        <v>22643.4</v>
      </c>
    </row>
    <row r="240" spans="2:3" x14ac:dyDescent="0.25">
      <c r="B240" s="116">
        <v>45408</v>
      </c>
      <c r="C240" s="117">
        <v>22419.95</v>
      </c>
    </row>
    <row r="241" spans="2:3" x14ac:dyDescent="0.25">
      <c r="B241" s="116">
        <v>45407</v>
      </c>
      <c r="C241" s="117">
        <v>22570.35</v>
      </c>
    </row>
    <row r="242" spans="2:3" x14ac:dyDescent="0.25">
      <c r="B242" s="116">
        <v>45406</v>
      </c>
      <c r="C242" s="117">
        <v>22402.400000000001</v>
      </c>
    </row>
    <row r="243" spans="2:3" x14ac:dyDescent="0.25">
      <c r="B243" s="116">
        <v>45405</v>
      </c>
      <c r="C243" s="117">
        <v>22368</v>
      </c>
    </row>
    <row r="244" spans="2:3" x14ac:dyDescent="0.25">
      <c r="B244" s="116">
        <v>45404</v>
      </c>
      <c r="C244" s="117">
        <v>22336.400000000001</v>
      </c>
    </row>
    <row r="245" spans="2:3" x14ac:dyDescent="0.25">
      <c r="B245" s="116">
        <v>45401</v>
      </c>
      <c r="C245" s="117">
        <v>22147</v>
      </c>
    </row>
    <row r="246" spans="2:3" x14ac:dyDescent="0.25">
      <c r="B246" s="116">
        <v>45400</v>
      </c>
      <c r="C246" s="117">
        <v>21995.85</v>
      </c>
    </row>
    <row r="247" spans="2:3" x14ac:dyDescent="0.25">
      <c r="B247" s="116">
        <v>45398</v>
      </c>
      <c r="C247" s="117">
        <v>22147.9</v>
      </c>
    </row>
    <row r="248" spans="2:3" x14ac:dyDescent="0.25">
      <c r="B248" s="116">
        <v>45397</v>
      </c>
      <c r="C248" s="117">
        <v>22272.5</v>
      </c>
    </row>
    <row r="249" spans="2:3" x14ac:dyDescent="0.25">
      <c r="B249" s="116">
        <v>45394</v>
      </c>
      <c r="C249" s="117">
        <v>22519.4</v>
      </c>
    </row>
    <row r="250" spans="2:3" x14ac:dyDescent="0.25">
      <c r="B250" s="116">
        <v>45392</v>
      </c>
      <c r="C250" s="117">
        <v>22753.8</v>
      </c>
    </row>
    <row r="251" spans="2:3" x14ac:dyDescent="0.25">
      <c r="B251" s="116">
        <v>45391</v>
      </c>
      <c r="C251" s="117">
        <v>22642.75</v>
      </c>
    </row>
    <row r="252" spans="2:3" x14ac:dyDescent="0.25">
      <c r="B252" s="116">
        <v>45390</v>
      </c>
      <c r="C252" s="117">
        <v>22666.3</v>
      </c>
    </row>
    <row r="253" spans="2:3" x14ac:dyDescent="0.25">
      <c r="B253" s="116">
        <v>45387</v>
      </c>
      <c r="C253" s="117">
        <v>22513.7</v>
      </c>
    </row>
    <row r="254" spans="2:3" x14ac:dyDescent="0.25">
      <c r="B254" s="116">
        <v>45386</v>
      </c>
      <c r="C254" s="117">
        <v>22514.65</v>
      </c>
    </row>
    <row r="255" spans="2:3" x14ac:dyDescent="0.25">
      <c r="B255" s="116">
        <v>45385</v>
      </c>
      <c r="C255" s="117">
        <v>22434.65</v>
      </c>
    </row>
    <row r="256" spans="2:3" x14ac:dyDescent="0.25">
      <c r="B256" s="116">
        <v>45384</v>
      </c>
      <c r="C256" s="117">
        <v>22453.3</v>
      </c>
    </row>
    <row r="257" spans="2:3" x14ac:dyDescent="0.25">
      <c r="B257" s="116">
        <v>45383</v>
      </c>
      <c r="C257" s="117">
        <v>22462</v>
      </c>
    </row>
    <row r="258" spans="2:3" x14ac:dyDescent="0.25">
      <c r="B258" s="116">
        <v>45379</v>
      </c>
      <c r="C258" s="117">
        <v>22326.9</v>
      </c>
    </row>
    <row r="259" spans="2:3" x14ac:dyDescent="0.25">
      <c r="B259" s="116">
        <v>45378</v>
      </c>
      <c r="C259" s="117">
        <v>22123.65</v>
      </c>
    </row>
    <row r="260" spans="2:3" x14ac:dyDescent="0.25">
      <c r="B260" s="116">
        <v>45377</v>
      </c>
      <c r="C260" s="117">
        <v>22004.7</v>
      </c>
    </row>
    <row r="261" spans="2:3" x14ac:dyDescent="0.25">
      <c r="B261" s="116">
        <v>45373</v>
      </c>
      <c r="C261" s="117">
        <v>22096.75</v>
      </c>
    </row>
    <row r="262" spans="2:3" x14ac:dyDescent="0.25">
      <c r="B262" s="116">
        <v>45372</v>
      </c>
      <c r="C262" s="117">
        <v>22011.95</v>
      </c>
    </row>
    <row r="263" spans="2:3" x14ac:dyDescent="0.25">
      <c r="B263" s="116">
        <v>45371</v>
      </c>
      <c r="C263" s="117">
        <v>21839.1</v>
      </c>
    </row>
    <row r="264" spans="2:3" x14ac:dyDescent="0.25">
      <c r="B264" s="116">
        <v>45370</v>
      </c>
      <c r="C264" s="117">
        <v>21817.45</v>
      </c>
    </row>
    <row r="265" spans="2:3" x14ac:dyDescent="0.25">
      <c r="B265" s="116">
        <v>45369</v>
      </c>
      <c r="C265" s="117">
        <v>22055.7</v>
      </c>
    </row>
    <row r="266" spans="2:3" x14ac:dyDescent="0.25">
      <c r="B266" s="116">
        <v>45366</v>
      </c>
      <c r="C266" s="117">
        <v>22023.35</v>
      </c>
    </row>
    <row r="267" spans="2:3" x14ac:dyDescent="0.25">
      <c r="B267" s="116">
        <v>45365</v>
      </c>
      <c r="C267" s="117">
        <v>22146.65</v>
      </c>
    </row>
    <row r="268" spans="2:3" x14ac:dyDescent="0.25">
      <c r="B268" s="116">
        <v>45364</v>
      </c>
      <c r="C268" s="117">
        <v>21997.7</v>
      </c>
    </row>
    <row r="269" spans="2:3" x14ac:dyDescent="0.25">
      <c r="B269" s="116">
        <v>45363</v>
      </c>
      <c r="C269" s="117">
        <v>22335.7</v>
      </c>
    </row>
    <row r="270" spans="2:3" x14ac:dyDescent="0.25">
      <c r="B270" s="116">
        <v>45362</v>
      </c>
      <c r="C270" s="117">
        <v>22332.65</v>
      </c>
    </row>
    <row r="271" spans="2:3" x14ac:dyDescent="0.25">
      <c r="B271" s="116">
        <v>45358</v>
      </c>
      <c r="C271" s="117">
        <v>22493.55</v>
      </c>
    </row>
    <row r="272" spans="2:3" x14ac:dyDescent="0.25">
      <c r="B272" s="116">
        <v>45357</v>
      </c>
      <c r="C272" s="117">
        <v>22474.05</v>
      </c>
    </row>
    <row r="273" spans="2:3" x14ac:dyDescent="0.25">
      <c r="B273" s="116">
        <v>45356</v>
      </c>
      <c r="C273" s="117">
        <v>22356.3</v>
      </c>
    </row>
    <row r="274" spans="2:3" x14ac:dyDescent="0.25">
      <c r="B274" s="116">
        <v>45355</v>
      </c>
      <c r="C274" s="117">
        <v>22405.599999999999</v>
      </c>
    </row>
    <row r="275" spans="2:3" x14ac:dyDescent="0.25">
      <c r="B275" s="116">
        <v>45353</v>
      </c>
      <c r="C275" s="117">
        <v>22378.400000000001</v>
      </c>
    </row>
    <row r="276" spans="2:3" x14ac:dyDescent="0.25">
      <c r="B276" s="116">
        <v>45352</v>
      </c>
      <c r="C276" s="117">
        <v>22338.75</v>
      </c>
    </row>
    <row r="277" spans="2:3" x14ac:dyDescent="0.25">
      <c r="B277" s="116">
        <v>45351</v>
      </c>
      <c r="C277" s="117">
        <v>21982.799999999999</v>
      </c>
    </row>
    <row r="278" spans="2:3" x14ac:dyDescent="0.25">
      <c r="B278" s="116">
        <v>45350</v>
      </c>
      <c r="C278" s="117">
        <v>21951.15</v>
      </c>
    </row>
    <row r="279" spans="2:3" x14ac:dyDescent="0.25">
      <c r="B279" s="116">
        <v>45349</v>
      </c>
      <c r="C279" s="117">
        <v>22198.35</v>
      </c>
    </row>
    <row r="280" spans="2:3" x14ac:dyDescent="0.25">
      <c r="B280" s="116">
        <v>45348</v>
      </c>
      <c r="C280" s="117">
        <v>22122.05</v>
      </c>
    </row>
    <row r="281" spans="2:3" x14ac:dyDescent="0.25">
      <c r="B281" s="116">
        <v>45345</v>
      </c>
      <c r="C281" s="117">
        <v>22212.7</v>
      </c>
    </row>
    <row r="282" spans="2:3" x14ac:dyDescent="0.25">
      <c r="B282" s="116">
        <v>45344</v>
      </c>
      <c r="C282" s="117">
        <v>22217.45</v>
      </c>
    </row>
    <row r="283" spans="2:3" x14ac:dyDescent="0.25">
      <c r="B283" s="116">
        <v>45343</v>
      </c>
      <c r="C283" s="117">
        <v>22055.05</v>
      </c>
    </row>
    <row r="284" spans="2:3" x14ac:dyDescent="0.25">
      <c r="B284" s="116">
        <v>45342</v>
      </c>
      <c r="C284" s="117">
        <v>22196.95</v>
      </c>
    </row>
    <row r="285" spans="2:3" x14ac:dyDescent="0.25">
      <c r="B285" s="116">
        <v>45341</v>
      </c>
      <c r="C285" s="117">
        <v>22122.25</v>
      </c>
    </row>
    <row r="286" spans="2:3" x14ac:dyDescent="0.25">
      <c r="B286" s="116">
        <v>45338</v>
      </c>
      <c r="C286" s="117">
        <v>22040.7</v>
      </c>
    </row>
    <row r="287" spans="2:3" x14ac:dyDescent="0.25">
      <c r="B287" s="116">
        <v>45337</v>
      </c>
      <c r="C287" s="117">
        <v>21910.75</v>
      </c>
    </row>
    <row r="288" spans="2:3" x14ac:dyDescent="0.25">
      <c r="B288" s="116">
        <v>45336</v>
      </c>
      <c r="C288" s="117">
        <v>21840.05</v>
      </c>
    </row>
    <row r="289" spans="2:3" x14ac:dyDescent="0.25">
      <c r="B289" s="116">
        <v>45335</v>
      </c>
      <c r="C289" s="117">
        <v>21743.25</v>
      </c>
    </row>
    <row r="290" spans="2:3" x14ac:dyDescent="0.25">
      <c r="B290" s="116">
        <v>45334</v>
      </c>
      <c r="C290" s="117">
        <v>21616.05</v>
      </c>
    </row>
    <row r="291" spans="2:3" x14ac:dyDescent="0.25">
      <c r="B291" s="116">
        <v>45331</v>
      </c>
      <c r="C291" s="117">
        <v>21782.5</v>
      </c>
    </row>
    <row r="292" spans="2:3" x14ac:dyDescent="0.25">
      <c r="B292" s="116">
        <v>45330</v>
      </c>
      <c r="C292" s="117">
        <v>21717.95</v>
      </c>
    </row>
    <row r="293" spans="2:3" x14ac:dyDescent="0.25">
      <c r="B293" s="116">
        <v>45329</v>
      </c>
      <c r="C293" s="117">
        <v>21930.5</v>
      </c>
    </row>
    <row r="294" spans="2:3" x14ac:dyDescent="0.25">
      <c r="B294" s="116">
        <v>45328</v>
      </c>
      <c r="C294" s="117">
        <v>21929.4</v>
      </c>
    </row>
    <row r="295" spans="2:3" x14ac:dyDescent="0.25">
      <c r="B295" s="116">
        <v>45327</v>
      </c>
      <c r="C295" s="117">
        <v>21771.7</v>
      </c>
    </row>
    <row r="296" spans="2:3" x14ac:dyDescent="0.25">
      <c r="B296" s="116">
        <v>45324</v>
      </c>
      <c r="C296" s="117">
        <v>21853.8</v>
      </c>
    </row>
    <row r="297" spans="2:3" x14ac:dyDescent="0.25">
      <c r="B297" s="116">
        <v>45323</v>
      </c>
      <c r="C297" s="117">
        <v>21697.45</v>
      </c>
    </row>
    <row r="298" spans="2:3" x14ac:dyDescent="0.25">
      <c r="B298" s="116">
        <v>45322</v>
      </c>
      <c r="C298" s="117">
        <v>21725.7</v>
      </c>
    </row>
    <row r="299" spans="2:3" x14ac:dyDescent="0.25">
      <c r="B299" s="116">
        <v>45321</v>
      </c>
      <c r="C299" s="117">
        <v>21522.1</v>
      </c>
    </row>
    <row r="300" spans="2:3" x14ac:dyDescent="0.25">
      <c r="B300" s="116">
        <v>45320</v>
      </c>
      <c r="C300" s="117">
        <v>21737.599999999999</v>
      </c>
    </row>
    <row r="301" spans="2:3" x14ac:dyDescent="0.25">
      <c r="B301" s="116">
        <v>45316</v>
      </c>
      <c r="C301" s="117">
        <v>21352.6</v>
      </c>
    </row>
    <row r="302" spans="2:3" x14ac:dyDescent="0.25">
      <c r="B302" s="116">
        <v>45315</v>
      </c>
      <c r="C302" s="117">
        <v>21453.95</v>
      </c>
    </row>
    <row r="303" spans="2:3" x14ac:dyDescent="0.25">
      <c r="B303" s="116">
        <v>45314</v>
      </c>
      <c r="C303" s="117">
        <v>21238.799999999999</v>
      </c>
    </row>
    <row r="304" spans="2:3" x14ac:dyDescent="0.25">
      <c r="B304" s="116">
        <v>45311</v>
      </c>
      <c r="C304" s="117">
        <v>21571.8</v>
      </c>
    </row>
    <row r="305" spans="2:3" x14ac:dyDescent="0.25">
      <c r="B305" s="116">
        <v>45310</v>
      </c>
      <c r="C305" s="117">
        <v>21622.400000000001</v>
      </c>
    </row>
    <row r="306" spans="2:3" x14ac:dyDescent="0.25">
      <c r="B306" s="116">
        <v>45309</v>
      </c>
      <c r="C306" s="117">
        <v>21462.25</v>
      </c>
    </row>
    <row r="307" spans="2:3" x14ac:dyDescent="0.25">
      <c r="B307" s="116">
        <v>45308</v>
      </c>
      <c r="C307" s="117">
        <v>21571.95</v>
      </c>
    </row>
    <row r="308" spans="2:3" x14ac:dyDescent="0.25">
      <c r="B308" s="116">
        <v>45307</v>
      </c>
      <c r="C308" s="117">
        <v>22032.3</v>
      </c>
    </row>
    <row r="309" spans="2:3" x14ac:dyDescent="0.25">
      <c r="B309" s="116">
        <v>45306</v>
      </c>
      <c r="C309" s="117">
        <v>22097.45</v>
      </c>
    </row>
    <row r="310" spans="2:3" x14ac:dyDescent="0.25">
      <c r="B310" s="116">
        <v>45303</v>
      </c>
      <c r="C310" s="117">
        <v>21894.55</v>
      </c>
    </row>
    <row r="311" spans="2:3" x14ac:dyDescent="0.25">
      <c r="B311" s="116">
        <v>45302</v>
      </c>
      <c r="C311" s="117">
        <v>21647.200000000001</v>
      </c>
    </row>
    <row r="312" spans="2:3" x14ac:dyDescent="0.25">
      <c r="B312" s="116">
        <v>45301</v>
      </c>
      <c r="C312" s="117">
        <v>21618.7</v>
      </c>
    </row>
    <row r="313" spans="2:3" x14ac:dyDescent="0.25">
      <c r="B313" s="116">
        <v>45300</v>
      </c>
      <c r="C313" s="117">
        <v>21544.85</v>
      </c>
    </row>
    <row r="314" spans="2:3" x14ac:dyDescent="0.25">
      <c r="B314" s="116">
        <v>45299</v>
      </c>
      <c r="C314" s="117">
        <v>21513</v>
      </c>
    </row>
    <row r="315" spans="2:3" x14ac:dyDescent="0.25">
      <c r="B315" s="116">
        <v>45296</v>
      </c>
      <c r="C315" s="117">
        <v>21710.799999999999</v>
      </c>
    </row>
    <row r="316" spans="2:3" x14ac:dyDescent="0.25">
      <c r="B316" s="116">
        <v>45295</v>
      </c>
      <c r="C316" s="117">
        <v>21658.6</v>
      </c>
    </row>
    <row r="317" spans="2:3" x14ac:dyDescent="0.25">
      <c r="B317" s="116">
        <v>45294</v>
      </c>
      <c r="C317" s="117">
        <v>21517.35</v>
      </c>
    </row>
    <row r="318" spans="2:3" x14ac:dyDescent="0.25">
      <c r="B318" s="116">
        <v>45293</v>
      </c>
      <c r="C318" s="117">
        <v>21665.8</v>
      </c>
    </row>
    <row r="319" spans="2:3" x14ac:dyDescent="0.25">
      <c r="B319" s="116">
        <v>45292</v>
      </c>
      <c r="C319" s="117">
        <v>21741.9</v>
      </c>
    </row>
    <row r="320" spans="2:3" x14ac:dyDescent="0.25">
      <c r="B320" s="116">
        <v>45289</v>
      </c>
      <c r="C320" s="117">
        <v>21731.4</v>
      </c>
    </row>
    <row r="321" spans="2:3" x14ac:dyDescent="0.25">
      <c r="B321" s="116">
        <v>45288</v>
      </c>
      <c r="C321" s="117">
        <v>21778.7</v>
      </c>
    </row>
    <row r="322" spans="2:3" x14ac:dyDescent="0.25">
      <c r="B322" s="116">
        <v>45287</v>
      </c>
      <c r="C322" s="117">
        <v>21654.75</v>
      </c>
    </row>
    <row r="323" spans="2:3" x14ac:dyDescent="0.25">
      <c r="B323" s="116">
        <v>45286</v>
      </c>
      <c r="C323" s="117">
        <v>21441.35</v>
      </c>
    </row>
    <row r="324" spans="2:3" x14ac:dyDescent="0.25">
      <c r="B324" s="116">
        <v>45282</v>
      </c>
      <c r="C324" s="117">
        <v>21349.4</v>
      </c>
    </row>
    <row r="325" spans="2:3" x14ac:dyDescent="0.25">
      <c r="B325" s="116">
        <v>45281</v>
      </c>
      <c r="C325" s="117">
        <v>21255.05</v>
      </c>
    </row>
    <row r="326" spans="2:3" x14ac:dyDescent="0.25">
      <c r="B326" s="116">
        <v>45280</v>
      </c>
      <c r="C326" s="117">
        <v>21150.15</v>
      </c>
    </row>
    <row r="327" spans="2:3" x14ac:dyDescent="0.25">
      <c r="B327" s="116">
        <v>45279</v>
      </c>
      <c r="C327" s="117">
        <v>21453.1</v>
      </c>
    </row>
    <row r="328" spans="2:3" x14ac:dyDescent="0.25">
      <c r="B328" s="116">
        <v>45278</v>
      </c>
      <c r="C328" s="117">
        <v>21418.65</v>
      </c>
    </row>
    <row r="329" spans="2:3" x14ac:dyDescent="0.25">
      <c r="B329" s="116">
        <v>45275</v>
      </c>
      <c r="C329" s="117">
        <v>21456.65</v>
      </c>
    </row>
    <row r="330" spans="2:3" x14ac:dyDescent="0.25">
      <c r="B330" s="116">
        <v>45274</v>
      </c>
      <c r="C330" s="117">
        <v>21182.7</v>
      </c>
    </row>
    <row r="331" spans="2:3" x14ac:dyDescent="0.25">
      <c r="B331" s="116">
        <v>45273</v>
      </c>
      <c r="C331" s="117">
        <v>20926.349999999999</v>
      </c>
    </row>
    <row r="332" spans="2:3" x14ac:dyDescent="0.25">
      <c r="B332" s="116">
        <v>45272</v>
      </c>
      <c r="C332" s="117">
        <v>20906.400000000001</v>
      </c>
    </row>
    <row r="333" spans="2:3" x14ac:dyDescent="0.25">
      <c r="B333" s="116">
        <v>45271</v>
      </c>
      <c r="C333" s="117">
        <v>20997.1</v>
      </c>
    </row>
    <row r="334" spans="2:3" x14ac:dyDescent="0.25">
      <c r="B334" s="116">
        <v>45268</v>
      </c>
      <c r="C334" s="117">
        <v>20969.400000000001</v>
      </c>
    </row>
    <row r="335" spans="2:3" x14ac:dyDescent="0.25">
      <c r="B335" s="116">
        <v>45267</v>
      </c>
      <c r="C335" s="117">
        <v>20901.150000000001</v>
      </c>
    </row>
    <row r="336" spans="2:3" x14ac:dyDescent="0.25">
      <c r="B336" s="116">
        <v>45266</v>
      </c>
      <c r="C336" s="117">
        <v>20937.7</v>
      </c>
    </row>
    <row r="337" spans="2:3" x14ac:dyDescent="0.25">
      <c r="B337" s="116">
        <v>45265</v>
      </c>
      <c r="C337" s="117">
        <v>20855.099999999999</v>
      </c>
    </row>
    <row r="338" spans="2:3" x14ac:dyDescent="0.25">
      <c r="B338" s="116">
        <v>45264</v>
      </c>
      <c r="C338" s="117">
        <v>20686.8</v>
      </c>
    </row>
    <row r="339" spans="2:3" x14ac:dyDescent="0.25">
      <c r="B339" s="116">
        <v>45261</v>
      </c>
      <c r="C339" s="117">
        <v>20267.900000000001</v>
      </c>
    </row>
    <row r="340" spans="2:3" x14ac:dyDescent="0.25">
      <c r="B340" s="116">
        <v>45260</v>
      </c>
      <c r="C340" s="117">
        <v>20133.150000000001</v>
      </c>
    </row>
    <row r="341" spans="2:3" x14ac:dyDescent="0.25">
      <c r="B341" s="116">
        <v>45259</v>
      </c>
      <c r="C341" s="117">
        <v>20096.599999999999</v>
      </c>
    </row>
    <row r="342" spans="2:3" x14ac:dyDescent="0.25">
      <c r="B342" s="116">
        <v>45258</v>
      </c>
      <c r="C342" s="117">
        <v>19889.7</v>
      </c>
    </row>
    <row r="343" spans="2:3" x14ac:dyDescent="0.25">
      <c r="B343" s="116">
        <v>45254</v>
      </c>
      <c r="C343" s="117">
        <v>19794.7</v>
      </c>
    </row>
    <row r="344" spans="2:3" x14ac:dyDescent="0.25">
      <c r="B344" s="116">
        <v>45253</v>
      </c>
      <c r="C344" s="117">
        <v>19802</v>
      </c>
    </row>
    <row r="345" spans="2:3" x14ac:dyDescent="0.25">
      <c r="B345" s="116">
        <v>45252</v>
      </c>
      <c r="C345" s="117">
        <v>19811.849999999999</v>
      </c>
    </row>
    <row r="346" spans="2:3" x14ac:dyDescent="0.25">
      <c r="B346" s="116">
        <v>45251</v>
      </c>
      <c r="C346" s="117">
        <v>19783.400000000001</v>
      </c>
    </row>
    <row r="347" spans="2:3" x14ac:dyDescent="0.25">
      <c r="B347" s="116">
        <v>45250</v>
      </c>
      <c r="C347" s="117">
        <v>19694</v>
      </c>
    </row>
    <row r="348" spans="2:3" x14ac:dyDescent="0.25">
      <c r="B348" s="116">
        <v>45247</v>
      </c>
      <c r="C348" s="117">
        <v>19731.8</v>
      </c>
    </row>
    <row r="349" spans="2:3" x14ac:dyDescent="0.25">
      <c r="B349" s="116">
        <v>45246</v>
      </c>
      <c r="C349" s="117">
        <v>19765.2</v>
      </c>
    </row>
    <row r="350" spans="2:3" x14ac:dyDescent="0.25">
      <c r="B350" s="116">
        <v>45245</v>
      </c>
      <c r="C350" s="117">
        <v>19675.45</v>
      </c>
    </row>
    <row r="351" spans="2:3" x14ac:dyDescent="0.25">
      <c r="B351" s="116">
        <v>45243</v>
      </c>
      <c r="C351" s="117">
        <v>19443.55</v>
      </c>
    </row>
    <row r="352" spans="2:3" x14ac:dyDescent="0.25">
      <c r="B352" s="116">
        <v>45242</v>
      </c>
      <c r="C352" s="117">
        <v>19525.55</v>
      </c>
    </row>
    <row r="353" spans="2:3" x14ac:dyDescent="0.25">
      <c r="B353" s="116">
        <v>45240</v>
      </c>
      <c r="C353" s="117">
        <v>19425.349999999999</v>
      </c>
    </row>
    <row r="354" spans="2:3" x14ac:dyDescent="0.25">
      <c r="B354" s="116">
        <v>45239</v>
      </c>
      <c r="C354" s="117">
        <v>19395.3</v>
      </c>
    </row>
    <row r="355" spans="2:3" x14ac:dyDescent="0.25">
      <c r="B355" s="116">
        <v>45238</v>
      </c>
      <c r="C355" s="117">
        <v>19443.5</v>
      </c>
    </row>
    <row r="356" spans="2:3" x14ac:dyDescent="0.25">
      <c r="B356" s="116">
        <v>45237</v>
      </c>
      <c r="C356" s="117">
        <v>19406.7</v>
      </c>
    </row>
    <row r="357" spans="2:3" x14ac:dyDescent="0.25">
      <c r="B357" s="116">
        <v>45236</v>
      </c>
      <c r="C357" s="117">
        <v>19411.75</v>
      </c>
    </row>
    <row r="358" spans="2:3" x14ac:dyDescent="0.25">
      <c r="B358" s="116">
        <v>45233</v>
      </c>
      <c r="C358" s="117">
        <v>19230.599999999999</v>
      </c>
    </row>
    <row r="359" spans="2:3" x14ac:dyDescent="0.25">
      <c r="B359" s="116">
        <v>45232</v>
      </c>
      <c r="C359" s="117">
        <v>19133.25</v>
      </c>
    </row>
    <row r="360" spans="2:3" x14ac:dyDescent="0.25">
      <c r="B360" s="116">
        <v>45231</v>
      </c>
      <c r="C360" s="117">
        <v>18989.150000000001</v>
      </c>
    </row>
    <row r="361" spans="2:3" x14ac:dyDescent="0.25">
      <c r="B361" s="116">
        <v>45230</v>
      </c>
      <c r="C361" s="117">
        <v>19079.599999999999</v>
      </c>
    </row>
    <row r="362" spans="2:3" x14ac:dyDescent="0.25">
      <c r="B362" s="116">
        <v>45229</v>
      </c>
      <c r="C362" s="117">
        <v>19140.900000000001</v>
      </c>
    </row>
    <row r="363" spans="2:3" x14ac:dyDescent="0.25">
      <c r="B363" s="116">
        <v>45226</v>
      </c>
      <c r="C363" s="117">
        <v>19047.25</v>
      </c>
    </row>
    <row r="364" spans="2:3" x14ac:dyDescent="0.25">
      <c r="B364" s="116">
        <v>45225</v>
      </c>
      <c r="C364" s="117">
        <v>18857.25</v>
      </c>
    </row>
    <row r="365" spans="2:3" x14ac:dyDescent="0.25">
      <c r="B365" s="116">
        <v>45224</v>
      </c>
      <c r="C365" s="117">
        <v>19122.150000000001</v>
      </c>
    </row>
    <row r="366" spans="2:3" x14ac:dyDescent="0.25">
      <c r="B366" s="116">
        <v>45222</v>
      </c>
      <c r="C366" s="117">
        <v>19281.75</v>
      </c>
    </row>
    <row r="367" spans="2:3" x14ac:dyDescent="0.25">
      <c r="B367" s="116">
        <v>45219</v>
      </c>
      <c r="C367" s="117">
        <v>19542.650000000001</v>
      </c>
    </row>
    <row r="368" spans="2:3" x14ac:dyDescent="0.25">
      <c r="B368" s="116">
        <v>45218</v>
      </c>
      <c r="C368" s="117">
        <v>19624.7</v>
      </c>
    </row>
    <row r="369" spans="2:3" x14ac:dyDescent="0.25">
      <c r="B369" s="116">
        <v>45217</v>
      </c>
      <c r="C369" s="117">
        <v>19671.099999999999</v>
      </c>
    </row>
    <row r="370" spans="2:3" x14ac:dyDescent="0.25">
      <c r="B370" s="116">
        <v>45216</v>
      </c>
      <c r="C370" s="117">
        <v>19811.5</v>
      </c>
    </row>
    <row r="371" spans="2:3" x14ac:dyDescent="0.25">
      <c r="B371" s="116">
        <v>45215</v>
      </c>
      <c r="C371" s="117">
        <v>19731.75</v>
      </c>
    </row>
    <row r="372" spans="2:3" x14ac:dyDescent="0.25">
      <c r="B372" s="116">
        <v>45212</v>
      </c>
      <c r="C372" s="117">
        <v>19751.05</v>
      </c>
    </row>
    <row r="373" spans="2:3" x14ac:dyDescent="0.25">
      <c r="B373" s="116">
        <v>45211</v>
      </c>
      <c r="C373" s="117">
        <v>19794</v>
      </c>
    </row>
    <row r="374" spans="2:3" x14ac:dyDescent="0.25">
      <c r="B374" s="116">
        <v>45210</v>
      </c>
      <c r="C374" s="117">
        <v>19811.349999999999</v>
      </c>
    </row>
    <row r="375" spans="2:3" x14ac:dyDescent="0.25">
      <c r="B375" s="116">
        <v>45209</v>
      </c>
      <c r="C375" s="117">
        <v>19689.849999999999</v>
      </c>
    </row>
    <row r="376" spans="2:3" x14ac:dyDescent="0.25">
      <c r="B376" s="116">
        <v>45208</v>
      </c>
      <c r="C376" s="117">
        <v>19512.349999999999</v>
      </c>
    </row>
    <row r="377" spans="2:3" x14ac:dyDescent="0.25">
      <c r="B377" s="116">
        <v>45205</v>
      </c>
      <c r="C377" s="117">
        <v>19653.5</v>
      </c>
    </row>
    <row r="378" spans="2:3" x14ac:dyDescent="0.25">
      <c r="B378" s="116">
        <v>45204</v>
      </c>
      <c r="C378" s="117">
        <v>19545.75</v>
      </c>
    </row>
    <row r="379" spans="2:3" x14ac:dyDescent="0.25">
      <c r="B379" s="116">
        <v>45203</v>
      </c>
      <c r="C379" s="117">
        <v>19436.099999999999</v>
      </c>
    </row>
    <row r="380" spans="2:3" x14ac:dyDescent="0.25">
      <c r="B380" s="116">
        <v>45202</v>
      </c>
      <c r="C380" s="117">
        <v>19528.75</v>
      </c>
    </row>
    <row r="381" spans="2:3" x14ac:dyDescent="0.25">
      <c r="B381" s="116">
        <v>45198</v>
      </c>
      <c r="C381" s="117">
        <v>19638.3</v>
      </c>
    </row>
    <row r="382" spans="2:3" x14ac:dyDescent="0.25">
      <c r="B382" s="116">
        <v>45197</v>
      </c>
      <c r="C382" s="117">
        <v>19523.55</v>
      </c>
    </row>
    <row r="383" spans="2:3" x14ac:dyDescent="0.25">
      <c r="B383" s="116">
        <v>45196</v>
      </c>
      <c r="C383" s="117">
        <v>19716.45</v>
      </c>
    </row>
    <row r="384" spans="2:3" x14ac:dyDescent="0.25">
      <c r="B384" s="116">
        <v>45195</v>
      </c>
      <c r="C384" s="117">
        <v>19664.7</v>
      </c>
    </row>
    <row r="385" spans="2:3" x14ac:dyDescent="0.25">
      <c r="B385" s="116">
        <v>45194</v>
      </c>
      <c r="C385" s="117">
        <v>19674.55</v>
      </c>
    </row>
    <row r="386" spans="2:3" x14ac:dyDescent="0.25">
      <c r="B386" s="116">
        <v>45191</v>
      </c>
      <c r="C386" s="117">
        <v>19674.25</v>
      </c>
    </row>
    <row r="387" spans="2:3" x14ac:dyDescent="0.25">
      <c r="B387" s="116">
        <v>45190</v>
      </c>
      <c r="C387" s="117">
        <v>19742.349999999999</v>
      </c>
    </row>
    <row r="388" spans="2:3" x14ac:dyDescent="0.25">
      <c r="B388" s="116">
        <v>45189</v>
      </c>
      <c r="C388" s="117">
        <v>19901.400000000001</v>
      </c>
    </row>
    <row r="389" spans="2:3" x14ac:dyDescent="0.25">
      <c r="B389" s="116">
        <v>45187</v>
      </c>
      <c r="C389" s="117">
        <v>20133.3</v>
      </c>
    </row>
    <row r="390" spans="2:3" x14ac:dyDescent="0.25">
      <c r="B390" s="116">
        <v>45184</v>
      </c>
      <c r="C390" s="117">
        <v>20192.349999999999</v>
      </c>
    </row>
    <row r="391" spans="2:3" x14ac:dyDescent="0.25">
      <c r="B391" s="116">
        <v>45183</v>
      </c>
      <c r="C391" s="117">
        <v>20103.099999999999</v>
      </c>
    </row>
    <row r="392" spans="2:3" x14ac:dyDescent="0.25">
      <c r="B392" s="116">
        <v>45182</v>
      </c>
      <c r="C392" s="117">
        <v>20070</v>
      </c>
    </row>
    <row r="393" spans="2:3" x14ac:dyDescent="0.25">
      <c r="B393" s="116">
        <v>45181</v>
      </c>
      <c r="C393" s="117">
        <v>19993.2</v>
      </c>
    </row>
    <row r="394" spans="2:3" x14ac:dyDescent="0.25">
      <c r="B394" s="116">
        <v>45180</v>
      </c>
      <c r="C394" s="117">
        <v>19996.349999999999</v>
      </c>
    </row>
    <row r="395" spans="2:3" x14ac:dyDescent="0.25">
      <c r="B395" s="116">
        <v>45177</v>
      </c>
      <c r="C395" s="117">
        <v>19819.95</v>
      </c>
    </row>
    <row r="396" spans="2:3" x14ac:dyDescent="0.25">
      <c r="B396" s="116">
        <v>45176</v>
      </c>
      <c r="C396" s="117">
        <v>19727.05</v>
      </c>
    </row>
    <row r="397" spans="2:3" x14ac:dyDescent="0.25">
      <c r="B397" s="116">
        <v>45175</v>
      </c>
      <c r="C397" s="117">
        <v>19611.05</v>
      </c>
    </row>
    <row r="398" spans="2:3" x14ac:dyDescent="0.25">
      <c r="B398" s="116">
        <v>45174</v>
      </c>
      <c r="C398" s="117">
        <v>19574.900000000001</v>
      </c>
    </row>
    <row r="399" spans="2:3" x14ac:dyDescent="0.25">
      <c r="B399" s="116">
        <v>45173</v>
      </c>
      <c r="C399" s="117">
        <v>19528.8</v>
      </c>
    </row>
    <row r="400" spans="2:3" x14ac:dyDescent="0.25">
      <c r="B400" s="116">
        <v>45170</v>
      </c>
      <c r="C400" s="117">
        <v>19435.3</v>
      </c>
    </row>
    <row r="401" spans="2:3" x14ac:dyDescent="0.25">
      <c r="B401" s="116">
        <v>45169</v>
      </c>
      <c r="C401" s="117">
        <v>19253.8</v>
      </c>
    </row>
    <row r="402" spans="2:3" x14ac:dyDescent="0.25">
      <c r="B402" s="116">
        <v>45168</v>
      </c>
      <c r="C402" s="117">
        <v>19347.45</v>
      </c>
    </row>
    <row r="403" spans="2:3" x14ac:dyDescent="0.25">
      <c r="B403" s="116">
        <v>45167</v>
      </c>
      <c r="C403" s="117">
        <v>19342.650000000001</v>
      </c>
    </row>
    <row r="404" spans="2:3" x14ac:dyDescent="0.25">
      <c r="B404" s="116">
        <v>45166</v>
      </c>
      <c r="C404" s="117">
        <v>19306.05</v>
      </c>
    </row>
    <row r="405" spans="2:3" x14ac:dyDescent="0.25">
      <c r="B405" s="116">
        <v>45163</v>
      </c>
      <c r="C405" s="117">
        <v>19265.8</v>
      </c>
    </row>
    <row r="406" spans="2:3" x14ac:dyDescent="0.25">
      <c r="B406" s="116">
        <v>45162</v>
      </c>
      <c r="C406" s="117">
        <v>19386.7</v>
      </c>
    </row>
    <row r="407" spans="2:3" x14ac:dyDescent="0.25">
      <c r="B407" s="116">
        <v>45161</v>
      </c>
      <c r="C407" s="117">
        <v>19444</v>
      </c>
    </row>
    <row r="408" spans="2:3" x14ac:dyDescent="0.25">
      <c r="B408" s="116">
        <v>45160</v>
      </c>
      <c r="C408" s="117">
        <v>19396.45</v>
      </c>
    </row>
    <row r="409" spans="2:3" x14ac:dyDescent="0.25">
      <c r="B409" s="116">
        <v>45159</v>
      </c>
      <c r="C409" s="117">
        <v>19393.599999999999</v>
      </c>
    </row>
    <row r="410" spans="2:3" x14ac:dyDescent="0.25">
      <c r="B410" s="116">
        <v>45156</v>
      </c>
      <c r="C410" s="117">
        <v>19310.150000000001</v>
      </c>
    </row>
    <row r="411" spans="2:3" x14ac:dyDescent="0.25">
      <c r="B411" s="116">
        <v>45155</v>
      </c>
      <c r="C411" s="117">
        <v>19365.25</v>
      </c>
    </row>
    <row r="412" spans="2:3" x14ac:dyDescent="0.25">
      <c r="B412" s="116">
        <v>45154</v>
      </c>
      <c r="C412" s="117">
        <v>19465</v>
      </c>
    </row>
    <row r="413" spans="2:3" x14ac:dyDescent="0.25">
      <c r="B413" s="116">
        <v>45152</v>
      </c>
      <c r="C413" s="117">
        <v>19434.55</v>
      </c>
    </row>
    <row r="414" spans="2:3" x14ac:dyDescent="0.25">
      <c r="B414" s="116">
        <v>45149</v>
      </c>
      <c r="C414" s="117">
        <v>19428.3</v>
      </c>
    </row>
    <row r="415" spans="2:3" x14ac:dyDescent="0.25">
      <c r="B415" s="116">
        <v>45148</v>
      </c>
      <c r="C415" s="117">
        <v>19543.099999999999</v>
      </c>
    </row>
    <row r="416" spans="2:3" x14ac:dyDescent="0.25">
      <c r="B416" s="116">
        <v>45147</v>
      </c>
      <c r="C416" s="117">
        <v>19632.55</v>
      </c>
    </row>
    <row r="417" spans="2:3" x14ac:dyDescent="0.25">
      <c r="B417" s="116">
        <v>45146</v>
      </c>
      <c r="C417" s="117">
        <v>19570.849999999999</v>
      </c>
    </row>
    <row r="418" spans="2:3" x14ac:dyDescent="0.25">
      <c r="B418" s="116">
        <v>45145</v>
      </c>
      <c r="C418" s="117">
        <v>19597.3</v>
      </c>
    </row>
    <row r="419" spans="2:3" x14ac:dyDescent="0.25">
      <c r="B419" s="116">
        <v>45142</v>
      </c>
      <c r="C419" s="117">
        <v>19517</v>
      </c>
    </row>
    <row r="420" spans="2:3" x14ac:dyDescent="0.25">
      <c r="B420" s="116">
        <v>45141</v>
      </c>
      <c r="C420" s="117">
        <v>19381.650000000001</v>
      </c>
    </row>
    <row r="421" spans="2:3" x14ac:dyDescent="0.25">
      <c r="B421" s="116">
        <v>45140</v>
      </c>
      <c r="C421" s="117">
        <v>19526.55</v>
      </c>
    </row>
    <row r="422" spans="2:3" x14ac:dyDescent="0.25">
      <c r="B422" s="116">
        <v>45139</v>
      </c>
      <c r="C422" s="117">
        <v>19733.55</v>
      </c>
    </row>
    <row r="423" spans="2:3" x14ac:dyDescent="0.25">
      <c r="B423" s="116">
        <v>45138</v>
      </c>
      <c r="C423" s="117">
        <v>19753.8</v>
      </c>
    </row>
    <row r="424" spans="2:3" x14ac:dyDescent="0.25">
      <c r="B424" s="116">
        <v>45135</v>
      </c>
      <c r="C424" s="117">
        <v>19646.05</v>
      </c>
    </row>
    <row r="425" spans="2:3" x14ac:dyDescent="0.25">
      <c r="B425" s="116">
        <v>45134</v>
      </c>
      <c r="C425" s="117">
        <v>19659.900000000001</v>
      </c>
    </row>
    <row r="426" spans="2:3" x14ac:dyDescent="0.25">
      <c r="B426" s="116">
        <v>45133</v>
      </c>
      <c r="C426" s="117">
        <v>19778.3</v>
      </c>
    </row>
    <row r="427" spans="2:3" x14ac:dyDescent="0.25">
      <c r="B427" s="116">
        <v>45132</v>
      </c>
      <c r="C427" s="117">
        <v>19680.599999999999</v>
      </c>
    </row>
    <row r="428" spans="2:3" x14ac:dyDescent="0.25">
      <c r="B428" s="116">
        <v>45131</v>
      </c>
      <c r="C428" s="117">
        <v>19672.349999999999</v>
      </c>
    </row>
    <row r="429" spans="2:3" x14ac:dyDescent="0.25">
      <c r="B429" s="116">
        <v>45128</v>
      </c>
      <c r="C429" s="117">
        <v>19745</v>
      </c>
    </row>
    <row r="430" spans="2:3" x14ac:dyDescent="0.25">
      <c r="B430" s="116">
        <v>45127</v>
      </c>
      <c r="C430" s="117">
        <v>19979.150000000001</v>
      </c>
    </row>
    <row r="431" spans="2:3" x14ac:dyDescent="0.25">
      <c r="B431" s="116">
        <v>45126</v>
      </c>
      <c r="C431" s="117">
        <v>19833.150000000001</v>
      </c>
    </row>
    <row r="432" spans="2:3" x14ac:dyDescent="0.25">
      <c r="B432" s="116">
        <v>45125</v>
      </c>
      <c r="C432" s="117">
        <v>19749.25</v>
      </c>
    </row>
    <row r="433" spans="2:3" x14ac:dyDescent="0.25">
      <c r="B433" s="116">
        <v>45124</v>
      </c>
      <c r="C433" s="117">
        <v>19711.45</v>
      </c>
    </row>
    <row r="434" spans="2:3" x14ac:dyDescent="0.25">
      <c r="B434" s="116">
        <v>45121</v>
      </c>
      <c r="C434" s="117">
        <v>19564.5</v>
      </c>
    </row>
    <row r="435" spans="2:3" x14ac:dyDescent="0.25">
      <c r="B435" s="116">
        <v>45120</v>
      </c>
      <c r="C435" s="117">
        <v>19413.75</v>
      </c>
    </row>
    <row r="436" spans="2:3" x14ac:dyDescent="0.25">
      <c r="B436" s="116">
        <v>45119</v>
      </c>
      <c r="C436" s="117">
        <v>19384.3</v>
      </c>
    </row>
    <row r="437" spans="2:3" x14ac:dyDescent="0.25">
      <c r="B437" s="116">
        <v>45118</v>
      </c>
      <c r="C437" s="117">
        <v>19439.400000000001</v>
      </c>
    </row>
    <row r="438" spans="2:3" x14ac:dyDescent="0.25">
      <c r="B438" s="116">
        <v>45117</v>
      </c>
      <c r="C438" s="117">
        <v>19355.900000000001</v>
      </c>
    </row>
    <row r="439" spans="2:3" x14ac:dyDescent="0.25">
      <c r="B439" s="116">
        <v>45114</v>
      </c>
      <c r="C439" s="117">
        <v>19331.8</v>
      </c>
    </row>
    <row r="440" spans="2:3" x14ac:dyDescent="0.25">
      <c r="B440" s="116">
        <v>45113</v>
      </c>
      <c r="C440" s="117">
        <v>19497.3</v>
      </c>
    </row>
    <row r="441" spans="2:3" x14ac:dyDescent="0.25">
      <c r="B441" s="116">
        <v>45112</v>
      </c>
      <c r="C441" s="117">
        <v>19398.5</v>
      </c>
    </row>
    <row r="442" spans="2:3" x14ac:dyDescent="0.25">
      <c r="B442" s="116">
        <v>45111</v>
      </c>
      <c r="C442" s="117">
        <v>19389</v>
      </c>
    </row>
    <row r="443" spans="2:3" x14ac:dyDescent="0.25">
      <c r="B443" s="116">
        <v>45110</v>
      </c>
      <c r="C443" s="117">
        <v>19322.55</v>
      </c>
    </row>
    <row r="444" spans="2:3" x14ac:dyDescent="0.25">
      <c r="B444" s="116">
        <v>45107</v>
      </c>
      <c r="C444" s="117">
        <v>19189.05</v>
      </c>
    </row>
    <row r="445" spans="2:3" x14ac:dyDescent="0.25">
      <c r="B445" s="116">
        <v>45105</v>
      </c>
      <c r="C445" s="117">
        <v>18972.099999999999</v>
      </c>
    </row>
    <row r="446" spans="2:3" x14ac:dyDescent="0.25">
      <c r="B446" s="116">
        <v>45104</v>
      </c>
      <c r="C446" s="117">
        <v>18817.400000000001</v>
      </c>
    </row>
    <row r="447" spans="2:3" x14ac:dyDescent="0.25">
      <c r="B447" s="116">
        <v>45103</v>
      </c>
      <c r="C447" s="117">
        <v>18691.2</v>
      </c>
    </row>
    <row r="448" spans="2:3" x14ac:dyDescent="0.25">
      <c r="B448" s="116">
        <v>45100</v>
      </c>
      <c r="C448" s="117">
        <v>18665.5</v>
      </c>
    </row>
    <row r="449" spans="2:3" x14ac:dyDescent="0.25">
      <c r="B449" s="116">
        <v>45099</v>
      </c>
      <c r="C449" s="117">
        <v>18771.25</v>
      </c>
    </row>
    <row r="450" spans="2:3" x14ac:dyDescent="0.25">
      <c r="B450" s="116">
        <v>45098</v>
      </c>
      <c r="C450" s="117">
        <v>18856.849999999999</v>
      </c>
    </row>
    <row r="451" spans="2:3" x14ac:dyDescent="0.25">
      <c r="B451" s="116">
        <v>45097</v>
      </c>
      <c r="C451" s="117">
        <v>18816.7</v>
      </c>
    </row>
    <row r="452" spans="2:3" x14ac:dyDescent="0.25">
      <c r="B452" s="116">
        <v>45096</v>
      </c>
      <c r="C452" s="117">
        <v>18755.45</v>
      </c>
    </row>
    <row r="453" spans="2:3" x14ac:dyDescent="0.25">
      <c r="B453" s="116">
        <v>45093</v>
      </c>
      <c r="C453" s="117">
        <v>18826</v>
      </c>
    </row>
    <row r="454" spans="2:3" x14ac:dyDescent="0.25">
      <c r="B454" s="116">
        <v>45092</v>
      </c>
      <c r="C454" s="117">
        <v>18688.099999999999</v>
      </c>
    </row>
    <row r="455" spans="2:3" x14ac:dyDescent="0.25">
      <c r="B455" s="116">
        <v>45091</v>
      </c>
      <c r="C455" s="117">
        <v>18755.900000000001</v>
      </c>
    </row>
    <row r="456" spans="2:3" x14ac:dyDescent="0.25">
      <c r="B456" s="116">
        <v>45090</v>
      </c>
      <c r="C456" s="117">
        <v>18716.150000000001</v>
      </c>
    </row>
    <row r="457" spans="2:3" x14ac:dyDescent="0.25">
      <c r="B457" s="116">
        <v>45089</v>
      </c>
      <c r="C457" s="117">
        <v>18601.5</v>
      </c>
    </row>
    <row r="458" spans="2:3" x14ac:dyDescent="0.25">
      <c r="B458" s="116">
        <v>45086</v>
      </c>
      <c r="C458" s="117">
        <v>18563.400000000001</v>
      </c>
    </row>
    <row r="459" spans="2:3" x14ac:dyDescent="0.25">
      <c r="B459" s="116">
        <v>45085</v>
      </c>
      <c r="C459" s="117">
        <v>18634.55</v>
      </c>
    </row>
    <row r="460" spans="2:3" x14ac:dyDescent="0.25">
      <c r="B460" s="116">
        <v>45084</v>
      </c>
      <c r="C460" s="117">
        <v>18726.400000000001</v>
      </c>
    </row>
    <row r="461" spans="2:3" x14ac:dyDescent="0.25">
      <c r="B461" s="116">
        <v>45083</v>
      </c>
      <c r="C461" s="117">
        <v>18599</v>
      </c>
    </row>
    <row r="462" spans="2:3" x14ac:dyDescent="0.25">
      <c r="B462" s="116">
        <v>45082</v>
      </c>
      <c r="C462" s="117">
        <v>18593.849999999999</v>
      </c>
    </row>
    <row r="463" spans="2:3" x14ac:dyDescent="0.25">
      <c r="B463" s="116">
        <v>45079</v>
      </c>
      <c r="C463" s="117">
        <v>18534.099999999999</v>
      </c>
    </row>
    <row r="464" spans="2:3" x14ac:dyDescent="0.25">
      <c r="B464" s="116">
        <v>45078</v>
      </c>
      <c r="C464" s="117">
        <v>18487.75</v>
      </c>
    </row>
    <row r="465" spans="2:3" x14ac:dyDescent="0.25">
      <c r="B465" s="116">
        <v>45077</v>
      </c>
      <c r="C465" s="117">
        <v>18534.400000000001</v>
      </c>
    </row>
    <row r="466" spans="2:3" x14ac:dyDescent="0.25">
      <c r="B466" s="116">
        <v>45076</v>
      </c>
      <c r="C466" s="117">
        <v>18633.849999999999</v>
      </c>
    </row>
    <row r="467" spans="2:3" x14ac:dyDescent="0.25">
      <c r="B467" s="116">
        <v>45075</v>
      </c>
      <c r="C467" s="117">
        <v>18598.650000000001</v>
      </c>
    </row>
    <row r="468" spans="2:3" x14ac:dyDescent="0.25">
      <c r="B468" s="116">
        <v>45072</v>
      </c>
      <c r="C468" s="117">
        <v>18499.349999999999</v>
      </c>
    </row>
    <row r="469" spans="2:3" x14ac:dyDescent="0.25">
      <c r="B469" s="116">
        <v>45071</v>
      </c>
      <c r="C469" s="117">
        <v>18321.150000000001</v>
      </c>
    </row>
    <row r="470" spans="2:3" x14ac:dyDescent="0.25">
      <c r="B470" s="116">
        <v>45070</v>
      </c>
      <c r="C470" s="117">
        <v>18285.400000000001</v>
      </c>
    </row>
    <row r="471" spans="2:3" x14ac:dyDescent="0.25">
      <c r="B471" s="116">
        <v>45069</v>
      </c>
      <c r="C471" s="117">
        <v>18348</v>
      </c>
    </row>
    <row r="472" spans="2:3" x14ac:dyDescent="0.25">
      <c r="B472" s="116">
        <v>45068</v>
      </c>
      <c r="C472" s="117">
        <v>18314.400000000001</v>
      </c>
    </row>
    <row r="473" spans="2:3" x14ac:dyDescent="0.25">
      <c r="B473" s="116">
        <v>45065</v>
      </c>
      <c r="C473" s="117">
        <v>18203.400000000001</v>
      </c>
    </row>
    <row r="474" spans="2:3" x14ac:dyDescent="0.25">
      <c r="B474" s="116">
        <v>45064</v>
      </c>
      <c r="C474" s="117">
        <v>18129.95</v>
      </c>
    </row>
    <row r="475" spans="2:3" x14ac:dyDescent="0.25">
      <c r="B475" s="116">
        <v>45063</v>
      </c>
      <c r="C475" s="117">
        <v>18181.75</v>
      </c>
    </row>
    <row r="476" spans="2:3" x14ac:dyDescent="0.25">
      <c r="B476" s="116">
        <v>45062</v>
      </c>
      <c r="C476" s="117">
        <v>18286.5</v>
      </c>
    </row>
    <row r="477" spans="2:3" x14ac:dyDescent="0.25">
      <c r="B477" s="116">
        <v>45061</v>
      </c>
      <c r="C477" s="117">
        <v>18398.849999999999</v>
      </c>
    </row>
    <row r="478" spans="2:3" x14ac:dyDescent="0.25">
      <c r="B478" s="116">
        <v>45058</v>
      </c>
      <c r="C478" s="117">
        <v>18314.8</v>
      </c>
    </row>
    <row r="479" spans="2:3" x14ac:dyDescent="0.25">
      <c r="B479" s="116">
        <v>45057</v>
      </c>
      <c r="C479" s="117">
        <v>18297</v>
      </c>
    </row>
    <row r="480" spans="2:3" x14ac:dyDescent="0.25">
      <c r="B480" s="116">
        <v>45056</v>
      </c>
      <c r="C480" s="117">
        <v>18315.099999999999</v>
      </c>
    </row>
    <row r="481" spans="2:3" x14ac:dyDescent="0.25">
      <c r="B481" s="116">
        <v>45055</v>
      </c>
      <c r="C481" s="117">
        <v>18265.95</v>
      </c>
    </row>
    <row r="482" spans="2:3" x14ac:dyDescent="0.25">
      <c r="B482" s="116">
        <v>45054</v>
      </c>
      <c r="C482" s="117">
        <v>18264.400000000001</v>
      </c>
    </row>
    <row r="483" spans="2:3" x14ac:dyDescent="0.25">
      <c r="B483" s="116">
        <v>45051</v>
      </c>
      <c r="C483" s="117">
        <v>18069</v>
      </c>
    </row>
    <row r="484" spans="2:3" x14ac:dyDescent="0.25">
      <c r="B484" s="116">
        <v>45050</v>
      </c>
      <c r="C484" s="117">
        <v>18255.8</v>
      </c>
    </row>
    <row r="485" spans="2:3" x14ac:dyDescent="0.25">
      <c r="B485" s="116">
        <v>45049</v>
      </c>
      <c r="C485" s="117">
        <v>18089.849999999999</v>
      </c>
    </row>
    <row r="486" spans="2:3" x14ac:dyDescent="0.25">
      <c r="B486" s="116">
        <v>45048</v>
      </c>
      <c r="C486" s="117">
        <v>18147.650000000001</v>
      </c>
    </row>
    <row r="487" spans="2:3" x14ac:dyDescent="0.25">
      <c r="B487" s="116">
        <v>45044</v>
      </c>
      <c r="C487" s="117">
        <v>18065</v>
      </c>
    </row>
    <row r="488" spans="2:3" x14ac:dyDescent="0.25">
      <c r="B488" s="116">
        <v>45043</v>
      </c>
      <c r="C488" s="117">
        <v>17915.05</v>
      </c>
    </row>
    <row r="489" spans="2:3" x14ac:dyDescent="0.25">
      <c r="B489" s="116">
        <v>45042</v>
      </c>
      <c r="C489" s="117">
        <v>17813.599999999999</v>
      </c>
    </row>
    <row r="490" spans="2:3" x14ac:dyDescent="0.25">
      <c r="B490" s="116">
        <v>45041</v>
      </c>
      <c r="C490" s="117">
        <v>17769.25</v>
      </c>
    </row>
    <row r="491" spans="2:3" x14ac:dyDescent="0.25">
      <c r="B491" s="116">
        <v>45040</v>
      </c>
      <c r="C491" s="117">
        <v>17743.400000000001</v>
      </c>
    </row>
    <row r="492" spans="2:3" x14ac:dyDescent="0.25">
      <c r="B492" s="116">
        <v>45037</v>
      </c>
      <c r="C492" s="117">
        <v>17624.05</v>
      </c>
    </row>
    <row r="493" spans="2:3" x14ac:dyDescent="0.25">
      <c r="B493" s="116">
        <v>45036</v>
      </c>
      <c r="C493" s="117">
        <v>17624.45</v>
      </c>
    </row>
    <row r="494" spans="2:3" x14ac:dyDescent="0.25">
      <c r="B494" s="116">
        <v>45035</v>
      </c>
      <c r="C494" s="117">
        <v>17618.75</v>
      </c>
    </row>
    <row r="495" spans="2:3" x14ac:dyDescent="0.25">
      <c r="B495" s="116">
        <v>45034</v>
      </c>
      <c r="C495" s="117">
        <v>17660.150000000001</v>
      </c>
    </row>
    <row r="496" spans="2:3" x14ac:dyDescent="0.25">
      <c r="B496" s="116">
        <v>45033</v>
      </c>
      <c r="C496" s="117">
        <v>17706.849999999999</v>
      </c>
    </row>
    <row r="497" spans="2:3" x14ac:dyDescent="0.25">
      <c r="B497" s="116">
        <v>45029</v>
      </c>
      <c r="C497" s="117">
        <v>17828</v>
      </c>
    </row>
    <row r="498" spans="2:3" x14ac:dyDescent="0.25">
      <c r="B498" s="116">
        <v>45028</v>
      </c>
      <c r="C498" s="117">
        <v>17812.400000000001</v>
      </c>
    </row>
    <row r="499" spans="2:3" x14ac:dyDescent="0.25">
      <c r="B499" s="116">
        <v>45027</v>
      </c>
      <c r="C499" s="117">
        <v>17722.3</v>
      </c>
    </row>
    <row r="500" spans="2:3" x14ac:dyDescent="0.25">
      <c r="B500" s="116">
        <v>45026</v>
      </c>
      <c r="C500" s="117">
        <v>17624.05</v>
      </c>
    </row>
    <row r="501" spans="2:3" x14ac:dyDescent="0.25">
      <c r="B501" s="116">
        <v>45022</v>
      </c>
      <c r="C501" s="117">
        <v>17599.150000000001</v>
      </c>
    </row>
    <row r="502" spans="2:3" x14ac:dyDescent="0.25">
      <c r="B502" s="116">
        <v>45021</v>
      </c>
      <c r="C502" s="117">
        <v>17557.05</v>
      </c>
    </row>
    <row r="503" spans="2:3" x14ac:dyDescent="0.25">
      <c r="B503" s="116">
        <v>45019</v>
      </c>
      <c r="C503" s="117">
        <v>17398.05</v>
      </c>
    </row>
    <row r="504" spans="2:3" x14ac:dyDescent="0.25">
      <c r="B504" s="116">
        <v>45016</v>
      </c>
      <c r="C504" s="117">
        <v>17359.75</v>
      </c>
    </row>
    <row r="505" spans="2:3" x14ac:dyDescent="0.25">
      <c r="B505" s="116">
        <v>45014</v>
      </c>
      <c r="C505" s="117">
        <v>17080.7</v>
      </c>
    </row>
    <row r="506" spans="2:3" x14ac:dyDescent="0.25">
      <c r="B506" s="116">
        <v>45013</v>
      </c>
      <c r="C506" s="117">
        <v>16951.7</v>
      </c>
    </row>
    <row r="507" spans="2:3" x14ac:dyDescent="0.25">
      <c r="B507" s="116">
        <v>45012</v>
      </c>
      <c r="C507" s="117">
        <v>16985.7</v>
      </c>
    </row>
    <row r="508" spans="2:3" x14ac:dyDescent="0.25">
      <c r="B508" s="116">
        <v>45009</v>
      </c>
      <c r="C508" s="117">
        <v>16945.05</v>
      </c>
    </row>
    <row r="509" spans="2:3" x14ac:dyDescent="0.25">
      <c r="B509" s="116">
        <v>45008</v>
      </c>
      <c r="C509" s="117">
        <v>17076.900000000001</v>
      </c>
    </row>
    <row r="510" spans="2:3" x14ac:dyDescent="0.25">
      <c r="B510" s="116">
        <v>45007</v>
      </c>
      <c r="C510" s="117">
        <v>17151.900000000001</v>
      </c>
    </row>
    <row r="511" spans="2:3" x14ac:dyDescent="0.25">
      <c r="B511" s="116">
        <v>45006</v>
      </c>
      <c r="C511" s="117">
        <v>17107.5</v>
      </c>
    </row>
    <row r="512" spans="2:3" x14ac:dyDescent="0.25">
      <c r="B512" s="116">
        <v>45005</v>
      </c>
      <c r="C512" s="117">
        <v>16988.400000000001</v>
      </c>
    </row>
    <row r="513" spans="2:3" x14ac:dyDescent="0.25">
      <c r="B513" s="116">
        <v>45002</v>
      </c>
      <c r="C513" s="117">
        <v>17100.05</v>
      </c>
    </row>
    <row r="514" spans="2:3" x14ac:dyDescent="0.25">
      <c r="B514" s="116">
        <v>45001</v>
      </c>
      <c r="C514" s="117">
        <v>16985.599999999999</v>
      </c>
    </row>
    <row r="515" spans="2:3" x14ac:dyDescent="0.25">
      <c r="B515" s="116">
        <v>45000</v>
      </c>
      <c r="C515" s="117">
        <v>16972.150000000001</v>
      </c>
    </row>
    <row r="516" spans="2:3" x14ac:dyDescent="0.25">
      <c r="B516" s="116">
        <v>44999</v>
      </c>
      <c r="C516" s="117">
        <v>17043.3</v>
      </c>
    </row>
    <row r="517" spans="2:3" x14ac:dyDescent="0.25">
      <c r="B517" s="116">
        <v>44998</v>
      </c>
      <c r="C517" s="117">
        <v>17154.3</v>
      </c>
    </row>
    <row r="518" spans="2:3" x14ac:dyDescent="0.25">
      <c r="B518" s="116">
        <v>44995</v>
      </c>
      <c r="C518" s="117">
        <v>17412.900000000001</v>
      </c>
    </row>
    <row r="519" spans="2:3" x14ac:dyDescent="0.25">
      <c r="B519" s="116">
        <v>44994</v>
      </c>
      <c r="C519" s="117">
        <v>17589.599999999999</v>
      </c>
    </row>
    <row r="520" spans="2:3" x14ac:dyDescent="0.25">
      <c r="B520" s="116">
        <v>44993</v>
      </c>
      <c r="C520" s="117">
        <v>17754.400000000001</v>
      </c>
    </row>
    <row r="521" spans="2:3" x14ac:dyDescent="0.25">
      <c r="B521" s="116">
        <v>44991</v>
      </c>
      <c r="C521" s="117">
        <v>17711.45</v>
      </c>
    </row>
    <row r="522" spans="2:3" x14ac:dyDescent="0.25">
      <c r="B522" s="116">
        <v>44988</v>
      </c>
      <c r="C522" s="117">
        <v>17594.349999999999</v>
      </c>
    </row>
    <row r="523" spans="2:3" x14ac:dyDescent="0.25">
      <c r="B523" s="116">
        <v>44987</v>
      </c>
      <c r="C523" s="117">
        <v>17321.900000000001</v>
      </c>
    </row>
    <row r="524" spans="2:3" x14ac:dyDescent="0.25">
      <c r="B524" s="116">
        <v>44986</v>
      </c>
      <c r="C524" s="117">
        <v>17450.900000000001</v>
      </c>
    </row>
    <row r="525" spans="2:3" x14ac:dyDescent="0.25">
      <c r="B525" s="116">
        <v>44985</v>
      </c>
      <c r="C525" s="117">
        <v>17303.95</v>
      </c>
    </row>
    <row r="526" spans="2:3" x14ac:dyDescent="0.25">
      <c r="B526" s="116">
        <v>44984</v>
      </c>
      <c r="C526" s="117">
        <v>17392.7</v>
      </c>
    </row>
    <row r="527" spans="2:3" x14ac:dyDescent="0.25">
      <c r="B527" s="116">
        <v>44981</v>
      </c>
      <c r="C527" s="117">
        <v>17465.8</v>
      </c>
    </row>
    <row r="528" spans="2:3" x14ac:dyDescent="0.25">
      <c r="B528" s="116">
        <v>44980</v>
      </c>
      <c r="C528" s="117">
        <v>17511.25</v>
      </c>
    </row>
    <row r="529" spans="2:3" x14ac:dyDescent="0.25">
      <c r="B529" s="116">
        <v>44979</v>
      </c>
      <c r="C529" s="117">
        <v>17554.3</v>
      </c>
    </row>
    <row r="530" spans="2:3" x14ac:dyDescent="0.25">
      <c r="B530" s="116">
        <v>44978</v>
      </c>
      <c r="C530" s="117">
        <v>17826.7</v>
      </c>
    </row>
    <row r="531" spans="2:3" x14ac:dyDescent="0.25">
      <c r="B531" s="116">
        <v>44977</v>
      </c>
      <c r="C531" s="117">
        <v>17844.599999999999</v>
      </c>
    </row>
    <row r="532" spans="2:3" x14ac:dyDescent="0.25">
      <c r="B532" s="116">
        <v>44974</v>
      </c>
      <c r="C532" s="117">
        <v>17944.2</v>
      </c>
    </row>
    <row r="533" spans="2:3" x14ac:dyDescent="0.25">
      <c r="B533" s="116">
        <v>44973</v>
      </c>
      <c r="C533" s="117">
        <v>18035.849999999999</v>
      </c>
    </row>
    <row r="534" spans="2:3" x14ac:dyDescent="0.25">
      <c r="B534" s="116">
        <v>44972</v>
      </c>
      <c r="C534" s="117">
        <v>18015.849999999999</v>
      </c>
    </row>
    <row r="535" spans="2:3" x14ac:dyDescent="0.25">
      <c r="B535" s="116">
        <v>44971</v>
      </c>
      <c r="C535" s="117">
        <v>17929.849999999999</v>
      </c>
    </row>
    <row r="536" spans="2:3" x14ac:dyDescent="0.25">
      <c r="B536" s="116">
        <v>44970</v>
      </c>
      <c r="C536" s="117">
        <v>17770.900000000001</v>
      </c>
    </row>
    <row r="537" spans="2:3" x14ac:dyDescent="0.25">
      <c r="B537" s="116">
        <v>44967</v>
      </c>
      <c r="C537" s="117">
        <v>17856.5</v>
      </c>
    </row>
    <row r="538" spans="2:3" x14ac:dyDescent="0.25">
      <c r="B538" s="116">
        <v>44966</v>
      </c>
      <c r="C538" s="117">
        <v>17893.45</v>
      </c>
    </row>
    <row r="539" spans="2:3" x14ac:dyDescent="0.25">
      <c r="B539" s="116">
        <v>44965</v>
      </c>
      <c r="C539" s="117">
        <v>17871.7</v>
      </c>
    </row>
    <row r="540" spans="2:3" x14ac:dyDescent="0.25">
      <c r="B540" s="116">
        <v>44964</v>
      </c>
      <c r="C540" s="117">
        <v>17721.5</v>
      </c>
    </row>
    <row r="541" spans="2:3" x14ac:dyDescent="0.25">
      <c r="B541" s="116">
        <v>44963</v>
      </c>
      <c r="C541" s="117">
        <v>17764.599999999999</v>
      </c>
    </row>
    <row r="542" spans="2:3" x14ac:dyDescent="0.25">
      <c r="B542" s="116">
        <v>44960</v>
      </c>
      <c r="C542" s="117">
        <v>17854.05</v>
      </c>
    </row>
    <row r="543" spans="2:3" x14ac:dyDescent="0.25">
      <c r="B543" s="116">
        <v>44959</v>
      </c>
      <c r="C543" s="117">
        <v>17610.400000000001</v>
      </c>
    </row>
    <row r="544" spans="2:3" x14ac:dyDescent="0.25">
      <c r="B544" s="116">
        <v>44958</v>
      </c>
      <c r="C544" s="117">
        <v>17616.3</v>
      </c>
    </row>
    <row r="545" spans="2:3" x14ac:dyDescent="0.25">
      <c r="B545" s="116">
        <v>44957</v>
      </c>
      <c r="C545" s="117">
        <v>17662.150000000001</v>
      </c>
    </row>
    <row r="546" spans="2:3" x14ac:dyDescent="0.25">
      <c r="B546" s="116">
        <v>44956</v>
      </c>
      <c r="C546" s="117">
        <v>17648.95</v>
      </c>
    </row>
    <row r="547" spans="2:3" x14ac:dyDescent="0.25">
      <c r="B547" s="116">
        <v>44953</v>
      </c>
      <c r="C547" s="117">
        <v>17604.349999999999</v>
      </c>
    </row>
    <row r="548" spans="2:3" x14ac:dyDescent="0.25">
      <c r="B548" s="116">
        <v>44951</v>
      </c>
      <c r="C548" s="117">
        <v>17891.95</v>
      </c>
    </row>
    <row r="549" spans="2:3" x14ac:dyDescent="0.25">
      <c r="B549" s="116">
        <v>44950</v>
      </c>
      <c r="C549" s="117">
        <v>18118.3</v>
      </c>
    </row>
    <row r="550" spans="2:3" x14ac:dyDescent="0.25">
      <c r="B550" s="116">
        <v>44949</v>
      </c>
      <c r="C550" s="117">
        <v>18118.55</v>
      </c>
    </row>
    <row r="551" spans="2:3" x14ac:dyDescent="0.25">
      <c r="B551" s="116">
        <v>44946</v>
      </c>
      <c r="C551" s="117">
        <v>18027.650000000001</v>
      </c>
    </row>
    <row r="552" spans="2:3" x14ac:dyDescent="0.25">
      <c r="B552" s="116">
        <v>44945</v>
      </c>
      <c r="C552" s="117">
        <v>18107.849999999999</v>
      </c>
    </row>
    <row r="553" spans="2:3" x14ac:dyDescent="0.25">
      <c r="B553" s="116">
        <v>44944</v>
      </c>
      <c r="C553" s="117">
        <v>18165.349999999999</v>
      </c>
    </row>
    <row r="554" spans="2:3" x14ac:dyDescent="0.25">
      <c r="B554" s="116">
        <v>44943</v>
      </c>
      <c r="C554" s="117">
        <v>18053.3</v>
      </c>
    </row>
    <row r="555" spans="2:3" x14ac:dyDescent="0.25">
      <c r="B555" s="116">
        <v>44942</v>
      </c>
      <c r="C555" s="117">
        <v>17894.849999999999</v>
      </c>
    </row>
    <row r="556" spans="2:3" x14ac:dyDescent="0.25">
      <c r="B556" s="116">
        <v>44939</v>
      </c>
      <c r="C556" s="117">
        <v>17956.599999999999</v>
      </c>
    </row>
    <row r="557" spans="2:3" x14ac:dyDescent="0.25">
      <c r="B557" s="116">
        <v>44938</v>
      </c>
      <c r="C557" s="117">
        <v>17858.2</v>
      </c>
    </row>
    <row r="558" spans="2:3" x14ac:dyDescent="0.25">
      <c r="B558" s="116">
        <v>44937</v>
      </c>
      <c r="C558" s="117">
        <v>17895.7</v>
      </c>
    </row>
    <row r="559" spans="2:3" x14ac:dyDescent="0.25">
      <c r="B559" s="116">
        <v>44936</v>
      </c>
      <c r="C559" s="117">
        <v>17914.150000000001</v>
      </c>
    </row>
    <row r="560" spans="2:3" x14ac:dyDescent="0.25">
      <c r="B560" s="116">
        <v>44935</v>
      </c>
      <c r="C560" s="117">
        <v>18101.2</v>
      </c>
    </row>
    <row r="561" spans="2:3" x14ac:dyDescent="0.25">
      <c r="B561" s="116">
        <v>44932</v>
      </c>
      <c r="C561" s="117">
        <v>17859.45</v>
      </c>
    </row>
    <row r="562" spans="2:3" x14ac:dyDescent="0.25">
      <c r="B562" s="116">
        <v>44931</v>
      </c>
      <c r="C562" s="117">
        <v>17992.150000000001</v>
      </c>
    </row>
    <row r="563" spans="2:3" x14ac:dyDescent="0.25">
      <c r="B563" s="116">
        <v>44930</v>
      </c>
      <c r="C563" s="117">
        <v>18042.95</v>
      </c>
    </row>
    <row r="564" spans="2:3" x14ac:dyDescent="0.25">
      <c r="B564" s="116">
        <v>44929</v>
      </c>
      <c r="C564" s="117">
        <v>18232.55</v>
      </c>
    </row>
    <row r="565" spans="2:3" x14ac:dyDescent="0.25">
      <c r="B565" s="116">
        <v>44928</v>
      </c>
      <c r="C565" s="117">
        <v>18197.45</v>
      </c>
    </row>
    <row r="566" spans="2:3" x14ac:dyDescent="0.25">
      <c r="B566" s="116">
        <v>44925</v>
      </c>
      <c r="C566" s="117">
        <v>18105.3</v>
      </c>
    </row>
    <row r="567" spans="2:3" x14ac:dyDescent="0.25">
      <c r="B567" s="116">
        <v>44924</v>
      </c>
      <c r="C567" s="117">
        <v>18191</v>
      </c>
    </row>
    <row r="568" spans="2:3" x14ac:dyDescent="0.25">
      <c r="B568" s="116">
        <v>44923</v>
      </c>
      <c r="C568" s="117">
        <v>18122.5</v>
      </c>
    </row>
    <row r="569" spans="2:3" x14ac:dyDescent="0.25">
      <c r="B569" s="116">
        <v>44922</v>
      </c>
      <c r="C569" s="117">
        <v>18132.3</v>
      </c>
    </row>
    <row r="570" spans="2:3" x14ac:dyDescent="0.25">
      <c r="B570" s="116">
        <v>44921</v>
      </c>
      <c r="C570" s="117">
        <v>18014.599999999999</v>
      </c>
    </row>
    <row r="571" spans="2:3" x14ac:dyDescent="0.25">
      <c r="B571" s="116">
        <v>44918</v>
      </c>
      <c r="C571" s="117">
        <v>17806.8</v>
      </c>
    </row>
    <row r="572" spans="2:3" x14ac:dyDescent="0.25">
      <c r="B572" s="116">
        <v>44917</v>
      </c>
      <c r="C572" s="117">
        <v>18127.349999999999</v>
      </c>
    </row>
    <row r="573" spans="2:3" x14ac:dyDescent="0.25">
      <c r="B573" s="116">
        <v>44916</v>
      </c>
      <c r="C573" s="117">
        <v>18199.099999999999</v>
      </c>
    </row>
    <row r="574" spans="2:3" x14ac:dyDescent="0.25">
      <c r="B574" s="116">
        <v>44915</v>
      </c>
      <c r="C574" s="117">
        <v>18385.3</v>
      </c>
    </row>
    <row r="575" spans="2:3" x14ac:dyDescent="0.25">
      <c r="B575" s="116">
        <v>44914</v>
      </c>
      <c r="C575" s="117">
        <v>18420.45</v>
      </c>
    </row>
    <row r="576" spans="2:3" x14ac:dyDescent="0.25">
      <c r="B576" s="116">
        <v>44911</v>
      </c>
      <c r="C576" s="117">
        <v>18269</v>
      </c>
    </row>
    <row r="577" spans="2:3" x14ac:dyDescent="0.25">
      <c r="B577" s="116">
        <v>44910</v>
      </c>
      <c r="C577" s="117">
        <v>18414.900000000001</v>
      </c>
    </row>
    <row r="578" spans="2:3" x14ac:dyDescent="0.25">
      <c r="B578" s="116">
        <v>44909</v>
      </c>
      <c r="C578" s="117">
        <v>18660.3</v>
      </c>
    </row>
    <row r="579" spans="2:3" x14ac:dyDescent="0.25">
      <c r="B579" s="116">
        <v>44908</v>
      </c>
      <c r="C579" s="117">
        <v>18608</v>
      </c>
    </row>
    <row r="580" spans="2:3" x14ac:dyDescent="0.25">
      <c r="B580" s="116">
        <v>44907</v>
      </c>
      <c r="C580" s="117">
        <v>18497.150000000001</v>
      </c>
    </row>
    <row r="581" spans="2:3" x14ac:dyDescent="0.25">
      <c r="B581" s="116">
        <v>44904</v>
      </c>
      <c r="C581" s="117">
        <v>18496.599999999999</v>
      </c>
    </row>
    <row r="582" spans="2:3" x14ac:dyDescent="0.25">
      <c r="B582" s="116">
        <v>44903</v>
      </c>
      <c r="C582" s="117">
        <v>18609.349999999999</v>
      </c>
    </row>
    <row r="583" spans="2:3" x14ac:dyDescent="0.25">
      <c r="B583" s="116">
        <v>44902</v>
      </c>
      <c r="C583" s="117">
        <v>18560.5</v>
      </c>
    </row>
    <row r="584" spans="2:3" x14ac:dyDescent="0.25">
      <c r="B584" s="116">
        <v>44901</v>
      </c>
      <c r="C584" s="117">
        <v>18642.75</v>
      </c>
    </row>
    <row r="585" spans="2:3" x14ac:dyDescent="0.25">
      <c r="B585" s="116">
        <v>44900</v>
      </c>
      <c r="C585" s="117">
        <v>18701.05</v>
      </c>
    </row>
    <row r="586" spans="2:3" x14ac:dyDescent="0.25">
      <c r="B586" s="116">
        <v>44897</v>
      </c>
      <c r="C586" s="117">
        <v>18696.099999999999</v>
      </c>
    </row>
    <row r="587" spans="2:3" x14ac:dyDescent="0.25">
      <c r="B587" s="116">
        <v>44896</v>
      </c>
      <c r="C587" s="117">
        <v>18812.5</v>
      </c>
    </row>
    <row r="588" spans="2:3" x14ac:dyDescent="0.25">
      <c r="B588" s="116">
        <v>44895</v>
      </c>
      <c r="C588" s="117">
        <v>18758.349999999999</v>
      </c>
    </row>
    <row r="589" spans="2:3" x14ac:dyDescent="0.25">
      <c r="B589" s="116">
        <v>44894</v>
      </c>
      <c r="C589" s="117">
        <v>18618.05</v>
      </c>
    </row>
    <row r="590" spans="2:3" x14ac:dyDescent="0.25">
      <c r="B590" s="116">
        <v>44893</v>
      </c>
      <c r="C590" s="117">
        <v>18562.75</v>
      </c>
    </row>
    <row r="591" spans="2:3" x14ac:dyDescent="0.25">
      <c r="B591" s="116">
        <v>44890</v>
      </c>
      <c r="C591" s="117">
        <v>18512.75</v>
      </c>
    </row>
    <row r="592" spans="2:3" x14ac:dyDescent="0.25">
      <c r="B592" s="116">
        <v>44889</v>
      </c>
      <c r="C592" s="117">
        <v>18484.099999999999</v>
      </c>
    </row>
    <row r="593" spans="2:3" x14ac:dyDescent="0.25">
      <c r="B593" s="116">
        <v>44888</v>
      </c>
      <c r="C593" s="117">
        <v>18267.25</v>
      </c>
    </row>
    <row r="594" spans="2:3" x14ac:dyDescent="0.25">
      <c r="B594" s="116">
        <v>44887</v>
      </c>
      <c r="C594" s="117">
        <v>18244.2</v>
      </c>
    </row>
    <row r="595" spans="2:3" x14ac:dyDescent="0.25">
      <c r="B595" s="116">
        <v>44886</v>
      </c>
      <c r="C595" s="117">
        <v>18159.95</v>
      </c>
    </row>
    <row r="596" spans="2:3" x14ac:dyDescent="0.25">
      <c r="B596" s="116">
        <v>44883</v>
      </c>
      <c r="C596" s="117">
        <v>18307.650000000001</v>
      </c>
    </row>
    <row r="597" spans="2:3" x14ac:dyDescent="0.25">
      <c r="B597" s="116">
        <v>44882</v>
      </c>
      <c r="C597" s="117">
        <v>18343.900000000001</v>
      </c>
    </row>
    <row r="598" spans="2:3" x14ac:dyDescent="0.25">
      <c r="B598" s="116">
        <v>44881</v>
      </c>
      <c r="C598" s="117">
        <v>18409.650000000001</v>
      </c>
    </row>
    <row r="599" spans="2:3" x14ac:dyDescent="0.25">
      <c r="B599" s="116">
        <v>44880</v>
      </c>
      <c r="C599" s="117">
        <v>18403.400000000001</v>
      </c>
    </row>
    <row r="600" spans="2:3" x14ac:dyDescent="0.25">
      <c r="B600" s="116">
        <v>44879</v>
      </c>
      <c r="C600" s="117">
        <v>18329.150000000001</v>
      </c>
    </row>
    <row r="601" spans="2:3" x14ac:dyDescent="0.25">
      <c r="B601" s="116">
        <v>44876</v>
      </c>
      <c r="C601" s="117">
        <v>18349.7</v>
      </c>
    </row>
    <row r="602" spans="2:3" x14ac:dyDescent="0.25">
      <c r="B602" s="116">
        <v>44875</v>
      </c>
      <c r="C602" s="117">
        <v>18028.2</v>
      </c>
    </row>
    <row r="603" spans="2:3" x14ac:dyDescent="0.25">
      <c r="B603" s="116">
        <v>44874</v>
      </c>
      <c r="C603" s="117">
        <v>18157</v>
      </c>
    </row>
    <row r="604" spans="2:3" x14ac:dyDescent="0.25">
      <c r="B604" s="116">
        <v>44872</v>
      </c>
      <c r="C604" s="117">
        <v>18202.8</v>
      </c>
    </row>
    <row r="605" spans="2:3" x14ac:dyDescent="0.25">
      <c r="B605" s="116">
        <v>44869</v>
      </c>
      <c r="C605" s="117">
        <v>18117.150000000001</v>
      </c>
    </row>
    <row r="606" spans="2:3" x14ac:dyDescent="0.25">
      <c r="B606" s="116">
        <v>44868</v>
      </c>
      <c r="C606" s="117">
        <v>18052.7</v>
      </c>
    </row>
    <row r="607" spans="2:3" x14ac:dyDescent="0.25">
      <c r="B607" s="116">
        <v>44867</v>
      </c>
      <c r="C607" s="117">
        <v>18082.849999999999</v>
      </c>
    </row>
    <row r="608" spans="2:3" x14ac:dyDescent="0.25">
      <c r="B608" s="116">
        <v>44866</v>
      </c>
      <c r="C608" s="117">
        <v>18145.400000000001</v>
      </c>
    </row>
    <row r="609" spans="2:3" x14ac:dyDescent="0.25">
      <c r="B609" s="116">
        <v>44865</v>
      </c>
      <c r="C609" s="117">
        <v>18012.2</v>
      </c>
    </row>
    <row r="610" spans="2:3" x14ac:dyDescent="0.25">
      <c r="B610" s="116">
        <v>44862</v>
      </c>
      <c r="C610" s="117">
        <v>17786.8</v>
      </c>
    </row>
    <row r="611" spans="2:3" x14ac:dyDescent="0.25">
      <c r="B611" s="116">
        <v>44861</v>
      </c>
      <c r="C611" s="117">
        <v>17736.95</v>
      </c>
    </row>
    <row r="612" spans="2:3" x14ac:dyDescent="0.25">
      <c r="B612" s="116">
        <v>44859</v>
      </c>
      <c r="C612" s="117">
        <v>17656.349999999999</v>
      </c>
    </row>
    <row r="613" spans="2:3" x14ac:dyDescent="0.25">
      <c r="B613" s="116">
        <v>44858</v>
      </c>
      <c r="C613" s="117">
        <v>17730.75</v>
      </c>
    </row>
    <row r="614" spans="2:3" x14ac:dyDescent="0.25">
      <c r="B614" s="116">
        <v>44855</v>
      </c>
      <c r="C614" s="117">
        <v>17576.3</v>
      </c>
    </row>
    <row r="615" spans="2:3" x14ac:dyDescent="0.25">
      <c r="B615" s="116">
        <v>44854</v>
      </c>
      <c r="C615" s="117">
        <v>17563.95</v>
      </c>
    </row>
    <row r="616" spans="2:3" x14ac:dyDescent="0.25">
      <c r="B616" s="116">
        <v>44853</v>
      </c>
      <c r="C616" s="117">
        <v>17512.25</v>
      </c>
    </row>
    <row r="617" spans="2:3" x14ac:dyDescent="0.25">
      <c r="B617" s="116">
        <v>44852</v>
      </c>
      <c r="C617" s="117">
        <v>17486.95</v>
      </c>
    </row>
    <row r="618" spans="2:3" x14ac:dyDescent="0.25">
      <c r="B618" s="116">
        <v>44851</v>
      </c>
      <c r="C618" s="117">
        <v>17311.8</v>
      </c>
    </row>
    <row r="619" spans="2:3" x14ac:dyDescent="0.25">
      <c r="B619" s="116">
        <v>44848</v>
      </c>
      <c r="C619" s="117">
        <v>17185.7</v>
      </c>
    </row>
    <row r="620" spans="2:3" x14ac:dyDescent="0.25">
      <c r="B620" s="116">
        <v>44847</v>
      </c>
      <c r="C620" s="117">
        <v>17014.349999999999</v>
      </c>
    </row>
    <row r="621" spans="2:3" x14ac:dyDescent="0.25">
      <c r="B621" s="116">
        <v>44846</v>
      </c>
      <c r="C621" s="117">
        <v>17123.599999999999</v>
      </c>
    </row>
    <row r="622" spans="2:3" x14ac:dyDescent="0.25">
      <c r="B622" s="116">
        <v>44845</v>
      </c>
      <c r="C622" s="117">
        <v>16983.55</v>
      </c>
    </row>
    <row r="623" spans="2:3" x14ac:dyDescent="0.25">
      <c r="B623" s="116">
        <v>44844</v>
      </c>
      <c r="C623" s="117">
        <v>17241</v>
      </c>
    </row>
    <row r="624" spans="2:3" x14ac:dyDescent="0.25">
      <c r="B624" s="116">
        <v>44841</v>
      </c>
      <c r="C624" s="117">
        <v>17314.650000000001</v>
      </c>
    </row>
    <row r="625" spans="2:3" x14ac:dyDescent="0.25">
      <c r="B625" s="116">
        <v>44840</v>
      </c>
      <c r="C625" s="117">
        <v>17331.8</v>
      </c>
    </row>
    <row r="626" spans="2:3" x14ac:dyDescent="0.25">
      <c r="B626" s="116">
        <v>44838</v>
      </c>
      <c r="C626" s="117">
        <v>17274.3</v>
      </c>
    </row>
    <row r="627" spans="2:3" x14ac:dyDescent="0.25">
      <c r="B627" s="116">
        <v>44837</v>
      </c>
      <c r="C627" s="117">
        <v>16887.349999999999</v>
      </c>
    </row>
    <row r="628" spans="2:3" x14ac:dyDescent="0.25">
      <c r="B628" s="116">
        <v>44834</v>
      </c>
      <c r="C628" s="117">
        <v>17094.349999999999</v>
      </c>
    </row>
    <row r="629" spans="2:3" x14ac:dyDescent="0.25">
      <c r="B629" s="116">
        <v>44833</v>
      </c>
      <c r="C629" s="117">
        <v>16818.099999999999</v>
      </c>
    </row>
    <row r="630" spans="2:3" x14ac:dyDescent="0.25">
      <c r="B630" s="116">
        <v>44832</v>
      </c>
      <c r="C630" s="117">
        <v>16858.599999999999</v>
      </c>
    </row>
    <row r="631" spans="2:3" x14ac:dyDescent="0.25">
      <c r="B631" s="116">
        <v>44831</v>
      </c>
      <c r="C631" s="117">
        <v>17007.400000000001</v>
      </c>
    </row>
    <row r="632" spans="2:3" x14ac:dyDescent="0.25">
      <c r="B632" s="116">
        <v>44830</v>
      </c>
      <c r="C632" s="117">
        <v>17016.3</v>
      </c>
    </row>
    <row r="633" spans="2:3" x14ac:dyDescent="0.25">
      <c r="B633" s="116">
        <v>44827</v>
      </c>
      <c r="C633" s="117">
        <v>17327.349999999999</v>
      </c>
    </row>
    <row r="634" spans="2:3" x14ac:dyDescent="0.25">
      <c r="B634" s="116">
        <v>44826</v>
      </c>
      <c r="C634" s="117">
        <v>17629.8</v>
      </c>
    </row>
    <row r="635" spans="2:3" x14ac:dyDescent="0.25">
      <c r="B635" s="116">
        <v>44825</v>
      </c>
      <c r="C635" s="117">
        <v>17718.349999999999</v>
      </c>
    </row>
    <row r="636" spans="2:3" x14ac:dyDescent="0.25">
      <c r="B636" s="116">
        <v>44824</v>
      </c>
      <c r="C636" s="117">
        <v>17816.25</v>
      </c>
    </row>
    <row r="637" spans="2:3" x14ac:dyDescent="0.25">
      <c r="B637" s="116">
        <v>44823</v>
      </c>
      <c r="C637" s="117">
        <v>17622.25</v>
      </c>
    </row>
    <row r="638" spans="2:3" x14ac:dyDescent="0.25">
      <c r="B638" s="116">
        <v>44820</v>
      </c>
      <c r="C638" s="117">
        <v>17530.849999999999</v>
      </c>
    </row>
    <row r="639" spans="2:3" x14ac:dyDescent="0.25">
      <c r="B639" s="116">
        <v>44819</v>
      </c>
      <c r="C639" s="117">
        <v>17877.400000000001</v>
      </c>
    </row>
    <row r="640" spans="2:3" x14ac:dyDescent="0.25">
      <c r="B640" s="116">
        <v>44818</v>
      </c>
      <c r="C640" s="117">
        <v>18003.75</v>
      </c>
    </row>
    <row r="641" spans="2:3" x14ac:dyDescent="0.25">
      <c r="B641" s="116">
        <v>44817</v>
      </c>
      <c r="C641" s="117">
        <v>18070.05</v>
      </c>
    </row>
    <row r="642" spans="2:3" x14ac:dyDescent="0.25">
      <c r="B642" s="116">
        <v>44816</v>
      </c>
      <c r="C642" s="117">
        <v>17936.349999999999</v>
      </c>
    </row>
    <row r="643" spans="2:3" x14ac:dyDescent="0.25">
      <c r="B643" s="116">
        <v>44813</v>
      </c>
      <c r="C643" s="117">
        <v>17833.349999999999</v>
      </c>
    </row>
    <row r="644" spans="2:3" x14ac:dyDescent="0.25">
      <c r="B644" s="116">
        <v>44812</v>
      </c>
      <c r="C644" s="117">
        <v>17798.75</v>
      </c>
    </row>
    <row r="645" spans="2:3" x14ac:dyDescent="0.25">
      <c r="B645" s="116">
        <v>44811</v>
      </c>
      <c r="C645" s="117">
        <v>17624.400000000001</v>
      </c>
    </row>
    <row r="646" spans="2:3" x14ac:dyDescent="0.25">
      <c r="B646" s="116">
        <v>44810</v>
      </c>
      <c r="C646" s="117">
        <v>17655.599999999999</v>
      </c>
    </row>
    <row r="647" spans="2:3" x14ac:dyDescent="0.25">
      <c r="B647" s="116">
        <v>44809</v>
      </c>
      <c r="C647" s="117">
        <v>17665.8</v>
      </c>
    </row>
    <row r="648" spans="2:3" x14ac:dyDescent="0.25">
      <c r="B648" s="116">
        <v>44806</v>
      </c>
      <c r="C648" s="117">
        <v>17539.45</v>
      </c>
    </row>
    <row r="649" spans="2:3" x14ac:dyDescent="0.25">
      <c r="B649" s="116">
        <v>44805</v>
      </c>
      <c r="C649" s="117">
        <v>17542.8</v>
      </c>
    </row>
    <row r="650" spans="2:3" x14ac:dyDescent="0.25">
      <c r="B650" s="116">
        <v>44803</v>
      </c>
      <c r="C650" s="117">
        <v>17759.3</v>
      </c>
    </row>
    <row r="651" spans="2:3" x14ac:dyDescent="0.25">
      <c r="B651" s="116">
        <v>44802</v>
      </c>
      <c r="C651" s="117">
        <v>17312.900000000001</v>
      </c>
    </row>
    <row r="652" spans="2:3" x14ac:dyDescent="0.25">
      <c r="B652" s="116">
        <v>44799</v>
      </c>
      <c r="C652" s="117">
        <v>17558.900000000001</v>
      </c>
    </row>
    <row r="653" spans="2:3" x14ac:dyDescent="0.25">
      <c r="B653" s="116">
        <v>44798</v>
      </c>
      <c r="C653" s="117">
        <v>17522.45</v>
      </c>
    </row>
    <row r="654" spans="2:3" x14ac:dyDescent="0.25">
      <c r="B654" s="116">
        <v>44797</v>
      </c>
      <c r="C654" s="117">
        <v>17604.95</v>
      </c>
    </row>
    <row r="655" spans="2:3" x14ac:dyDescent="0.25">
      <c r="B655" s="116">
        <v>44796</v>
      </c>
      <c r="C655" s="117">
        <v>17577.5</v>
      </c>
    </row>
    <row r="656" spans="2:3" x14ac:dyDescent="0.25">
      <c r="B656" s="116">
        <v>44795</v>
      </c>
      <c r="C656" s="117">
        <v>17490.7</v>
      </c>
    </row>
    <row r="657" spans="2:3" x14ac:dyDescent="0.25">
      <c r="B657" s="116">
        <v>44792</v>
      </c>
      <c r="C657" s="117">
        <v>17758.45</v>
      </c>
    </row>
    <row r="658" spans="2:3" x14ac:dyDescent="0.25">
      <c r="B658" s="116">
        <v>44791</v>
      </c>
      <c r="C658" s="117">
        <v>17956.5</v>
      </c>
    </row>
    <row r="659" spans="2:3" x14ac:dyDescent="0.25">
      <c r="B659" s="116">
        <v>44790</v>
      </c>
      <c r="C659" s="117">
        <v>17944.25</v>
      </c>
    </row>
    <row r="660" spans="2:3" x14ac:dyDescent="0.25">
      <c r="B660" s="116">
        <v>44789</v>
      </c>
      <c r="C660" s="117">
        <v>17825.25</v>
      </c>
    </row>
    <row r="661" spans="2:3" x14ac:dyDescent="0.25">
      <c r="B661" s="116">
        <v>44785</v>
      </c>
      <c r="C661" s="117">
        <v>17698.150000000001</v>
      </c>
    </row>
    <row r="662" spans="2:3" x14ac:dyDescent="0.25">
      <c r="B662" s="116">
        <v>44784</v>
      </c>
      <c r="C662" s="117">
        <v>17659</v>
      </c>
    </row>
    <row r="663" spans="2:3" x14ac:dyDescent="0.25">
      <c r="B663" s="116">
        <v>44783</v>
      </c>
      <c r="C663" s="117">
        <v>17534.75</v>
      </c>
    </row>
    <row r="664" spans="2:3" x14ac:dyDescent="0.25">
      <c r="B664" s="116">
        <v>44781</v>
      </c>
      <c r="C664" s="117">
        <v>17525.099999999999</v>
      </c>
    </row>
    <row r="665" spans="2:3" x14ac:dyDescent="0.25">
      <c r="B665" s="116">
        <v>44778</v>
      </c>
      <c r="C665" s="117">
        <v>17397.5</v>
      </c>
    </row>
    <row r="666" spans="2:3" x14ac:dyDescent="0.25">
      <c r="B666" s="116">
        <v>44777</v>
      </c>
      <c r="C666" s="117">
        <v>17382</v>
      </c>
    </row>
    <row r="667" spans="2:3" x14ac:dyDescent="0.25">
      <c r="B667" s="116">
        <v>44776</v>
      </c>
      <c r="C667" s="117">
        <v>17388.150000000001</v>
      </c>
    </row>
    <row r="668" spans="2:3" x14ac:dyDescent="0.25">
      <c r="B668" s="116">
        <v>44775</v>
      </c>
      <c r="C668" s="117">
        <v>17345.45</v>
      </c>
    </row>
    <row r="669" spans="2:3" x14ac:dyDescent="0.25">
      <c r="B669" s="116">
        <v>44774</v>
      </c>
      <c r="C669" s="117">
        <v>17340.05</v>
      </c>
    </row>
    <row r="670" spans="2:3" x14ac:dyDescent="0.25">
      <c r="B670" s="116">
        <v>44771</v>
      </c>
      <c r="C670" s="117">
        <v>17158.25</v>
      </c>
    </row>
    <row r="671" spans="2:3" x14ac:dyDescent="0.25">
      <c r="B671" s="116">
        <v>44770</v>
      </c>
      <c r="C671" s="117">
        <v>16929.599999999999</v>
      </c>
    </row>
    <row r="672" spans="2:3" x14ac:dyDescent="0.25">
      <c r="B672" s="116">
        <v>44769</v>
      </c>
      <c r="C672" s="117">
        <v>16641.8</v>
      </c>
    </row>
    <row r="673" spans="2:3" x14ac:dyDescent="0.25">
      <c r="B673" s="116">
        <v>44768</v>
      </c>
      <c r="C673" s="117">
        <v>16483.849999999999</v>
      </c>
    </row>
    <row r="674" spans="2:3" x14ac:dyDescent="0.25">
      <c r="B674" s="116">
        <v>44767</v>
      </c>
      <c r="C674" s="117">
        <v>16631</v>
      </c>
    </row>
    <row r="675" spans="2:3" x14ac:dyDescent="0.25">
      <c r="B675" s="116">
        <v>44764</v>
      </c>
      <c r="C675" s="117">
        <v>16719.45</v>
      </c>
    </row>
    <row r="676" spans="2:3" x14ac:dyDescent="0.25">
      <c r="B676" s="116">
        <v>44763</v>
      </c>
      <c r="C676" s="117">
        <v>16605.25</v>
      </c>
    </row>
    <row r="677" spans="2:3" x14ac:dyDescent="0.25">
      <c r="B677" s="116">
        <v>44762</v>
      </c>
      <c r="C677" s="117">
        <v>16520.849999999999</v>
      </c>
    </row>
    <row r="678" spans="2:3" x14ac:dyDescent="0.25">
      <c r="B678" s="116">
        <v>44761</v>
      </c>
      <c r="C678" s="117">
        <v>16340.55</v>
      </c>
    </row>
    <row r="679" spans="2:3" x14ac:dyDescent="0.25">
      <c r="B679" s="116">
        <v>44760</v>
      </c>
      <c r="C679" s="117">
        <v>16278.5</v>
      </c>
    </row>
    <row r="680" spans="2:3" x14ac:dyDescent="0.25">
      <c r="B680" s="116">
        <v>44757</v>
      </c>
      <c r="C680" s="117">
        <v>16049.2</v>
      </c>
    </row>
    <row r="681" spans="2:3" x14ac:dyDescent="0.25">
      <c r="B681" s="116">
        <v>44756</v>
      </c>
      <c r="C681" s="117">
        <v>15938.65</v>
      </c>
    </row>
    <row r="682" spans="2:3" x14ac:dyDescent="0.25">
      <c r="B682" s="116">
        <v>44755</v>
      </c>
      <c r="C682" s="117">
        <v>15966.65</v>
      </c>
    </row>
    <row r="683" spans="2:3" x14ac:dyDescent="0.25">
      <c r="B683" s="116">
        <v>44754</v>
      </c>
      <c r="C683" s="117">
        <v>16058.3</v>
      </c>
    </row>
    <row r="684" spans="2:3" x14ac:dyDescent="0.25">
      <c r="B684" s="116">
        <v>44753</v>
      </c>
      <c r="C684" s="117">
        <v>16216</v>
      </c>
    </row>
    <row r="685" spans="2:3" x14ac:dyDescent="0.25">
      <c r="B685" s="116">
        <v>44750</v>
      </c>
      <c r="C685" s="117">
        <v>16220.6</v>
      </c>
    </row>
    <row r="686" spans="2:3" x14ac:dyDescent="0.25">
      <c r="B686" s="116">
        <v>44749</v>
      </c>
      <c r="C686" s="117">
        <v>16132.9</v>
      </c>
    </row>
    <row r="687" spans="2:3" x14ac:dyDescent="0.25">
      <c r="B687" s="116">
        <v>44748</v>
      </c>
      <c r="C687" s="117">
        <v>15989.8</v>
      </c>
    </row>
    <row r="688" spans="2:3" x14ac:dyDescent="0.25">
      <c r="B688" s="116">
        <v>44747</v>
      </c>
      <c r="C688" s="117">
        <v>15810.85</v>
      </c>
    </row>
    <row r="689" spans="2:3" x14ac:dyDescent="0.25">
      <c r="B689" s="116">
        <v>44746</v>
      </c>
      <c r="C689" s="117">
        <v>15835.35</v>
      </c>
    </row>
    <row r="690" spans="2:3" x14ac:dyDescent="0.25">
      <c r="B690" s="116">
        <v>44743</v>
      </c>
      <c r="C690" s="117">
        <v>15752.05</v>
      </c>
    </row>
    <row r="691" spans="2:3" x14ac:dyDescent="0.25">
      <c r="B691" s="116">
        <v>44742</v>
      </c>
      <c r="C691" s="117">
        <v>15780.25</v>
      </c>
    </row>
    <row r="692" spans="2:3" x14ac:dyDescent="0.25">
      <c r="B692" s="116">
        <v>44741</v>
      </c>
      <c r="C692" s="117">
        <v>15799.1</v>
      </c>
    </row>
    <row r="693" spans="2:3" x14ac:dyDescent="0.25">
      <c r="B693" s="116">
        <v>44740</v>
      </c>
      <c r="C693" s="117">
        <v>15850.2</v>
      </c>
    </row>
    <row r="694" spans="2:3" x14ac:dyDescent="0.25">
      <c r="B694" s="116">
        <v>44739</v>
      </c>
      <c r="C694" s="117">
        <v>15832.05</v>
      </c>
    </row>
    <row r="695" spans="2:3" x14ac:dyDescent="0.25">
      <c r="B695" s="116">
        <v>44736</v>
      </c>
      <c r="C695" s="117">
        <v>15699.25</v>
      </c>
    </row>
    <row r="696" spans="2:3" x14ac:dyDescent="0.25">
      <c r="B696" s="116">
        <v>44735</v>
      </c>
      <c r="C696" s="117">
        <v>15556.65</v>
      </c>
    </row>
    <row r="697" spans="2:3" x14ac:dyDescent="0.25">
      <c r="B697" s="116">
        <v>44734</v>
      </c>
      <c r="C697" s="117">
        <v>15413.3</v>
      </c>
    </row>
    <row r="698" spans="2:3" x14ac:dyDescent="0.25">
      <c r="B698" s="116">
        <v>44733</v>
      </c>
      <c r="C698" s="117">
        <v>15638.8</v>
      </c>
    </row>
    <row r="699" spans="2:3" x14ac:dyDescent="0.25">
      <c r="B699" s="116">
        <v>44732</v>
      </c>
      <c r="C699" s="117">
        <v>15350.15</v>
      </c>
    </row>
    <row r="700" spans="2:3" x14ac:dyDescent="0.25">
      <c r="B700" s="116">
        <v>44729</v>
      </c>
      <c r="C700" s="117">
        <v>15293.5</v>
      </c>
    </row>
    <row r="701" spans="2:3" x14ac:dyDescent="0.25">
      <c r="B701" s="116">
        <v>44728</v>
      </c>
      <c r="C701" s="117">
        <v>15360.6</v>
      </c>
    </row>
    <row r="702" spans="2:3" x14ac:dyDescent="0.25">
      <c r="B702" s="116">
        <v>44727</v>
      </c>
      <c r="C702" s="117">
        <v>15692.15</v>
      </c>
    </row>
    <row r="703" spans="2:3" x14ac:dyDescent="0.25">
      <c r="B703" s="116">
        <v>44726</v>
      </c>
      <c r="C703" s="117">
        <v>15732.1</v>
      </c>
    </row>
    <row r="704" spans="2:3" x14ac:dyDescent="0.25">
      <c r="B704" s="116">
        <v>44725</v>
      </c>
      <c r="C704" s="117">
        <v>15774.4</v>
      </c>
    </row>
    <row r="705" spans="2:3" x14ac:dyDescent="0.25">
      <c r="B705" s="116">
        <v>44722</v>
      </c>
      <c r="C705" s="117">
        <v>16201.8</v>
      </c>
    </row>
    <row r="706" spans="2:3" x14ac:dyDescent="0.25">
      <c r="B706" s="116">
        <v>44721</v>
      </c>
      <c r="C706" s="117">
        <v>16478.099999999999</v>
      </c>
    </row>
    <row r="707" spans="2:3" x14ac:dyDescent="0.25">
      <c r="B707" s="116">
        <v>44720</v>
      </c>
      <c r="C707" s="117">
        <v>16356.25</v>
      </c>
    </row>
    <row r="708" spans="2:3" x14ac:dyDescent="0.25">
      <c r="B708" s="116">
        <v>44719</v>
      </c>
      <c r="C708" s="117">
        <v>16416.349999999999</v>
      </c>
    </row>
    <row r="709" spans="2:3" x14ac:dyDescent="0.25">
      <c r="B709" s="116">
        <v>44718</v>
      </c>
      <c r="C709" s="117">
        <v>16569.55</v>
      </c>
    </row>
    <row r="710" spans="2:3" x14ac:dyDescent="0.25">
      <c r="B710" s="116">
        <v>44715</v>
      </c>
      <c r="C710" s="117">
        <v>16584.3</v>
      </c>
    </row>
    <row r="711" spans="2:3" x14ac:dyDescent="0.25">
      <c r="B711" s="116">
        <v>44714</v>
      </c>
      <c r="C711" s="117">
        <v>16628</v>
      </c>
    </row>
    <row r="712" spans="2:3" x14ac:dyDescent="0.25">
      <c r="B712" s="116">
        <v>44713</v>
      </c>
      <c r="C712" s="117">
        <v>16522.75</v>
      </c>
    </row>
    <row r="713" spans="2:3" x14ac:dyDescent="0.25">
      <c r="B713" s="116">
        <v>44712</v>
      </c>
      <c r="C713" s="117">
        <v>16584.55</v>
      </c>
    </row>
    <row r="714" spans="2:3" x14ac:dyDescent="0.25">
      <c r="B714" s="116">
        <v>44711</v>
      </c>
      <c r="C714" s="117">
        <v>16661.400000000001</v>
      </c>
    </row>
    <row r="715" spans="2:3" x14ac:dyDescent="0.25">
      <c r="B715" s="116">
        <v>44708</v>
      </c>
      <c r="C715" s="117">
        <v>16352.45</v>
      </c>
    </row>
    <row r="716" spans="2:3" x14ac:dyDescent="0.25">
      <c r="B716" s="116">
        <v>44707</v>
      </c>
      <c r="C716" s="117">
        <v>16170.15</v>
      </c>
    </row>
    <row r="717" spans="2:3" x14ac:dyDescent="0.25">
      <c r="B717" s="116">
        <v>44706</v>
      </c>
      <c r="C717" s="117">
        <v>16025.8</v>
      </c>
    </row>
    <row r="718" spans="2:3" x14ac:dyDescent="0.25">
      <c r="B718" s="116">
        <v>44705</v>
      </c>
      <c r="C718" s="117">
        <v>16125.15</v>
      </c>
    </row>
    <row r="719" spans="2:3" x14ac:dyDescent="0.25">
      <c r="B719" s="116">
        <v>44704</v>
      </c>
      <c r="C719" s="117">
        <v>16214.7</v>
      </c>
    </row>
    <row r="720" spans="2:3" x14ac:dyDescent="0.25">
      <c r="B720" s="116">
        <v>44701</v>
      </c>
      <c r="C720" s="117">
        <v>16266.15</v>
      </c>
    </row>
    <row r="721" spans="2:3" x14ac:dyDescent="0.25">
      <c r="B721" s="116">
        <v>44700</v>
      </c>
      <c r="C721" s="117">
        <v>15809.4</v>
      </c>
    </row>
    <row r="722" spans="2:3" x14ac:dyDescent="0.25">
      <c r="B722" s="116">
        <v>44699</v>
      </c>
      <c r="C722" s="117">
        <v>16240.3</v>
      </c>
    </row>
    <row r="723" spans="2:3" x14ac:dyDescent="0.25">
      <c r="B723" s="116">
        <v>44698</v>
      </c>
      <c r="C723" s="117">
        <v>16259.3</v>
      </c>
    </row>
    <row r="724" spans="2:3" x14ac:dyDescent="0.25">
      <c r="B724" s="116">
        <v>44697</v>
      </c>
      <c r="C724" s="117">
        <v>15842.3</v>
      </c>
    </row>
    <row r="725" spans="2:3" x14ac:dyDescent="0.25">
      <c r="B725" s="116">
        <v>44694</v>
      </c>
      <c r="C725" s="117">
        <v>15782.15</v>
      </c>
    </row>
    <row r="726" spans="2:3" x14ac:dyDescent="0.25">
      <c r="B726" s="116">
        <v>44693</v>
      </c>
      <c r="C726" s="117">
        <v>15808</v>
      </c>
    </row>
    <row r="727" spans="2:3" x14ac:dyDescent="0.25">
      <c r="B727" s="116">
        <v>44692</v>
      </c>
      <c r="C727" s="117">
        <v>16167.1</v>
      </c>
    </row>
    <row r="728" spans="2:3" x14ac:dyDescent="0.25">
      <c r="B728" s="116">
        <v>44691</v>
      </c>
      <c r="C728" s="117">
        <v>16240.05</v>
      </c>
    </row>
    <row r="729" spans="2:3" x14ac:dyDescent="0.25">
      <c r="B729" s="116">
        <v>44690</v>
      </c>
      <c r="C729" s="117">
        <v>16301.85</v>
      </c>
    </row>
    <row r="730" spans="2:3" x14ac:dyDescent="0.25">
      <c r="B730" s="116">
        <v>44687</v>
      </c>
      <c r="C730" s="117">
        <v>16411.25</v>
      </c>
    </row>
    <row r="731" spans="2:3" x14ac:dyDescent="0.25">
      <c r="B731" s="116">
        <v>44686</v>
      </c>
      <c r="C731" s="117">
        <v>16682.650000000001</v>
      </c>
    </row>
    <row r="732" spans="2:3" x14ac:dyDescent="0.25">
      <c r="B732" s="116">
        <v>44685</v>
      </c>
      <c r="C732" s="117">
        <v>16677.599999999999</v>
      </c>
    </row>
    <row r="733" spans="2:3" x14ac:dyDescent="0.25">
      <c r="B733" s="116">
        <v>44683</v>
      </c>
      <c r="C733" s="117">
        <v>17069.099999999999</v>
      </c>
    </row>
    <row r="734" spans="2:3" x14ac:dyDescent="0.25">
      <c r="B734" s="116">
        <v>44680</v>
      </c>
      <c r="C734" s="117">
        <v>17102.55</v>
      </c>
    </row>
    <row r="735" spans="2:3" x14ac:dyDescent="0.25">
      <c r="B735" s="116">
        <v>44679</v>
      </c>
      <c r="C735" s="117">
        <v>17245.05</v>
      </c>
    </row>
    <row r="736" spans="2:3" x14ac:dyDescent="0.25">
      <c r="B736" s="116">
        <v>44678</v>
      </c>
      <c r="C736" s="117">
        <v>17038.400000000001</v>
      </c>
    </row>
    <row r="737" spans="2:3" x14ac:dyDescent="0.25">
      <c r="B737" s="116">
        <v>44677</v>
      </c>
      <c r="C737" s="117">
        <v>17200.8</v>
      </c>
    </row>
    <row r="738" spans="2:3" x14ac:dyDescent="0.25">
      <c r="B738" s="116">
        <v>44676</v>
      </c>
      <c r="C738" s="117">
        <v>16953.95</v>
      </c>
    </row>
    <row r="739" spans="2:3" x14ac:dyDescent="0.25">
      <c r="B739" s="116">
        <v>44673</v>
      </c>
      <c r="C739" s="117">
        <v>17171.95</v>
      </c>
    </row>
    <row r="740" spans="2:3" x14ac:dyDescent="0.25">
      <c r="B740" s="116">
        <v>44672</v>
      </c>
      <c r="C740" s="117">
        <v>17392.599999999999</v>
      </c>
    </row>
    <row r="741" spans="2:3" x14ac:dyDescent="0.25">
      <c r="B741" s="116">
        <v>44671</v>
      </c>
      <c r="C741" s="117">
        <v>17136.55</v>
      </c>
    </row>
    <row r="742" spans="2:3" x14ac:dyDescent="0.25">
      <c r="B742" s="116">
        <v>44670</v>
      </c>
      <c r="C742" s="117">
        <v>16958.650000000001</v>
      </c>
    </row>
    <row r="743" spans="2:3" x14ac:dyDescent="0.25">
      <c r="B743" s="116">
        <v>44669</v>
      </c>
      <c r="C743" s="117">
        <v>17173.650000000001</v>
      </c>
    </row>
    <row r="744" spans="2:3" x14ac:dyDescent="0.25">
      <c r="B744" s="116">
        <v>44664</v>
      </c>
      <c r="C744" s="117">
        <v>17475.650000000001</v>
      </c>
    </row>
    <row r="745" spans="2:3" x14ac:dyDescent="0.25">
      <c r="B745" s="116">
        <v>44663</v>
      </c>
      <c r="C745" s="117">
        <v>17530.3</v>
      </c>
    </row>
    <row r="746" spans="2:3" x14ac:dyDescent="0.25">
      <c r="B746" s="116">
        <v>44662</v>
      </c>
      <c r="C746" s="117">
        <v>17674.95</v>
      </c>
    </row>
    <row r="747" spans="2:3" x14ac:dyDescent="0.25">
      <c r="B747" s="116">
        <v>44659</v>
      </c>
      <c r="C747" s="117">
        <v>17784.349999999999</v>
      </c>
    </row>
    <row r="748" spans="2:3" x14ac:dyDescent="0.25">
      <c r="B748" s="116">
        <v>44658</v>
      </c>
      <c r="C748" s="117">
        <v>17639.55</v>
      </c>
    </row>
    <row r="749" spans="2:3" x14ac:dyDescent="0.25">
      <c r="B749" s="116">
        <v>44657</v>
      </c>
      <c r="C749" s="117">
        <v>17807.650000000001</v>
      </c>
    </row>
    <row r="750" spans="2:3" x14ac:dyDescent="0.25">
      <c r="B750" s="116">
        <v>44656</v>
      </c>
      <c r="C750" s="117">
        <v>17957.400000000001</v>
      </c>
    </row>
    <row r="751" spans="2:3" x14ac:dyDescent="0.25">
      <c r="B751" s="116">
        <v>44655</v>
      </c>
      <c r="C751" s="117">
        <v>18053.400000000001</v>
      </c>
    </row>
    <row r="752" spans="2:3" x14ac:dyDescent="0.25">
      <c r="B752" s="116">
        <v>44652</v>
      </c>
      <c r="C752" s="117">
        <v>17670.45</v>
      </c>
    </row>
    <row r="753" spans="2:3" x14ac:dyDescent="0.25">
      <c r="B753" s="116">
        <v>44651</v>
      </c>
      <c r="C753" s="117">
        <v>17464.75</v>
      </c>
    </row>
    <row r="754" spans="2:3" x14ac:dyDescent="0.25">
      <c r="B754" s="116">
        <v>44650</v>
      </c>
      <c r="C754" s="117">
        <v>17498.25</v>
      </c>
    </row>
    <row r="755" spans="2:3" x14ac:dyDescent="0.25">
      <c r="B755" s="116">
        <v>44649</v>
      </c>
      <c r="C755" s="117">
        <v>17325.3</v>
      </c>
    </row>
    <row r="756" spans="2:3" x14ac:dyDescent="0.25">
      <c r="B756" s="116">
        <v>44648</v>
      </c>
      <c r="C756" s="117">
        <v>17222</v>
      </c>
    </row>
    <row r="757" spans="2:3" x14ac:dyDescent="0.25">
      <c r="B757" s="116">
        <v>44645</v>
      </c>
      <c r="C757" s="117">
        <v>17153</v>
      </c>
    </row>
    <row r="758" spans="2:3" x14ac:dyDescent="0.25">
      <c r="B758" s="116">
        <v>44644</v>
      </c>
      <c r="C758" s="117">
        <v>17222.75</v>
      </c>
    </row>
    <row r="759" spans="2:3" x14ac:dyDescent="0.25">
      <c r="B759" s="116">
        <v>44643</v>
      </c>
      <c r="C759" s="117">
        <v>17245.650000000001</v>
      </c>
    </row>
    <row r="760" spans="2:3" x14ac:dyDescent="0.25">
      <c r="B760" s="116">
        <v>44642</v>
      </c>
      <c r="C760" s="117">
        <v>17315.5</v>
      </c>
    </row>
    <row r="761" spans="2:3" x14ac:dyDescent="0.25">
      <c r="B761" s="116">
        <v>44641</v>
      </c>
      <c r="C761" s="117">
        <v>17117.599999999999</v>
      </c>
    </row>
    <row r="762" spans="2:3" x14ac:dyDescent="0.25">
      <c r="B762" s="116">
        <v>44637</v>
      </c>
      <c r="C762" s="117">
        <v>17287.05</v>
      </c>
    </row>
    <row r="763" spans="2:3" x14ac:dyDescent="0.25">
      <c r="B763" s="116">
        <v>44636</v>
      </c>
      <c r="C763" s="117">
        <v>16975.349999999999</v>
      </c>
    </row>
    <row r="764" spans="2:3" x14ac:dyDescent="0.25">
      <c r="B764" s="116">
        <v>44635</v>
      </c>
      <c r="C764" s="117">
        <v>16663</v>
      </c>
    </row>
    <row r="765" spans="2:3" x14ac:dyDescent="0.25">
      <c r="B765" s="116">
        <v>44634</v>
      </c>
      <c r="C765" s="117">
        <v>16871.3</v>
      </c>
    </row>
    <row r="766" spans="2:3" x14ac:dyDescent="0.25">
      <c r="B766" s="116">
        <v>44631</v>
      </c>
      <c r="C766" s="117">
        <v>16630.45</v>
      </c>
    </row>
    <row r="767" spans="2:3" x14ac:dyDescent="0.25">
      <c r="B767" s="116">
        <v>44630</v>
      </c>
      <c r="C767" s="117">
        <v>16594.900000000001</v>
      </c>
    </row>
    <row r="768" spans="2:3" x14ac:dyDescent="0.25">
      <c r="B768" s="116">
        <v>44629</v>
      </c>
      <c r="C768" s="117">
        <v>16345.35</v>
      </c>
    </row>
    <row r="769" spans="2:3" x14ac:dyDescent="0.25">
      <c r="B769" s="116">
        <v>44628</v>
      </c>
      <c r="C769" s="117">
        <v>16013.45</v>
      </c>
    </row>
    <row r="770" spans="2:3" x14ac:dyDescent="0.25">
      <c r="B770" s="116">
        <v>44627</v>
      </c>
      <c r="C770" s="117">
        <v>15863.15</v>
      </c>
    </row>
    <row r="771" spans="2:3" x14ac:dyDescent="0.25">
      <c r="B771" s="116">
        <v>44624</v>
      </c>
      <c r="C771" s="117">
        <v>16245.35</v>
      </c>
    </row>
    <row r="772" spans="2:3" x14ac:dyDescent="0.25">
      <c r="B772" s="116">
        <v>44623</v>
      </c>
      <c r="C772" s="117">
        <v>16498.05</v>
      </c>
    </row>
    <row r="773" spans="2:3" x14ac:dyDescent="0.25">
      <c r="B773" s="116">
        <v>44622</v>
      </c>
      <c r="C773" s="117">
        <v>16605.95</v>
      </c>
    </row>
    <row r="774" spans="2:3" x14ac:dyDescent="0.25">
      <c r="B774" s="116">
        <v>44620</v>
      </c>
      <c r="C774" s="117">
        <v>16793.900000000001</v>
      </c>
    </row>
    <row r="775" spans="2:3" x14ac:dyDescent="0.25">
      <c r="B775" s="116">
        <v>44617</v>
      </c>
      <c r="C775" s="117">
        <v>16658.400000000001</v>
      </c>
    </row>
    <row r="776" spans="2:3" x14ac:dyDescent="0.25">
      <c r="B776" s="116">
        <v>44616</v>
      </c>
      <c r="C776" s="117">
        <v>16247.95</v>
      </c>
    </row>
    <row r="777" spans="2:3" x14ac:dyDescent="0.25">
      <c r="B777" s="116">
        <v>44615</v>
      </c>
      <c r="C777" s="117">
        <v>17063.25</v>
      </c>
    </row>
    <row r="778" spans="2:3" x14ac:dyDescent="0.25">
      <c r="B778" s="116">
        <v>44614</v>
      </c>
      <c r="C778" s="117">
        <v>17092.2</v>
      </c>
    </row>
    <row r="779" spans="2:3" x14ac:dyDescent="0.25">
      <c r="B779" s="116">
        <v>44613</v>
      </c>
      <c r="C779" s="117">
        <v>17206.650000000001</v>
      </c>
    </row>
    <row r="780" spans="2:3" x14ac:dyDescent="0.25">
      <c r="B780" s="116">
        <v>44610</v>
      </c>
      <c r="C780" s="117">
        <v>17276.3</v>
      </c>
    </row>
    <row r="781" spans="2:3" x14ac:dyDescent="0.25">
      <c r="B781" s="116">
        <v>44609</v>
      </c>
      <c r="C781" s="117">
        <v>17304.599999999999</v>
      </c>
    </row>
    <row r="782" spans="2:3" x14ac:dyDescent="0.25">
      <c r="B782" s="116">
        <v>44608</v>
      </c>
      <c r="C782" s="117">
        <v>17322.2</v>
      </c>
    </row>
    <row r="783" spans="2:3" x14ac:dyDescent="0.25">
      <c r="B783" s="116">
        <v>44607</v>
      </c>
      <c r="C783" s="117">
        <v>17352.45</v>
      </c>
    </row>
    <row r="784" spans="2:3" x14ac:dyDescent="0.25">
      <c r="B784" s="116">
        <v>44606</v>
      </c>
      <c r="C784" s="117">
        <v>16842.8</v>
      </c>
    </row>
    <row r="785" spans="2:3" x14ac:dyDescent="0.25">
      <c r="B785" s="116">
        <v>44603</v>
      </c>
      <c r="C785" s="117">
        <v>17374.75</v>
      </c>
    </row>
    <row r="786" spans="2:3" x14ac:dyDescent="0.25">
      <c r="B786" s="116">
        <v>44602</v>
      </c>
      <c r="C786" s="117">
        <v>17605.849999999999</v>
      </c>
    </row>
    <row r="787" spans="2:3" x14ac:dyDescent="0.25">
      <c r="B787" s="116">
        <v>44601</v>
      </c>
      <c r="C787" s="117">
        <v>17463.8</v>
      </c>
    </row>
    <row r="788" spans="2:3" x14ac:dyDescent="0.25">
      <c r="B788" s="116">
        <v>44600</v>
      </c>
      <c r="C788" s="117">
        <v>17266.75</v>
      </c>
    </row>
    <row r="789" spans="2:3" x14ac:dyDescent="0.25">
      <c r="B789" s="116">
        <v>44599</v>
      </c>
      <c r="C789" s="117">
        <v>17213.599999999999</v>
      </c>
    </row>
    <row r="790" spans="2:3" x14ac:dyDescent="0.25">
      <c r="B790" s="116">
        <v>44596</v>
      </c>
      <c r="C790" s="117">
        <v>17516.3</v>
      </c>
    </row>
    <row r="791" spans="2:3" x14ac:dyDescent="0.25">
      <c r="B791" s="116">
        <v>44595</v>
      </c>
      <c r="C791" s="117">
        <v>17560.2</v>
      </c>
    </row>
    <row r="792" spans="2:3" x14ac:dyDescent="0.25">
      <c r="B792" s="116">
        <v>44594</v>
      </c>
      <c r="C792" s="117">
        <v>17780</v>
      </c>
    </row>
    <row r="793" spans="2:3" x14ac:dyDescent="0.25">
      <c r="B793" s="116">
        <v>44593</v>
      </c>
      <c r="C793" s="117">
        <v>17576.849999999999</v>
      </c>
    </row>
    <row r="794" spans="2:3" x14ac:dyDescent="0.25">
      <c r="B794" s="116">
        <v>44592</v>
      </c>
      <c r="C794" s="117">
        <v>17339.849999999999</v>
      </c>
    </row>
    <row r="795" spans="2:3" x14ac:dyDescent="0.25">
      <c r="B795" s="116">
        <v>44589</v>
      </c>
      <c r="C795" s="117">
        <v>17101.95</v>
      </c>
    </row>
    <row r="796" spans="2:3" x14ac:dyDescent="0.25">
      <c r="B796" s="116">
        <v>44588</v>
      </c>
      <c r="C796" s="117">
        <v>17110.150000000001</v>
      </c>
    </row>
    <row r="797" spans="2:3" x14ac:dyDescent="0.25">
      <c r="B797" s="116">
        <v>44586</v>
      </c>
      <c r="C797" s="117">
        <v>17277.95</v>
      </c>
    </row>
    <row r="798" spans="2:3" x14ac:dyDescent="0.25">
      <c r="B798" s="116">
        <v>44585</v>
      </c>
      <c r="C798" s="117">
        <v>17149.099999999999</v>
      </c>
    </row>
    <row r="799" spans="2:3" x14ac:dyDescent="0.25">
      <c r="B799" s="116">
        <v>44582</v>
      </c>
      <c r="C799" s="117">
        <v>17617.150000000001</v>
      </c>
    </row>
    <row r="800" spans="2:3" x14ac:dyDescent="0.25">
      <c r="B800" s="116">
        <v>44581</v>
      </c>
      <c r="C800" s="117">
        <v>17757</v>
      </c>
    </row>
    <row r="801" spans="2:3" x14ac:dyDescent="0.25">
      <c r="B801" s="116">
        <v>44580</v>
      </c>
      <c r="C801" s="117">
        <v>17938.400000000001</v>
      </c>
    </row>
    <row r="802" spans="2:3" x14ac:dyDescent="0.25">
      <c r="B802" s="116">
        <v>44579</v>
      </c>
      <c r="C802" s="117">
        <v>18113.05</v>
      </c>
    </row>
    <row r="803" spans="2:3" x14ac:dyDescent="0.25">
      <c r="B803" s="116">
        <v>44578</v>
      </c>
      <c r="C803" s="117">
        <v>18308.099999999999</v>
      </c>
    </row>
    <row r="804" spans="2:3" x14ac:dyDescent="0.25">
      <c r="B804" s="116">
        <v>44575</v>
      </c>
      <c r="C804" s="117">
        <v>18255.75</v>
      </c>
    </row>
    <row r="805" spans="2:3" x14ac:dyDescent="0.25">
      <c r="B805" s="116">
        <v>44574</v>
      </c>
      <c r="C805" s="117">
        <v>18257.8</v>
      </c>
    </row>
    <row r="806" spans="2:3" x14ac:dyDescent="0.25">
      <c r="B806" s="116">
        <v>44573</v>
      </c>
      <c r="C806" s="117">
        <v>18212.349999999999</v>
      </c>
    </row>
    <row r="807" spans="2:3" x14ac:dyDescent="0.25">
      <c r="B807" s="116">
        <v>44572</v>
      </c>
      <c r="C807" s="117">
        <v>18055.75</v>
      </c>
    </row>
    <row r="808" spans="2:3" x14ac:dyDescent="0.25">
      <c r="B808" s="116">
        <v>44571</v>
      </c>
      <c r="C808" s="117">
        <v>18003.3</v>
      </c>
    </row>
    <row r="809" spans="2:3" x14ac:dyDescent="0.25">
      <c r="B809" s="116">
        <v>44568</v>
      </c>
      <c r="C809" s="117">
        <v>17812.7</v>
      </c>
    </row>
    <row r="810" spans="2:3" x14ac:dyDescent="0.25">
      <c r="B810" s="116">
        <v>44567</v>
      </c>
      <c r="C810" s="117">
        <v>17745.900000000001</v>
      </c>
    </row>
    <row r="811" spans="2:3" x14ac:dyDescent="0.25">
      <c r="B811" s="116">
        <v>44566</v>
      </c>
      <c r="C811" s="117">
        <v>17925.25</v>
      </c>
    </row>
    <row r="812" spans="2:3" x14ac:dyDescent="0.25">
      <c r="B812" s="116">
        <v>44565</v>
      </c>
      <c r="C812" s="117">
        <v>17805.25</v>
      </c>
    </row>
    <row r="813" spans="2:3" x14ac:dyDescent="0.25">
      <c r="B813" s="116">
        <v>44564</v>
      </c>
      <c r="C813" s="117">
        <v>17625.7</v>
      </c>
    </row>
    <row r="814" spans="2:3" x14ac:dyDescent="0.25">
      <c r="B814" s="116">
        <v>44561</v>
      </c>
      <c r="C814" s="117">
        <v>17354.05</v>
      </c>
    </row>
    <row r="815" spans="2:3" x14ac:dyDescent="0.25">
      <c r="B815" s="116">
        <v>44560</v>
      </c>
      <c r="C815" s="117">
        <v>17203.95</v>
      </c>
    </row>
    <row r="816" spans="2:3" x14ac:dyDescent="0.25">
      <c r="B816" s="116">
        <v>44559</v>
      </c>
      <c r="C816" s="117">
        <v>17213.599999999999</v>
      </c>
    </row>
    <row r="817" spans="2:3" x14ac:dyDescent="0.25">
      <c r="B817" s="116">
        <v>44558</v>
      </c>
      <c r="C817" s="117">
        <v>17233.25</v>
      </c>
    </row>
    <row r="818" spans="2:3" x14ac:dyDescent="0.25">
      <c r="B818" s="116">
        <v>44557</v>
      </c>
      <c r="C818" s="117">
        <v>17086.25</v>
      </c>
    </row>
    <row r="819" spans="2:3" x14ac:dyDescent="0.25">
      <c r="B819" s="116">
        <v>44554</v>
      </c>
      <c r="C819" s="117">
        <v>17003.75</v>
      </c>
    </row>
    <row r="820" spans="2:3" x14ac:dyDescent="0.25">
      <c r="B820" s="116">
        <v>44553</v>
      </c>
      <c r="C820" s="117">
        <v>17072.599999999999</v>
      </c>
    </row>
    <row r="821" spans="2:3" x14ac:dyDescent="0.25">
      <c r="B821" s="116">
        <v>44552</v>
      </c>
      <c r="C821" s="117">
        <v>16955.45</v>
      </c>
    </row>
    <row r="822" spans="2:3" x14ac:dyDescent="0.25">
      <c r="B822" s="116">
        <v>44551</v>
      </c>
      <c r="C822" s="117">
        <v>16770.849999999999</v>
      </c>
    </row>
    <row r="823" spans="2:3" x14ac:dyDescent="0.25">
      <c r="B823" s="116">
        <v>44550</v>
      </c>
      <c r="C823" s="117">
        <v>16614.2</v>
      </c>
    </row>
    <row r="824" spans="2:3" x14ac:dyDescent="0.25">
      <c r="B824" s="116">
        <v>44547</v>
      </c>
      <c r="C824" s="117">
        <v>16985.2</v>
      </c>
    </row>
    <row r="825" spans="2:3" x14ac:dyDescent="0.25">
      <c r="B825" s="116">
        <v>44546</v>
      </c>
      <c r="C825" s="117">
        <v>17248.400000000001</v>
      </c>
    </row>
    <row r="826" spans="2:3" x14ac:dyDescent="0.25">
      <c r="B826" s="116">
        <v>44545</v>
      </c>
      <c r="C826" s="117">
        <v>17221.400000000001</v>
      </c>
    </row>
    <row r="827" spans="2:3" x14ac:dyDescent="0.25">
      <c r="B827" s="116">
        <v>44544</v>
      </c>
      <c r="C827" s="117">
        <v>17324.900000000001</v>
      </c>
    </row>
    <row r="828" spans="2:3" x14ac:dyDescent="0.25">
      <c r="B828" s="116">
        <v>44543</v>
      </c>
      <c r="C828" s="117">
        <v>17368.25</v>
      </c>
    </row>
    <row r="829" spans="2:3" x14ac:dyDescent="0.25">
      <c r="B829" s="116">
        <v>44540</v>
      </c>
      <c r="C829" s="117">
        <v>17511.3</v>
      </c>
    </row>
    <row r="830" spans="2:3" x14ac:dyDescent="0.25">
      <c r="B830" s="116">
        <v>44539</v>
      </c>
      <c r="C830" s="117">
        <v>17516.849999999999</v>
      </c>
    </row>
    <row r="831" spans="2:3" x14ac:dyDescent="0.25">
      <c r="B831" s="116">
        <v>44538</v>
      </c>
      <c r="C831" s="117">
        <v>17469.75</v>
      </c>
    </row>
    <row r="832" spans="2:3" x14ac:dyDescent="0.25">
      <c r="B832" s="116">
        <v>44537</v>
      </c>
      <c r="C832" s="117">
        <v>17176.7</v>
      </c>
    </row>
    <row r="833" spans="2:3" x14ac:dyDescent="0.25">
      <c r="B833" s="116">
        <v>44536</v>
      </c>
      <c r="C833" s="117">
        <v>16912.25</v>
      </c>
    </row>
    <row r="834" spans="2:3" x14ac:dyDescent="0.25">
      <c r="B834" s="116">
        <v>44533</v>
      </c>
      <c r="C834" s="117">
        <v>17196.7</v>
      </c>
    </row>
    <row r="835" spans="2:3" x14ac:dyDescent="0.25">
      <c r="B835" s="116">
        <v>44532</v>
      </c>
      <c r="C835" s="117">
        <v>17401.650000000001</v>
      </c>
    </row>
    <row r="836" spans="2:3" x14ac:dyDescent="0.25">
      <c r="B836" s="116">
        <v>44531</v>
      </c>
      <c r="C836" s="117">
        <v>17166.900000000001</v>
      </c>
    </row>
    <row r="837" spans="2:3" x14ac:dyDescent="0.25">
      <c r="B837" s="116">
        <v>44530</v>
      </c>
      <c r="C837" s="117">
        <v>16983.2</v>
      </c>
    </row>
    <row r="838" spans="2:3" x14ac:dyDescent="0.25">
      <c r="B838" s="116">
        <v>44529</v>
      </c>
      <c r="C838" s="117">
        <v>17053.95</v>
      </c>
    </row>
    <row r="839" spans="2:3" x14ac:dyDescent="0.25">
      <c r="B839" s="116">
        <v>44526</v>
      </c>
      <c r="C839" s="117">
        <v>17026.45</v>
      </c>
    </row>
    <row r="840" spans="2:3" x14ac:dyDescent="0.25">
      <c r="B840" s="116">
        <v>44525</v>
      </c>
      <c r="C840" s="117">
        <v>17536.25</v>
      </c>
    </row>
    <row r="841" spans="2:3" x14ac:dyDescent="0.25">
      <c r="B841" s="116">
        <v>44524</v>
      </c>
      <c r="C841" s="117">
        <v>17415.05</v>
      </c>
    </row>
    <row r="842" spans="2:3" x14ac:dyDescent="0.25">
      <c r="B842" s="116">
        <v>44523</v>
      </c>
      <c r="C842" s="117">
        <v>17503.349999999999</v>
      </c>
    </row>
    <row r="843" spans="2:3" x14ac:dyDescent="0.25">
      <c r="B843" s="116">
        <v>44522</v>
      </c>
      <c r="C843" s="117">
        <v>17416.55</v>
      </c>
    </row>
    <row r="844" spans="2:3" x14ac:dyDescent="0.25">
      <c r="B844" s="116">
        <v>44518</v>
      </c>
      <c r="C844" s="117">
        <v>17764.8</v>
      </c>
    </row>
    <row r="845" spans="2:3" x14ac:dyDescent="0.25">
      <c r="B845" s="116">
        <v>44517</v>
      </c>
      <c r="C845" s="117">
        <v>17898.650000000001</v>
      </c>
    </row>
    <row r="846" spans="2:3" x14ac:dyDescent="0.25">
      <c r="B846" s="116">
        <v>44516</v>
      </c>
      <c r="C846" s="117">
        <v>17999.2</v>
      </c>
    </row>
    <row r="847" spans="2:3" x14ac:dyDescent="0.25">
      <c r="B847" s="116">
        <v>44515</v>
      </c>
      <c r="C847" s="117">
        <v>18109.45</v>
      </c>
    </row>
    <row r="848" spans="2:3" x14ac:dyDescent="0.25">
      <c r="B848" s="116">
        <v>44512</v>
      </c>
      <c r="C848" s="117">
        <v>18102.75</v>
      </c>
    </row>
    <row r="849" spans="2:3" x14ac:dyDescent="0.25">
      <c r="B849" s="116">
        <v>44511</v>
      </c>
      <c r="C849" s="117">
        <v>17873.599999999999</v>
      </c>
    </row>
    <row r="850" spans="2:3" x14ac:dyDescent="0.25">
      <c r="B850" s="116">
        <v>44510</v>
      </c>
      <c r="C850" s="117">
        <v>18017.2</v>
      </c>
    </row>
    <row r="851" spans="2:3" x14ac:dyDescent="0.25">
      <c r="B851" s="116">
        <v>44509</v>
      </c>
      <c r="C851" s="117">
        <v>18044.25</v>
      </c>
    </row>
    <row r="852" spans="2:3" x14ac:dyDescent="0.25">
      <c r="B852" s="116">
        <v>44508</v>
      </c>
      <c r="C852" s="117">
        <v>18068.55</v>
      </c>
    </row>
    <row r="853" spans="2:3" x14ac:dyDescent="0.25">
      <c r="B853" s="116">
        <v>44504</v>
      </c>
      <c r="C853" s="117">
        <v>17916.8</v>
      </c>
    </row>
    <row r="854" spans="2:3" x14ac:dyDescent="0.25">
      <c r="B854" s="116">
        <v>44503</v>
      </c>
      <c r="C854" s="117">
        <v>17829.2</v>
      </c>
    </row>
    <row r="855" spans="2:3" x14ac:dyDescent="0.25">
      <c r="B855" s="116">
        <v>44502</v>
      </c>
      <c r="C855" s="117">
        <v>17888.95</v>
      </c>
    </row>
    <row r="856" spans="2:3" x14ac:dyDescent="0.25">
      <c r="B856" s="116">
        <v>44501</v>
      </c>
      <c r="C856" s="117">
        <v>17929.650000000001</v>
      </c>
    </row>
    <row r="857" spans="2:3" x14ac:dyDescent="0.25">
      <c r="B857" s="116">
        <v>44498</v>
      </c>
      <c r="C857" s="117">
        <v>17671.650000000001</v>
      </c>
    </row>
    <row r="858" spans="2:3" x14ac:dyDescent="0.25">
      <c r="B858" s="116">
        <v>44497</v>
      </c>
      <c r="C858" s="117">
        <v>17857.25</v>
      </c>
    </row>
    <row r="859" spans="2:3" x14ac:dyDescent="0.25">
      <c r="B859" s="116">
        <v>44496</v>
      </c>
      <c r="C859" s="117">
        <v>18210.95</v>
      </c>
    </row>
    <row r="860" spans="2:3" x14ac:dyDescent="0.25">
      <c r="B860" s="116">
        <v>44495</v>
      </c>
      <c r="C860" s="117">
        <v>18268.400000000001</v>
      </c>
    </row>
    <row r="861" spans="2:3" x14ac:dyDescent="0.25">
      <c r="B861" s="116">
        <v>44494</v>
      </c>
      <c r="C861" s="117">
        <v>18125.400000000001</v>
      </c>
    </row>
    <row r="862" spans="2:3" x14ac:dyDescent="0.25">
      <c r="B862" s="116">
        <v>44491</v>
      </c>
      <c r="C862" s="117">
        <v>18114.900000000001</v>
      </c>
    </row>
    <row r="863" spans="2:3" x14ac:dyDescent="0.25">
      <c r="B863" s="116">
        <v>44490</v>
      </c>
      <c r="C863" s="117">
        <v>18178.099999999999</v>
      </c>
    </row>
    <row r="864" spans="2:3" x14ac:dyDescent="0.25">
      <c r="B864" s="116">
        <v>44489</v>
      </c>
      <c r="C864" s="117">
        <v>18266.599999999999</v>
      </c>
    </row>
    <row r="865" spans="2:3" x14ac:dyDescent="0.25">
      <c r="B865" s="116">
        <v>44488</v>
      </c>
      <c r="C865" s="117">
        <v>18418.75</v>
      </c>
    </row>
    <row r="866" spans="2:3" x14ac:dyDescent="0.25">
      <c r="B866" s="116">
        <v>44487</v>
      </c>
      <c r="C866" s="117">
        <v>18477.05</v>
      </c>
    </row>
    <row r="867" spans="2:3" x14ac:dyDescent="0.25">
      <c r="B867" s="116">
        <v>44483</v>
      </c>
      <c r="C867" s="117">
        <v>18338.55</v>
      </c>
    </row>
    <row r="868" spans="2:3" x14ac:dyDescent="0.25">
      <c r="B868" s="116">
        <v>44482</v>
      </c>
      <c r="C868" s="117">
        <v>18161.75</v>
      </c>
    </row>
    <row r="869" spans="2:3" x14ac:dyDescent="0.25">
      <c r="B869" s="116">
        <v>44481</v>
      </c>
      <c r="C869" s="117">
        <v>17991.95</v>
      </c>
    </row>
    <row r="870" spans="2:3" x14ac:dyDescent="0.25">
      <c r="B870" s="116">
        <v>44480</v>
      </c>
      <c r="C870" s="117">
        <v>17945.95</v>
      </c>
    </row>
    <row r="871" spans="2:3" x14ac:dyDescent="0.25">
      <c r="B871" s="116">
        <v>44477</v>
      </c>
      <c r="C871" s="117">
        <v>17895.2</v>
      </c>
    </row>
    <row r="872" spans="2:3" x14ac:dyDescent="0.25">
      <c r="B872" s="116">
        <v>44476</v>
      </c>
      <c r="C872" s="117">
        <v>17790.349999999999</v>
      </c>
    </row>
    <row r="873" spans="2:3" x14ac:dyDescent="0.25">
      <c r="B873" s="116">
        <v>44475</v>
      </c>
      <c r="C873" s="117">
        <v>17646</v>
      </c>
    </row>
    <row r="874" spans="2:3" x14ac:dyDescent="0.25">
      <c r="B874" s="116">
        <v>44474</v>
      </c>
      <c r="C874" s="117">
        <v>17822.3</v>
      </c>
    </row>
    <row r="875" spans="2:3" x14ac:dyDescent="0.25">
      <c r="B875" s="116">
        <v>44473</v>
      </c>
      <c r="C875" s="117">
        <v>17691.25</v>
      </c>
    </row>
    <row r="876" spans="2:3" x14ac:dyDescent="0.25">
      <c r="B876" s="116">
        <v>44470</v>
      </c>
      <c r="C876" s="117">
        <v>17532.05</v>
      </c>
    </row>
    <row r="877" spans="2:3" x14ac:dyDescent="0.25">
      <c r="B877" s="116">
        <v>44469</v>
      </c>
      <c r="C877" s="117">
        <v>17618.150000000001</v>
      </c>
    </row>
    <row r="878" spans="2:3" x14ac:dyDescent="0.25">
      <c r="B878" s="116">
        <v>44468</v>
      </c>
      <c r="C878" s="117">
        <v>17711.3</v>
      </c>
    </row>
    <row r="879" spans="2:3" x14ac:dyDescent="0.25">
      <c r="B879" s="116">
        <v>44467</v>
      </c>
      <c r="C879" s="117">
        <v>17748.599999999999</v>
      </c>
    </row>
    <row r="880" spans="2:3" x14ac:dyDescent="0.25">
      <c r="B880" s="116">
        <v>44466</v>
      </c>
      <c r="C880" s="117">
        <v>17855.099999999999</v>
      </c>
    </row>
    <row r="881" spans="2:3" x14ac:dyDescent="0.25">
      <c r="B881" s="116">
        <v>44463</v>
      </c>
      <c r="C881" s="117">
        <v>17853.2</v>
      </c>
    </row>
    <row r="882" spans="2:3" x14ac:dyDescent="0.25">
      <c r="B882" s="116">
        <v>44462</v>
      </c>
      <c r="C882" s="117">
        <v>17822.95</v>
      </c>
    </row>
    <row r="883" spans="2:3" x14ac:dyDescent="0.25">
      <c r="B883" s="116">
        <v>44461</v>
      </c>
      <c r="C883" s="117">
        <v>17546.650000000001</v>
      </c>
    </row>
    <row r="884" spans="2:3" x14ac:dyDescent="0.25">
      <c r="B884" s="116">
        <v>44460</v>
      </c>
      <c r="C884" s="117">
        <v>17562</v>
      </c>
    </row>
    <row r="885" spans="2:3" x14ac:dyDescent="0.25">
      <c r="B885" s="116">
        <v>44459</v>
      </c>
      <c r="C885" s="117">
        <v>17396.900000000001</v>
      </c>
    </row>
    <row r="886" spans="2:3" x14ac:dyDescent="0.25">
      <c r="B886" s="116">
        <v>44456</v>
      </c>
      <c r="C886" s="117">
        <v>17585.150000000001</v>
      </c>
    </row>
    <row r="887" spans="2:3" x14ac:dyDescent="0.25">
      <c r="B887" s="116">
        <v>44455</v>
      </c>
      <c r="C887" s="117">
        <v>17629.5</v>
      </c>
    </row>
    <row r="888" spans="2:3" x14ac:dyDescent="0.25">
      <c r="B888" s="116">
        <v>44454</v>
      </c>
      <c r="C888" s="117">
        <v>17519.45</v>
      </c>
    </row>
    <row r="889" spans="2:3" x14ac:dyDescent="0.25">
      <c r="B889" s="116">
        <v>44453</v>
      </c>
      <c r="C889" s="117">
        <v>17380</v>
      </c>
    </row>
    <row r="890" spans="2:3" x14ac:dyDescent="0.25">
      <c r="B890" s="116">
        <v>44452</v>
      </c>
      <c r="C890" s="117">
        <v>17355.3</v>
      </c>
    </row>
    <row r="891" spans="2:3" x14ac:dyDescent="0.25">
      <c r="B891" s="116">
        <v>44448</v>
      </c>
      <c r="C891" s="117">
        <v>17369.25</v>
      </c>
    </row>
    <row r="892" spans="2:3" x14ac:dyDescent="0.25">
      <c r="B892" s="116">
        <v>44447</v>
      </c>
      <c r="C892" s="117">
        <v>17353.5</v>
      </c>
    </row>
    <row r="893" spans="2:3" x14ac:dyDescent="0.25">
      <c r="B893" s="116">
        <v>44446</v>
      </c>
      <c r="C893" s="117">
        <v>17362.099999999999</v>
      </c>
    </row>
    <row r="894" spans="2:3" x14ac:dyDescent="0.25">
      <c r="B894" s="116">
        <v>44445</v>
      </c>
      <c r="C894" s="117">
        <v>17377.8</v>
      </c>
    </row>
    <row r="895" spans="2:3" x14ac:dyDescent="0.25">
      <c r="B895" s="116">
        <v>44442</v>
      </c>
      <c r="C895" s="117">
        <v>17323.599999999999</v>
      </c>
    </row>
    <row r="896" spans="2:3" x14ac:dyDescent="0.25">
      <c r="B896" s="116">
        <v>44441</v>
      </c>
      <c r="C896" s="117">
        <v>17234.150000000001</v>
      </c>
    </row>
    <row r="897" spans="2:3" x14ac:dyDescent="0.25">
      <c r="B897" s="116">
        <v>44440</v>
      </c>
      <c r="C897" s="117">
        <v>17076.25</v>
      </c>
    </row>
    <row r="898" spans="2:3" x14ac:dyDescent="0.25">
      <c r="B898" s="116">
        <v>44439</v>
      </c>
      <c r="C898" s="117">
        <v>17132.2</v>
      </c>
    </row>
    <row r="899" spans="2:3" x14ac:dyDescent="0.25">
      <c r="B899" s="116">
        <v>44438</v>
      </c>
      <c r="C899" s="117">
        <v>16931.05</v>
      </c>
    </row>
    <row r="900" spans="2:3" x14ac:dyDescent="0.25">
      <c r="B900" s="116">
        <v>44435</v>
      </c>
      <c r="C900" s="117">
        <v>16705.2</v>
      </c>
    </row>
    <row r="901" spans="2:3" x14ac:dyDescent="0.25">
      <c r="B901" s="116">
        <v>44434</v>
      </c>
      <c r="C901" s="117">
        <v>16636.900000000001</v>
      </c>
    </row>
    <row r="902" spans="2:3" x14ac:dyDescent="0.25">
      <c r="B902" s="116">
        <v>44433</v>
      </c>
      <c r="C902" s="117">
        <v>16634.650000000001</v>
      </c>
    </row>
    <row r="903" spans="2:3" x14ac:dyDescent="0.25">
      <c r="B903" s="116">
        <v>44432</v>
      </c>
      <c r="C903" s="117">
        <v>16624.599999999999</v>
      </c>
    </row>
    <row r="904" spans="2:3" x14ac:dyDescent="0.25">
      <c r="B904" s="116">
        <v>44431</v>
      </c>
      <c r="C904" s="117">
        <v>16496.45</v>
      </c>
    </row>
    <row r="905" spans="2:3" x14ac:dyDescent="0.25">
      <c r="B905" s="116">
        <v>44428</v>
      </c>
      <c r="C905" s="117">
        <v>16450.5</v>
      </c>
    </row>
    <row r="906" spans="2:3" x14ac:dyDescent="0.25">
      <c r="B906" s="116">
        <v>44426</v>
      </c>
      <c r="C906" s="117">
        <v>16568.849999999999</v>
      </c>
    </row>
    <row r="907" spans="2:3" x14ac:dyDescent="0.25">
      <c r="B907" s="116">
        <v>44425</v>
      </c>
      <c r="C907" s="117">
        <v>16614.599999999999</v>
      </c>
    </row>
    <row r="908" spans="2:3" x14ac:dyDescent="0.25">
      <c r="B908" s="116">
        <v>44424</v>
      </c>
      <c r="C908" s="117">
        <v>16563.05</v>
      </c>
    </row>
    <row r="909" spans="2:3" x14ac:dyDescent="0.25">
      <c r="B909" s="116">
        <v>44421</v>
      </c>
      <c r="C909" s="117">
        <v>16529.099999999999</v>
      </c>
    </row>
    <row r="910" spans="2:3" x14ac:dyDescent="0.25">
      <c r="B910" s="116">
        <v>44420</v>
      </c>
      <c r="C910" s="117">
        <v>16364.4</v>
      </c>
    </row>
    <row r="911" spans="2:3" x14ac:dyDescent="0.25">
      <c r="B911" s="116">
        <v>44419</v>
      </c>
      <c r="C911" s="117">
        <v>16282.25</v>
      </c>
    </row>
    <row r="912" spans="2:3" x14ac:dyDescent="0.25">
      <c r="B912" s="116">
        <v>44418</v>
      </c>
      <c r="C912" s="117">
        <v>16280.1</v>
      </c>
    </row>
    <row r="913" spans="2:3" x14ac:dyDescent="0.25">
      <c r="B913" s="116">
        <v>44417</v>
      </c>
      <c r="C913" s="117">
        <v>16258.25</v>
      </c>
    </row>
    <row r="914" spans="2:3" x14ac:dyDescent="0.25">
      <c r="B914" s="116">
        <v>44414</v>
      </c>
      <c r="C914" s="117">
        <v>16238.2</v>
      </c>
    </row>
    <row r="915" spans="2:3" x14ac:dyDescent="0.25">
      <c r="B915" s="116">
        <v>44413</v>
      </c>
      <c r="C915" s="117">
        <v>16294.6</v>
      </c>
    </row>
    <row r="916" spans="2:3" x14ac:dyDescent="0.25">
      <c r="B916" s="116">
        <v>44412</v>
      </c>
      <c r="C916" s="117">
        <v>16258.8</v>
      </c>
    </row>
    <row r="917" spans="2:3" x14ac:dyDescent="0.25">
      <c r="B917" s="116">
        <v>44411</v>
      </c>
      <c r="C917" s="117">
        <v>16130.75</v>
      </c>
    </row>
    <row r="918" spans="2:3" x14ac:dyDescent="0.25">
      <c r="B918" s="116">
        <v>44410</v>
      </c>
      <c r="C918" s="117">
        <v>15885.15</v>
      </c>
    </row>
    <row r="919" spans="2:3" x14ac:dyDescent="0.25">
      <c r="B919" s="116">
        <v>44407</v>
      </c>
      <c r="C919" s="117">
        <v>15763.05</v>
      </c>
    </row>
    <row r="920" spans="2:3" x14ac:dyDescent="0.25">
      <c r="B920" s="116">
        <v>44406</v>
      </c>
      <c r="C920" s="117">
        <v>15778.45</v>
      </c>
    </row>
    <row r="921" spans="2:3" x14ac:dyDescent="0.25">
      <c r="B921" s="116">
        <v>44405</v>
      </c>
      <c r="C921" s="117">
        <v>15709.4</v>
      </c>
    </row>
    <row r="922" spans="2:3" x14ac:dyDescent="0.25">
      <c r="B922" s="116">
        <v>44404</v>
      </c>
      <c r="C922" s="117">
        <v>15746.45</v>
      </c>
    </row>
    <row r="923" spans="2:3" x14ac:dyDescent="0.25">
      <c r="B923" s="116">
        <v>44403</v>
      </c>
      <c r="C923" s="117">
        <v>15824.45</v>
      </c>
    </row>
    <row r="924" spans="2:3" x14ac:dyDescent="0.25">
      <c r="B924" s="116">
        <v>44400</v>
      </c>
      <c r="C924" s="117">
        <v>15856.05</v>
      </c>
    </row>
    <row r="925" spans="2:3" x14ac:dyDescent="0.25">
      <c r="B925" s="116">
        <v>44399</v>
      </c>
      <c r="C925" s="117">
        <v>15824.05</v>
      </c>
    </row>
    <row r="926" spans="2:3" x14ac:dyDescent="0.25">
      <c r="B926" s="116">
        <v>44397</v>
      </c>
      <c r="C926" s="117">
        <v>15632.1</v>
      </c>
    </row>
    <row r="927" spans="2:3" x14ac:dyDescent="0.25">
      <c r="B927" s="116">
        <v>44396</v>
      </c>
      <c r="C927" s="117">
        <v>15752.4</v>
      </c>
    </row>
    <row r="928" spans="2:3" x14ac:dyDescent="0.25">
      <c r="B928" s="116">
        <v>44393</v>
      </c>
      <c r="C928" s="117">
        <v>15923.4</v>
      </c>
    </row>
    <row r="929" spans="2:3" x14ac:dyDescent="0.25">
      <c r="B929" s="116">
        <v>44392</v>
      </c>
      <c r="C929" s="117">
        <v>15924.2</v>
      </c>
    </row>
    <row r="930" spans="2:3" x14ac:dyDescent="0.25">
      <c r="B930" s="116">
        <v>44391</v>
      </c>
      <c r="C930" s="117">
        <v>15853.95</v>
      </c>
    </row>
    <row r="931" spans="2:3" x14ac:dyDescent="0.25">
      <c r="B931" s="116">
        <v>44390</v>
      </c>
      <c r="C931" s="117">
        <v>15812.35</v>
      </c>
    </row>
    <row r="932" spans="2:3" x14ac:dyDescent="0.25">
      <c r="B932" s="116">
        <v>44389</v>
      </c>
      <c r="C932" s="117">
        <v>15692.6</v>
      </c>
    </row>
    <row r="933" spans="2:3" x14ac:dyDescent="0.25">
      <c r="B933" s="116">
        <v>44386</v>
      </c>
      <c r="C933" s="117">
        <v>15689.8</v>
      </c>
    </row>
    <row r="934" spans="2:3" x14ac:dyDescent="0.25">
      <c r="B934" s="116">
        <v>44385</v>
      </c>
      <c r="C934" s="117">
        <v>15727.9</v>
      </c>
    </row>
    <row r="935" spans="2:3" x14ac:dyDescent="0.25">
      <c r="B935" s="116">
        <v>44384</v>
      </c>
      <c r="C935" s="117">
        <v>15879.65</v>
      </c>
    </row>
    <row r="936" spans="2:3" x14ac:dyDescent="0.25">
      <c r="B936" s="116">
        <v>44383</v>
      </c>
      <c r="C936" s="117">
        <v>15818.25</v>
      </c>
    </row>
    <row r="937" spans="2:3" x14ac:dyDescent="0.25">
      <c r="B937" s="116">
        <v>44382</v>
      </c>
      <c r="C937" s="117">
        <v>15834.35</v>
      </c>
    </row>
    <row r="938" spans="2:3" x14ac:dyDescent="0.25">
      <c r="B938" s="116">
        <v>44379</v>
      </c>
      <c r="C938" s="117">
        <v>15722.2</v>
      </c>
    </row>
    <row r="939" spans="2:3" x14ac:dyDescent="0.25">
      <c r="B939" s="116">
        <v>44378</v>
      </c>
      <c r="C939" s="117">
        <v>15680</v>
      </c>
    </row>
    <row r="940" spans="2:3" x14ac:dyDescent="0.25">
      <c r="B940" s="116">
        <v>44377</v>
      </c>
      <c r="C940" s="117">
        <v>15721.5</v>
      </c>
    </row>
    <row r="941" spans="2:3" x14ac:dyDescent="0.25">
      <c r="B941" s="116">
        <v>44376</v>
      </c>
      <c r="C941" s="117">
        <v>15748.45</v>
      </c>
    </row>
    <row r="942" spans="2:3" x14ac:dyDescent="0.25">
      <c r="B942" s="116">
        <v>44375</v>
      </c>
      <c r="C942" s="117">
        <v>15814.7</v>
      </c>
    </row>
    <row r="943" spans="2:3" x14ac:dyDescent="0.25">
      <c r="B943" s="116">
        <v>44372</v>
      </c>
      <c r="C943" s="117">
        <v>15860.35</v>
      </c>
    </row>
    <row r="944" spans="2:3" x14ac:dyDescent="0.25">
      <c r="B944" s="116">
        <v>44371</v>
      </c>
      <c r="C944" s="117">
        <v>15790.45</v>
      </c>
    </row>
    <row r="945" spans="2:3" x14ac:dyDescent="0.25">
      <c r="B945" s="116">
        <v>44370</v>
      </c>
      <c r="C945" s="117">
        <v>15686.95</v>
      </c>
    </row>
    <row r="946" spans="2:3" x14ac:dyDescent="0.25">
      <c r="B946" s="116">
        <v>44369</v>
      </c>
      <c r="C946" s="117">
        <v>15772.75</v>
      </c>
    </row>
    <row r="947" spans="2:3" x14ac:dyDescent="0.25">
      <c r="B947" s="116">
        <v>44368</v>
      </c>
      <c r="C947" s="117">
        <v>15746.5</v>
      </c>
    </row>
    <row r="948" spans="2:3" x14ac:dyDescent="0.25">
      <c r="B948" s="116">
        <v>44365</v>
      </c>
      <c r="C948" s="117">
        <v>15683.35</v>
      </c>
    </row>
    <row r="949" spans="2:3" x14ac:dyDescent="0.25">
      <c r="B949" s="116">
        <v>44364</v>
      </c>
      <c r="C949" s="117">
        <v>15691.4</v>
      </c>
    </row>
    <row r="950" spans="2:3" x14ac:dyDescent="0.25">
      <c r="B950" s="116">
        <v>44363</v>
      </c>
      <c r="C950" s="117">
        <v>15767.55</v>
      </c>
    </row>
    <row r="951" spans="2:3" x14ac:dyDescent="0.25">
      <c r="B951" s="116">
        <v>44362</v>
      </c>
      <c r="C951" s="117">
        <v>15869.25</v>
      </c>
    </row>
    <row r="952" spans="2:3" x14ac:dyDescent="0.25">
      <c r="B952" s="116">
        <v>44361</v>
      </c>
      <c r="C952" s="117">
        <v>15811.85</v>
      </c>
    </row>
    <row r="953" spans="2:3" x14ac:dyDescent="0.25">
      <c r="B953" s="116">
        <v>44358</v>
      </c>
      <c r="C953" s="117">
        <v>15799.35</v>
      </c>
    </row>
    <row r="954" spans="2:3" x14ac:dyDescent="0.25">
      <c r="B954" s="116">
        <v>44357</v>
      </c>
      <c r="C954" s="117">
        <v>15737.75</v>
      </c>
    </row>
    <row r="955" spans="2:3" x14ac:dyDescent="0.25">
      <c r="B955" s="116">
        <v>44356</v>
      </c>
      <c r="C955" s="117">
        <v>15635.35</v>
      </c>
    </row>
    <row r="956" spans="2:3" x14ac:dyDescent="0.25">
      <c r="B956" s="116">
        <v>44355</v>
      </c>
      <c r="C956" s="117">
        <v>15740.1</v>
      </c>
    </row>
    <row r="957" spans="2:3" x14ac:dyDescent="0.25">
      <c r="B957" s="116">
        <v>44354</v>
      </c>
      <c r="C957" s="117">
        <v>15751.65</v>
      </c>
    </row>
    <row r="958" spans="2:3" x14ac:dyDescent="0.25">
      <c r="B958" s="116">
        <v>44351</v>
      </c>
      <c r="C958" s="117">
        <v>15670.25</v>
      </c>
    </row>
    <row r="959" spans="2:3" x14ac:dyDescent="0.25">
      <c r="B959" s="116">
        <v>44350</v>
      </c>
      <c r="C959" s="117">
        <v>15690.35</v>
      </c>
    </row>
    <row r="960" spans="2:3" x14ac:dyDescent="0.25">
      <c r="B960" s="116">
        <v>44349</v>
      </c>
      <c r="C960" s="117">
        <v>15576.2</v>
      </c>
    </row>
    <row r="961" spans="2:3" x14ac:dyDescent="0.25">
      <c r="B961" s="116">
        <v>44348</v>
      </c>
      <c r="C961" s="117">
        <v>15574.85</v>
      </c>
    </row>
    <row r="962" spans="2:3" x14ac:dyDescent="0.25">
      <c r="B962" s="116">
        <v>44347</v>
      </c>
      <c r="C962" s="117">
        <v>15582.8</v>
      </c>
    </row>
    <row r="963" spans="2:3" x14ac:dyDescent="0.25">
      <c r="B963" s="116">
        <v>44344</v>
      </c>
      <c r="C963" s="117">
        <v>15435.65</v>
      </c>
    </row>
    <row r="964" spans="2:3" x14ac:dyDescent="0.25">
      <c r="B964" s="116">
        <v>44343</v>
      </c>
      <c r="C964" s="117">
        <v>15337.85</v>
      </c>
    </row>
    <row r="965" spans="2:3" x14ac:dyDescent="0.25">
      <c r="B965" s="116">
        <v>44342</v>
      </c>
      <c r="C965" s="117">
        <v>15301.45</v>
      </c>
    </row>
    <row r="966" spans="2:3" x14ac:dyDescent="0.25">
      <c r="B966" s="116">
        <v>44341</v>
      </c>
      <c r="C966" s="117">
        <v>15208.45</v>
      </c>
    </row>
    <row r="967" spans="2:3" x14ac:dyDescent="0.25">
      <c r="B967" s="116">
        <v>44340</v>
      </c>
      <c r="C967" s="117">
        <v>15197.7</v>
      </c>
    </row>
    <row r="968" spans="2:3" x14ac:dyDescent="0.25">
      <c r="B968" s="116">
        <v>44337</v>
      </c>
      <c r="C968" s="117">
        <v>15175.3</v>
      </c>
    </row>
    <row r="969" spans="2:3" x14ac:dyDescent="0.25">
      <c r="B969" s="116">
        <v>44336</v>
      </c>
      <c r="C969" s="117">
        <v>14906.05</v>
      </c>
    </row>
    <row r="970" spans="2:3" x14ac:dyDescent="0.25">
      <c r="B970" s="116">
        <v>44335</v>
      </c>
      <c r="C970" s="117">
        <v>15030.15</v>
      </c>
    </row>
    <row r="971" spans="2:3" x14ac:dyDescent="0.25">
      <c r="B971" s="116">
        <v>44334</v>
      </c>
      <c r="C971" s="117">
        <v>15108.1</v>
      </c>
    </row>
    <row r="972" spans="2:3" x14ac:dyDescent="0.25">
      <c r="B972" s="116">
        <v>44333</v>
      </c>
      <c r="C972" s="117">
        <v>14923.15</v>
      </c>
    </row>
    <row r="973" spans="2:3" x14ac:dyDescent="0.25">
      <c r="B973" s="116">
        <v>44330</v>
      </c>
      <c r="C973" s="117">
        <v>14677.8</v>
      </c>
    </row>
    <row r="974" spans="2:3" x14ac:dyDescent="0.25">
      <c r="B974" s="116">
        <v>44328</v>
      </c>
      <c r="C974" s="117">
        <v>14696.5</v>
      </c>
    </row>
    <row r="975" spans="2:3" x14ac:dyDescent="0.25">
      <c r="B975" s="116">
        <v>44327</v>
      </c>
      <c r="C975" s="117">
        <v>14850.75</v>
      </c>
    </row>
    <row r="976" spans="2:3" x14ac:dyDescent="0.25">
      <c r="B976" s="116">
        <v>44326</v>
      </c>
      <c r="C976" s="117">
        <v>14942.35</v>
      </c>
    </row>
    <row r="977" spans="2:3" x14ac:dyDescent="0.25">
      <c r="B977" s="116">
        <v>44323</v>
      </c>
      <c r="C977" s="117">
        <v>14823.15</v>
      </c>
    </row>
    <row r="978" spans="2:3" x14ac:dyDescent="0.25">
      <c r="B978" s="116">
        <v>44322</v>
      </c>
      <c r="C978" s="117">
        <v>14724.8</v>
      </c>
    </row>
    <row r="979" spans="2:3" x14ac:dyDescent="0.25">
      <c r="B979" s="116">
        <v>44321</v>
      </c>
      <c r="C979" s="117">
        <v>14617.85</v>
      </c>
    </row>
    <row r="980" spans="2:3" x14ac:dyDescent="0.25">
      <c r="B980" s="116">
        <v>44320</v>
      </c>
      <c r="C980" s="117">
        <v>14496.5</v>
      </c>
    </row>
    <row r="981" spans="2:3" x14ac:dyDescent="0.25">
      <c r="B981" s="116">
        <v>44319</v>
      </c>
      <c r="C981" s="117">
        <v>14634.15</v>
      </c>
    </row>
    <row r="982" spans="2:3" x14ac:dyDescent="0.25">
      <c r="B982" s="116">
        <v>44316</v>
      </c>
      <c r="C982" s="117">
        <v>14631.1</v>
      </c>
    </row>
    <row r="983" spans="2:3" x14ac:dyDescent="0.25">
      <c r="B983" s="116">
        <v>44315</v>
      </c>
      <c r="C983" s="117">
        <v>14894.9</v>
      </c>
    </row>
    <row r="984" spans="2:3" x14ac:dyDescent="0.25">
      <c r="B984" s="116">
        <v>44314</v>
      </c>
      <c r="C984" s="117">
        <v>14864.55</v>
      </c>
    </row>
    <row r="985" spans="2:3" x14ac:dyDescent="0.25">
      <c r="B985" s="116">
        <v>44313</v>
      </c>
      <c r="C985" s="117">
        <v>14653.05</v>
      </c>
    </row>
    <row r="986" spans="2:3" x14ac:dyDescent="0.25">
      <c r="B986" s="116">
        <v>44312</v>
      </c>
      <c r="C986" s="117">
        <v>14485</v>
      </c>
    </row>
    <row r="987" spans="2:3" x14ac:dyDescent="0.25">
      <c r="B987" s="116">
        <v>44309</v>
      </c>
      <c r="C987" s="117">
        <v>14341.35</v>
      </c>
    </row>
    <row r="988" spans="2:3" x14ac:dyDescent="0.25">
      <c r="B988" s="116">
        <v>44308</v>
      </c>
      <c r="C988" s="117">
        <v>14406.15</v>
      </c>
    </row>
    <row r="989" spans="2:3" x14ac:dyDescent="0.25">
      <c r="B989" s="116">
        <v>44306</v>
      </c>
      <c r="C989" s="117">
        <v>14296.4</v>
      </c>
    </row>
    <row r="990" spans="2:3" x14ac:dyDescent="0.25">
      <c r="B990" s="116">
        <v>44305</v>
      </c>
      <c r="C990" s="117">
        <v>14359.45</v>
      </c>
    </row>
    <row r="991" spans="2:3" x14ac:dyDescent="0.25">
      <c r="B991" s="116">
        <v>44302</v>
      </c>
      <c r="C991" s="117">
        <v>14617.85</v>
      </c>
    </row>
    <row r="992" spans="2:3" x14ac:dyDescent="0.25">
      <c r="B992" s="116">
        <v>44301</v>
      </c>
      <c r="C992" s="117">
        <v>14581.45</v>
      </c>
    </row>
    <row r="993" spans="2:3" x14ac:dyDescent="0.25">
      <c r="B993" s="116">
        <v>44299</v>
      </c>
      <c r="C993" s="117">
        <v>14504.8</v>
      </c>
    </row>
    <row r="994" spans="2:3" x14ac:dyDescent="0.25">
      <c r="B994" s="116">
        <v>44298</v>
      </c>
      <c r="C994" s="117">
        <v>14310.8</v>
      </c>
    </row>
    <row r="995" spans="2:3" x14ac:dyDescent="0.25">
      <c r="B995" s="116">
        <v>44295</v>
      </c>
      <c r="C995" s="117">
        <v>14834.85</v>
      </c>
    </row>
    <row r="996" spans="2:3" x14ac:dyDescent="0.25">
      <c r="B996" s="116">
        <v>44294</v>
      </c>
      <c r="C996" s="117">
        <v>14873.8</v>
      </c>
    </row>
    <row r="997" spans="2:3" x14ac:dyDescent="0.25">
      <c r="B997" s="116">
        <v>44293</v>
      </c>
      <c r="C997" s="117">
        <v>14819.05</v>
      </c>
    </row>
    <row r="998" spans="2:3" x14ac:dyDescent="0.25">
      <c r="B998" s="116">
        <v>44292</v>
      </c>
      <c r="C998" s="117">
        <v>14683.5</v>
      </c>
    </row>
    <row r="999" spans="2:3" x14ac:dyDescent="0.25">
      <c r="B999" s="116">
        <v>44291</v>
      </c>
      <c r="C999" s="117">
        <v>14637.8</v>
      </c>
    </row>
    <row r="1000" spans="2:3" x14ac:dyDescent="0.25">
      <c r="B1000" s="116">
        <v>44287</v>
      </c>
      <c r="C1000" s="117">
        <v>14867.35</v>
      </c>
    </row>
    <row r="1001" spans="2:3" x14ac:dyDescent="0.25">
      <c r="B1001" s="116">
        <v>44286</v>
      </c>
      <c r="C1001" s="117">
        <v>14690.7</v>
      </c>
    </row>
    <row r="1002" spans="2:3" x14ac:dyDescent="0.25">
      <c r="B1002" s="116">
        <v>44285</v>
      </c>
      <c r="C1002" s="117">
        <v>14845.1</v>
      </c>
    </row>
    <row r="1003" spans="2:3" x14ac:dyDescent="0.25">
      <c r="B1003" s="116">
        <v>44281</v>
      </c>
      <c r="C1003" s="117">
        <v>14507.3</v>
      </c>
    </row>
    <row r="1004" spans="2:3" x14ac:dyDescent="0.25">
      <c r="B1004" s="116">
        <v>44280</v>
      </c>
      <c r="C1004" s="117">
        <v>14324.9</v>
      </c>
    </row>
    <row r="1005" spans="2:3" x14ac:dyDescent="0.25">
      <c r="B1005" s="116">
        <v>44279</v>
      </c>
      <c r="C1005" s="117">
        <v>14549.4</v>
      </c>
    </row>
    <row r="1006" spans="2:3" x14ac:dyDescent="0.25">
      <c r="B1006" s="116">
        <v>44278</v>
      </c>
      <c r="C1006" s="117">
        <v>14814.75</v>
      </c>
    </row>
    <row r="1007" spans="2:3" x14ac:dyDescent="0.25">
      <c r="B1007" s="116">
        <v>44277</v>
      </c>
      <c r="C1007" s="117">
        <v>14736.4</v>
      </c>
    </row>
    <row r="1008" spans="2:3" x14ac:dyDescent="0.25">
      <c r="B1008" s="116">
        <v>44274</v>
      </c>
      <c r="C1008" s="117">
        <v>14744</v>
      </c>
    </row>
    <row r="1009" spans="2:3" x14ac:dyDescent="0.25">
      <c r="B1009" s="116">
        <v>44273</v>
      </c>
      <c r="C1009" s="117">
        <v>14557.85</v>
      </c>
    </row>
    <row r="1010" spans="2:3" x14ac:dyDescent="0.25">
      <c r="B1010" s="116">
        <v>44272</v>
      </c>
      <c r="C1010" s="117">
        <v>14721.3</v>
      </c>
    </row>
    <row r="1011" spans="2:3" x14ac:dyDescent="0.25">
      <c r="B1011" s="116">
        <v>44271</v>
      </c>
      <c r="C1011" s="117">
        <v>14910.45</v>
      </c>
    </row>
    <row r="1012" spans="2:3" x14ac:dyDescent="0.25">
      <c r="B1012" s="116">
        <v>44270</v>
      </c>
      <c r="C1012" s="117">
        <v>14929.5</v>
      </c>
    </row>
    <row r="1013" spans="2:3" x14ac:dyDescent="0.25">
      <c r="B1013" s="116">
        <v>44267</v>
      </c>
      <c r="C1013" s="117">
        <v>15030.95</v>
      </c>
    </row>
    <row r="1014" spans="2:3" x14ac:dyDescent="0.25">
      <c r="B1014" s="116">
        <v>44265</v>
      </c>
      <c r="C1014" s="117">
        <v>15174.8</v>
      </c>
    </row>
    <row r="1015" spans="2:3" x14ac:dyDescent="0.25">
      <c r="B1015" s="116">
        <v>44264</v>
      </c>
      <c r="C1015" s="117">
        <v>15098.4</v>
      </c>
    </row>
    <row r="1016" spans="2:3" x14ac:dyDescent="0.25">
      <c r="B1016" s="116">
        <v>44263</v>
      </c>
      <c r="C1016" s="117">
        <v>14956.2</v>
      </c>
    </row>
    <row r="1017" spans="2:3" x14ac:dyDescent="0.25">
      <c r="B1017" s="116">
        <v>44260</v>
      </c>
      <c r="C1017" s="117">
        <v>14938.1</v>
      </c>
    </row>
    <row r="1018" spans="2:3" x14ac:dyDescent="0.25">
      <c r="B1018" s="116">
        <v>44259</v>
      </c>
      <c r="C1018" s="117">
        <v>15080.75</v>
      </c>
    </row>
    <row r="1019" spans="2:3" x14ac:dyDescent="0.25">
      <c r="B1019" s="116">
        <v>44258</v>
      </c>
      <c r="C1019" s="117">
        <v>15245.6</v>
      </c>
    </row>
    <row r="1020" spans="2:3" x14ac:dyDescent="0.25">
      <c r="B1020" s="116">
        <v>44257</v>
      </c>
      <c r="C1020" s="117">
        <v>14919.1</v>
      </c>
    </row>
    <row r="1021" spans="2:3" x14ac:dyDescent="0.25">
      <c r="B1021" s="116">
        <v>44256</v>
      </c>
      <c r="C1021" s="117">
        <v>14761.55</v>
      </c>
    </row>
    <row r="1022" spans="2:3" x14ac:dyDescent="0.25">
      <c r="B1022" s="116">
        <v>44253</v>
      </c>
      <c r="C1022" s="117">
        <v>14529.15</v>
      </c>
    </row>
    <row r="1023" spans="2:3" x14ac:dyDescent="0.25">
      <c r="B1023" s="116">
        <v>44252</v>
      </c>
      <c r="C1023" s="117">
        <v>15097.35</v>
      </c>
    </row>
    <row r="1024" spans="2:3" x14ac:dyDescent="0.25">
      <c r="B1024" s="116">
        <v>44251</v>
      </c>
      <c r="C1024" s="117">
        <v>14982</v>
      </c>
    </row>
    <row r="1025" spans="2:3" x14ac:dyDescent="0.25">
      <c r="B1025" s="116">
        <v>44250</v>
      </c>
      <c r="C1025" s="117">
        <v>14707.8</v>
      </c>
    </row>
    <row r="1026" spans="2:3" x14ac:dyDescent="0.25">
      <c r="B1026" s="116">
        <v>44249</v>
      </c>
      <c r="C1026" s="117">
        <v>14675.7</v>
      </c>
    </row>
    <row r="1027" spans="2:3" x14ac:dyDescent="0.25">
      <c r="B1027" s="116">
        <v>44246</v>
      </c>
      <c r="C1027" s="117">
        <v>14981.75</v>
      </c>
    </row>
    <row r="1028" spans="2:3" x14ac:dyDescent="0.25">
      <c r="B1028" s="116">
        <v>44245</v>
      </c>
      <c r="C1028" s="117">
        <v>15118.95</v>
      </c>
    </row>
    <row r="1029" spans="2:3" x14ac:dyDescent="0.25">
      <c r="B1029" s="116">
        <v>44244</v>
      </c>
      <c r="C1029" s="117">
        <v>15208.9</v>
      </c>
    </row>
    <row r="1030" spans="2:3" x14ac:dyDescent="0.25">
      <c r="B1030" s="116">
        <v>44243</v>
      </c>
      <c r="C1030" s="117">
        <v>15313.45</v>
      </c>
    </row>
    <row r="1031" spans="2:3" x14ac:dyDescent="0.25">
      <c r="B1031" s="116">
        <v>44242</v>
      </c>
      <c r="C1031" s="117">
        <v>15314.7</v>
      </c>
    </row>
    <row r="1032" spans="2:3" x14ac:dyDescent="0.25">
      <c r="B1032" s="116">
        <v>44239</v>
      </c>
      <c r="C1032" s="117">
        <v>15163.3</v>
      </c>
    </row>
    <row r="1033" spans="2:3" x14ac:dyDescent="0.25">
      <c r="B1033" s="116">
        <v>44238</v>
      </c>
      <c r="C1033" s="117">
        <v>15173.3</v>
      </c>
    </row>
    <row r="1034" spans="2:3" x14ac:dyDescent="0.25">
      <c r="B1034" s="116">
        <v>44237</v>
      </c>
      <c r="C1034" s="117">
        <v>15106.5</v>
      </c>
    </row>
    <row r="1035" spans="2:3" x14ac:dyDescent="0.25">
      <c r="B1035" s="116">
        <v>44236</v>
      </c>
      <c r="C1035" s="117">
        <v>15109.3</v>
      </c>
    </row>
    <row r="1036" spans="2:3" x14ac:dyDescent="0.25">
      <c r="B1036" s="116">
        <v>44235</v>
      </c>
      <c r="C1036" s="117">
        <v>15115.8</v>
      </c>
    </row>
    <row r="1037" spans="2:3" x14ac:dyDescent="0.25">
      <c r="B1037" s="116">
        <v>44232</v>
      </c>
      <c r="C1037" s="117">
        <v>14924.25</v>
      </c>
    </row>
    <row r="1038" spans="2:3" x14ac:dyDescent="0.25">
      <c r="B1038" s="116">
        <v>44231</v>
      </c>
      <c r="C1038" s="117">
        <v>14895.65</v>
      </c>
    </row>
    <row r="1039" spans="2:3" x14ac:dyDescent="0.25">
      <c r="B1039" s="116">
        <v>44230</v>
      </c>
      <c r="C1039" s="117">
        <v>14789.95</v>
      </c>
    </row>
    <row r="1040" spans="2:3" x14ac:dyDescent="0.25">
      <c r="B1040" s="116">
        <v>44229</v>
      </c>
      <c r="C1040" s="117">
        <v>14647.85</v>
      </c>
    </row>
    <row r="1041" spans="2:3" x14ac:dyDescent="0.25">
      <c r="B1041" s="116">
        <v>44228</v>
      </c>
      <c r="C1041" s="117">
        <v>14281.2</v>
      </c>
    </row>
    <row r="1042" spans="2:3" x14ac:dyDescent="0.25">
      <c r="B1042" s="116">
        <v>44225</v>
      </c>
      <c r="C1042" s="117">
        <v>13634.6</v>
      </c>
    </row>
    <row r="1043" spans="2:3" x14ac:dyDescent="0.25">
      <c r="B1043" s="116">
        <v>44224</v>
      </c>
      <c r="C1043" s="117">
        <v>13817.55</v>
      </c>
    </row>
    <row r="1044" spans="2:3" x14ac:dyDescent="0.25">
      <c r="B1044" s="116">
        <v>44223</v>
      </c>
      <c r="C1044" s="117">
        <v>13967.5</v>
      </c>
    </row>
    <row r="1045" spans="2:3" x14ac:dyDescent="0.25">
      <c r="B1045" s="116">
        <v>44221</v>
      </c>
      <c r="C1045" s="117">
        <v>14238.9</v>
      </c>
    </row>
    <row r="1046" spans="2:3" x14ac:dyDescent="0.25">
      <c r="B1046" s="116">
        <v>44218</v>
      </c>
      <c r="C1046" s="117">
        <v>14371.9</v>
      </c>
    </row>
    <row r="1047" spans="2:3" x14ac:dyDescent="0.25">
      <c r="B1047" s="116">
        <v>44217</v>
      </c>
      <c r="C1047" s="117">
        <v>14590.35</v>
      </c>
    </row>
    <row r="1048" spans="2:3" x14ac:dyDescent="0.25">
      <c r="B1048" s="116">
        <v>44216</v>
      </c>
      <c r="C1048" s="117">
        <v>14644.7</v>
      </c>
    </row>
    <row r="1049" spans="2:3" x14ac:dyDescent="0.25">
      <c r="B1049" s="116">
        <v>44215</v>
      </c>
      <c r="C1049" s="117">
        <v>14521.15</v>
      </c>
    </row>
    <row r="1050" spans="2:3" x14ac:dyDescent="0.25">
      <c r="B1050" s="116">
        <v>44214</v>
      </c>
      <c r="C1050" s="117">
        <v>14281.3</v>
      </c>
    </row>
    <row r="1051" spans="2:3" x14ac:dyDescent="0.25">
      <c r="B1051" s="116">
        <v>44211</v>
      </c>
      <c r="C1051" s="117">
        <v>14433.7</v>
      </c>
    </row>
    <row r="1052" spans="2:3" x14ac:dyDescent="0.25">
      <c r="B1052" s="116">
        <v>44210</v>
      </c>
      <c r="C1052" s="117">
        <v>14595.6</v>
      </c>
    </row>
    <row r="1053" spans="2:3" x14ac:dyDescent="0.25">
      <c r="B1053" s="116">
        <v>44209</v>
      </c>
      <c r="C1053" s="117">
        <v>14564.85</v>
      </c>
    </row>
    <row r="1054" spans="2:3" x14ac:dyDescent="0.25">
      <c r="B1054" s="116">
        <v>44208</v>
      </c>
      <c r="C1054" s="117">
        <v>14563.45</v>
      </c>
    </row>
    <row r="1055" spans="2:3" x14ac:dyDescent="0.25">
      <c r="B1055" s="116">
        <v>44207</v>
      </c>
      <c r="C1055" s="117">
        <v>14484.75</v>
      </c>
    </row>
    <row r="1056" spans="2:3" x14ac:dyDescent="0.25">
      <c r="B1056" s="116">
        <v>44204</v>
      </c>
      <c r="C1056" s="117">
        <v>14347.25</v>
      </c>
    </row>
    <row r="1057" spans="2:3" x14ac:dyDescent="0.25">
      <c r="B1057" s="116">
        <v>44203</v>
      </c>
      <c r="C1057" s="117">
        <v>14137.35</v>
      </c>
    </row>
    <row r="1058" spans="2:3" x14ac:dyDescent="0.25">
      <c r="B1058" s="116">
        <v>44202</v>
      </c>
      <c r="C1058" s="117">
        <v>14146.25</v>
      </c>
    </row>
    <row r="1059" spans="2:3" x14ac:dyDescent="0.25">
      <c r="B1059" s="116">
        <v>44201</v>
      </c>
      <c r="C1059" s="117">
        <v>14199.5</v>
      </c>
    </row>
    <row r="1060" spans="2:3" x14ac:dyDescent="0.25">
      <c r="B1060" s="116">
        <v>44200</v>
      </c>
      <c r="C1060" s="117">
        <v>14132.9</v>
      </c>
    </row>
    <row r="1061" spans="2:3" x14ac:dyDescent="0.25">
      <c r="B1061" s="116">
        <v>44197</v>
      </c>
      <c r="C1061" s="117">
        <v>14018.5</v>
      </c>
    </row>
    <row r="1062" spans="2:3" x14ac:dyDescent="0.25">
      <c r="B1062" s="116">
        <v>44196</v>
      </c>
      <c r="C1062" s="117">
        <v>13981.75</v>
      </c>
    </row>
    <row r="1063" spans="2:3" x14ac:dyDescent="0.25">
      <c r="B1063" s="116">
        <v>44195</v>
      </c>
      <c r="C1063" s="117">
        <v>13981.95</v>
      </c>
    </row>
    <row r="1064" spans="2:3" x14ac:dyDescent="0.25">
      <c r="B1064" s="116">
        <v>44194</v>
      </c>
      <c r="C1064" s="117">
        <v>13932.6</v>
      </c>
    </row>
    <row r="1065" spans="2:3" x14ac:dyDescent="0.25">
      <c r="B1065" s="116">
        <v>44193</v>
      </c>
      <c r="C1065" s="117">
        <v>13873.2</v>
      </c>
    </row>
    <row r="1066" spans="2:3" x14ac:dyDescent="0.25">
      <c r="B1066" s="116">
        <v>44189</v>
      </c>
      <c r="C1066" s="117">
        <v>13749.25</v>
      </c>
    </row>
    <row r="1067" spans="2:3" x14ac:dyDescent="0.25">
      <c r="B1067" s="116">
        <v>44188</v>
      </c>
      <c r="C1067" s="117">
        <v>13601.1</v>
      </c>
    </row>
    <row r="1068" spans="2:3" x14ac:dyDescent="0.25">
      <c r="B1068" s="116">
        <v>44187</v>
      </c>
      <c r="C1068" s="117">
        <v>13466.3</v>
      </c>
    </row>
    <row r="1069" spans="2:3" x14ac:dyDescent="0.25">
      <c r="B1069" s="116">
        <v>44186</v>
      </c>
      <c r="C1069" s="117">
        <v>13328.4</v>
      </c>
    </row>
    <row r="1070" spans="2:3" x14ac:dyDescent="0.25">
      <c r="B1070" s="116">
        <v>44183</v>
      </c>
      <c r="C1070" s="117">
        <v>13760.55</v>
      </c>
    </row>
    <row r="1071" spans="2:3" x14ac:dyDescent="0.25">
      <c r="B1071" s="116">
        <v>44182</v>
      </c>
      <c r="C1071" s="117">
        <v>13740.7</v>
      </c>
    </row>
    <row r="1072" spans="2:3" x14ac:dyDescent="0.25">
      <c r="B1072" s="116">
        <v>44181</v>
      </c>
      <c r="C1072" s="117">
        <v>13682.7</v>
      </c>
    </row>
    <row r="1073" spans="2:3" x14ac:dyDescent="0.25">
      <c r="B1073" s="116">
        <v>44180</v>
      </c>
      <c r="C1073" s="117">
        <v>13567.85</v>
      </c>
    </row>
    <row r="1074" spans="2:3" x14ac:dyDescent="0.25">
      <c r="B1074" s="116">
        <v>44179</v>
      </c>
      <c r="C1074" s="117">
        <v>13558.15</v>
      </c>
    </row>
    <row r="1075" spans="2:3" x14ac:dyDescent="0.25">
      <c r="B1075" s="116">
        <v>44176</v>
      </c>
      <c r="C1075" s="117">
        <v>13513.85</v>
      </c>
    </row>
    <row r="1076" spans="2:3" x14ac:dyDescent="0.25">
      <c r="B1076" s="116">
        <v>44175</v>
      </c>
      <c r="C1076" s="117">
        <v>13478.3</v>
      </c>
    </row>
    <row r="1077" spans="2:3" x14ac:dyDescent="0.25">
      <c r="B1077" s="116">
        <v>44174</v>
      </c>
      <c r="C1077" s="117">
        <v>13529.1</v>
      </c>
    </row>
    <row r="1078" spans="2:3" x14ac:dyDescent="0.25">
      <c r="B1078" s="116">
        <v>44173</v>
      </c>
      <c r="C1078" s="117">
        <v>13392.95</v>
      </c>
    </row>
    <row r="1079" spans="2:3" x14ac:dyDescent="0.25">
      <c r="B1079" s="116">
        <v>44172</v>
      </c>
      <c r="C1079" s="117">
        <v>13355.75</v>
      </c>
    </row>
    <row r="1080" spans="2:3" x14ac:dyDescent="0.25">
      <c r="B1080" s="116">
        <v>44169</v>
      </c>
      <c r="C1080" s="117">
        <v>13258.55</v>
      </c>
    </row>
    <row r="1081" spans="2:3" x14ac:dyDescent="0.25">
      <c r="B1081" s="116">
        <v>44168</v>
      </c>
      <c r="C1081" s="117">
        <v>13133.9</v>
      </c>
    </row>
    <row r="1082" spans="2:3" x14ac:dyDescent="0.25">
      <c r="B1082" s="116">
        <v>44167</v>
      </c>
      <c r="C1082" s="117">
        <v>13113.75</v>
      </c>
    </row>
    <row r="1083" spans="2:3" x14ac:dyDescent="0.25">
      <c r="B1083" s="116">
        <v>44166</v>
      </c>
      <c r="C1083" s="117">
        <v>13109.05</v>
      </c>
    </row>
    <row r="1084" spans="2:3" x14ac:dyDescent="0.25">
      <c r="B1084" s="116">
        <v>44162</v>
      </c>
      <c r="C1084" s="117">
        <v>12968.95</v>
      </c>
    </row>
    <row r="1085" spans="2:3" x14ac:dyDescent="0.25">
      <c r="B1085" s="116">
        <v>44161</v>
      </c>
      <c r="C1085" s="117">
        <v>12987</v>
      </c>
    </row>
    <row r="1086" spans="2:3" x14ac:dyDescent="0.25">
      <c r="B1086" s="116">
        <v>44160</v>
      </c>
      <c r="C1086" s="117">
        <v>12858.4</v>
      </c>
    </row>
    <row r="1087" spans="2:3" x14ac:dyDescent="0.25">
      <c r="B1087" s="116">
        <v>44159</v>
      </c>
      <c r="C1087" s="117">
        <v>13055.15</v>
      </c>
    </row>
    <row r="1088" spans="2:3" x14ac:dyDescent="0.25">
      <c r="B1088" s="116">
        <v>44158</v>
      </c>
      <c r="C1088" s="117">
        <v>12926.45</v>
      </c>
    </row>
    <row r="1089" spans="2:3" x14ac:dyDescent="0.25">
      <c r="B1089" s="116">
        <v>44155</v>
      </c>
      <c r="C1089" s="117">
        <v>12859.05</v>
      </c>
    </row>
    <row r="1090" spans="2:3" x14ac:dyDescent="0.25">
      <c r="B1090" s="116">
        <v>44154</v>
      </c>
      <c r="C1090" s="117">
        <v>12771.7</v>
      </c>
    </row>
    <row r="1091" spans="2:3" x14ac:dyDescent="0.25">
      <c r="B1091" s="116">
        <v>44153</v>
      </c>
      <c r="C1091" s="117">
        <v>12938.25</v>
      </c>
    </row>
    <row r="1092" spans="2:3" x14ac:dyDescent="0.25">
      <c r="B1092" s="116">
        <v>44152</v>
      </c>
      <c r="C1092" s="117">
        <v>12874.2</v>
      </c>
    </row>
    <row r="1093" spans="2:3" x14ac:dyDescent="0.25">
      <c r="B1093" s="116">
        <v>44149</v>
      </c>
      <c r="C1093" s="117">
        <v>12780.25</v>
      </c>
    </row>
    <row r="1094" spans="2:3" x14ac:dyDescent="0.25">
      <c r="B1094" s="116">
        <v>44148</v>
      </c>
      <c r="C1094" s="117">
        <v>12719.95</v>
      </c>
    </row>
    <row r="1095" spans="2:3" x14ac:dyDescent="0.25">
      <c r="B1095" s="116">
        <v>44147</v>
      </c>
      <c r="C1095" s="117">
        <v>12690.8</v>
      </c>
    </row>
    <row r="1096" spans="2:3" x14ac:dyDescent="0.25">
      <c r="B1096" s="116">
        <v>44146</v>
      </c>
      <c r="C1096" s="117">
        <v>12749.15</v>
      </c>
    </row>
    <row r="1097" spans="2:3" x14ac:dyDescent="0.25">
      <c r="B1097" s="116">
        <v>44145</v>
      </c>
      <c r="C1097" s="117">
        <v>12631.1</v>
      </c>
    </row>
    <row r="1098" spans="2:3" x14ac:dyDescent="0.25">
      <c r="B1098" s="116">
        <v>44144</v>
      </c>
      <c r="C1098" s="117">
        <v>12461.05</v>
      </c>
    </row>
    <row r="1099" spans="2:3" x14ac:dyDescent="0.25">
      <c r="B1099" s="116">
        <v>44141</v>
      </c>
      <c r="C1099" s="117">
        <v>12263.55</v>
      </c>
    </row>
    <row r="1100" spans="2:3" x14ac:dyDescent="0.25">
      <c r="B1100" s="116">
        <v>44140</v>
      </c>
      <c r="C1100" s="117">
        <v>12120.3</v>
      </c>
    </row>
    <row r="1101" spans="2:3" x14ac:dyDescent="0.25">
      <c r="B1101" s="116">
        <v>44139</v>
      </c>
      <c r="C1101" s="117">
        <v>11908.5</v>
      </c>
    </row>
    <row r="1102" spans="2:3" x14ac:dyDescent="0.25">
      <c r="B1102" s="116">
        <v>44138</v>
      </c>
      <c r="C1102" s="117">
        <v>11813.5</v>
      </c>
    </row>
    <row r="1103" spans="2:3" x14ac:dyDescent="0.25">
      <c r="B1103" s="116">
        <v>44137</v>
      </c>
      <c r="C1103" s="117">
        <v>11669.15</v>
      </c>
    </row>
    <row r="1104" spans="2:3" x14ac:dyDescent="0.25">
      <c r="B1104" s="116">
        <v>44134</v>
      </c>
      <c r="C1104" s="117">
        <v>11642.4</v>
      </c>
    </row>
    <row r="1105" spans="2:3" x14ac:dyDescent="0.25">
      <c r="B1105" s="116">
        <v>44133</v>
      </c>
      <c r="C1105" s="117">
        <v>11670.8</v>
      </c>
    </row>
    <row r="1106" spans="2:3" x14ac:dyDescent="0.25">
      <c r="B1106" s="116">
        <v>44132</v>
      </c>
      <c r="C1106" s="117">
        <v>11729.6</v>
      </c>
    </row>
    <row r="1107" spans="2:3" x14ac:dyDescent="0.25">
      <c r="B1107" s="116">
        <v>44131</v>
      </c>
      <c r="C1107" s="117">
        <v>11889.4</v>
      </c>
    </row>
    <row r="1108" spans="2:3" x14ac:dyDescent="0.25">
      <c r="B1108" s="116">
        <v>44130</v>
      </c>
      <c r="C1108" s="117">
        <v>11767.75</v>
      </c>
    </row>
    <row r="1109" spans="2:3" x14ac:dyDescent="0.25">
      <c r="B1109" s="116">
        <v>44127</v>
      </c>
      <c r="C1109" s="117">
        <v>11930.35</v>
      </c>
    </row>
    <row r="1110" spans="2:3" x14ac:dyDescent="0.25">
      <c r="B1110" s="116">
        <v>44126</v>
      </c>
      <c r="C1110" s="117">
        <v>11896.45</v>
      </c>
    </row>
    <row r="1111" spans="2:3" x14ac:dyDescent="0.25">
      <c r="B1111" s="116">
        <v>44125</v>
      </c>
      <c r="C1111" s="117">
        <v>11937.65</v>
      </c>
    </row>
    <row r="1112" spans="2:3" x14ac:dyDescent="0.25">
      <c r="B1112" s="116">
        <v>44124</v>
      </c>
      <c r="C1112" s="117">
        <v>11896.8</v>
      </c>
    </row>
    <row r="1113" spans="2:3" x14ac:dyDescent="0.25">
      <c r="B1113" s="116">
        <v>44123</v>
      </c>
      <c r="C1113" s="117">
        <v>11873.05</v>
      </c>
    </row>
    <row r="1114" spans="2:3" x14ac:dyDescent="0.25">
      <c r="B1114" s="116">
        <v>44120</v>
      </c>
      <c r="C1114" s="117">
        <v>11762.45</v>
      </c>
    </row>
    <row r="1115" spans="2:3" x14ac:dyDescent="0.25">
      <c r="B1115" s="116">
        <v>44119</v>
      </c>
      <c r="C1115" s="117">
        <v>11680.35</v>
      </c>
    </row>
    <row r="1116" spans="2:3" x14ac:dyDescent="0.25">
      <c r="B1116" s="116">
        <v>44118</v>
      </c>
      <c r="C1116" s="117">
        <v>11971.05</v>
      </c>
    </row>
    <row r="1117" spans="2:3" x14ac:dyDescent="0.25">
      <c r="B1117" s="116">
        <v>44117</v>
      </c>
      <c r="C1117" s="117">
        <v>11934.5</v>
      </c>
    </row>
    <row r="1118" spans="2:3" x14ac:dyDescent="0.25">
      <c r="B1118" s="116">
        <v>44116</v>
      </c>
      <c r="C1118" s="117">
        <v>11930.95</v>
      </c>
    </row>
    <row r="1119" spans="2:3" x14ac:dyDescent="0.25">
      <c r="B1119" s="116">
        <v>44113</v>
      </c>
      <c r="C1119" s="117">
        <v>11914.2</v>
      </c>
    </row>
    <row r="1120" spans="2:3" x14ac:dyDescent="0.25">
      <c r="B1120" s="116">
        <v>44112</v>
      </c>
      <c r="C1120" s="117">
        <v>11834.6</v>
      </c>
    </row>
    <row r="1121" spans="2:3" x14ac:dyDescent="0.25">
      <c r="B1121" s="116">
        <v>44111</v>
      </c>
      <c r="C1121" s="117">
        <v>11738.85</v>
      </c>
    </row>
    <row r="1122" spans="2:3" x14ac:dyDescent="0.25">
      <c r="B1122" s="116">
        <v>44110</v>
      </c>
      <c r="C1122" s="117">
        <v>11662.4</v>
      </c>
    </row>
    <row r="1123" spans="2:3" x14ac:dyDescent="0.25">
      <c r="B1123" s="116">
        <v>44109</v>
      </c>
      <c r="C1123" s="117">
        <v>11503.35</v>
      </c>
    </row>
    <row r="1124" spans="2:3" x14ac:dyDescent="0.25">
      <c r="B1124" s="116">
        <v>44105</v>
      </c>
      <c r="C1124" s="117">
        <v>11416.95</v>
      </c>
    </row>
    <row r="1125" spans="2:3" x14ac:dyDescent="0.25">
      <c r="B1125" s="116">
        <v>44104</v>
      </c>
      <c r="C1125" s="117">
        <v>11247.55</v>
      </c>
    </row>
    <row r="1126" spans="2:3" x14ac:dyDescent="0.25">
      <c r="B1126" s="116">
        <v>44103</v>
      </c>
      <c r="C1126" s="117">
        <v>11222.4</v>
      </c>
    </row>
    <row r="1127" spans="2:3" x14ac:dyDescent="0.25">
      <c r="B1127" s="116">
        <v>44102</v>
      </c>
      <c r="C1127" s="117">
        <v>11227.55</v>
      </c>
    </row>
    <row r="1128" spans="2:3" x14ac:dyDescent="0.25">
      <c r="B1128" s="116">
        <v>44099</v>
      </c>
      <c r="C1128" s="117">
        <v>11050.25</v>
      </c>
    </row>
    <row r="1129" spans="2:3" x14ac:dyDescent="0.25">
      <c r="B1129" s="116">
        <v>44098</v>
      </c>
      <c r="C1129" s="117">
        <v>10805.55</v>
      </c>
    </row>
    <row r="1130" spans="2:3" x14ac:dyDescent="0.25">
      <c r="B1130" s="116">
        <v>44097</v>
      </c>
      <c r="C1130" s="117">
        <v>11131.85</v>
      </c>
    </row>
    <row r="1131" spans="2:3" x14ac:dyDescent="0.25">
      <c r="B1131" s="116">
        <v>44096</v>
      </c>
      <c r="C1131" s="117">
        <v>11153.65</v>
      </c>
    </row>
    <row r="1132" spans="2:3" x14ac:dyDescent="0.25">
      <c r="B1132" s="116">
        <v>44095</v>
      </c>
      <c r="C1132" s="117">
        <v>11250.55</v>
      </c>
    </row>
    <row r="1133" spans="2:3" x14ac:dyDescent="0.25">
      <c r="B1133" s="116">
        <v>44092</v>
      </c>
      <c r="C1133" s="117">
        <v>11504.95</v>
      </c>
    </row>
    <row r="1134" spans="2:3" x14ac:dyDescent="0.25">
      <c r="B1134" s="116">
        <v>44091</v>
      </c>
      <c r="C1134" s="117">
        <v>11516.1</v>
      </c>
    </row>
    <row r="1135" spans="2:3" x14ac:dyDescent="0.25">
      <c r="B1135" s="116">
        <v>44090</v>
      </c>
      <c r="C1135" s="117">
        <v>11604.55</v>
      </c>
    </row>
    <row r="1136" spans="2:3" x14ac:dyDescent="0.25">
      <c r="B1136" s="116">
        <v>44089</v>
      </c>
      <c r="C1136" s="117">
        <v>11521.8</v>
      </c>
    </row>
    <row r="1137" spans="2:3" x14ac:dyDescent="0.25">
      <c r="B1137" s="116">
        <v>44088</v>
      </c>
      <c r="C1137" s="117">
        <v>11440.05</v>
      </c>
    </row>
    <row r="1138" spans="2:3" x14ac:dyDescent="0.25">
      <c r="B1138" s="116">
        <v>44085</v>
      </c>
      <c r="C1138" s="117">
        <v>11464.45</v>
      </c>
    </row>
    <row r="1139" spans="2:3" x14ac:dyDescent="0.25">
      <c r="B1139" s="116">
        <v>44084</v>
      </c>
      <c r="C1139" s="117">
        <v>11449.25</v>
      </c>
    </row>
    <row r="1140" spans="2:3" x14ac:dyDescent="0.25">
      <c r="B1140" s="116">
        <v>44083</v>
      </c>
      <c r="C1140" s="117">
        <v>11278</v>
      </c>
    </row>
    <row r="1141" spans="2:3" x14ac:dyDescent="0.25">
      <c r="B1141" s="116">
        <v>44082</v>
      </c>
      <c r="C1141" s="117">
        <v>11317.35</v>
      </c>
    </row>
    <row r="1142" spans="2:3" x14ac:dyDescent="0.25">
      <c r="B1142" s="116">
        <v>44081</v>
      </c>
      <c r="C1142" s="117">
        <v>11355.05</v>
      </c>
    </row>
    <row r="1143" spans="2:3" x14ac:dyDescent="0.25">
      <c r="B1143" s="116">
        <v>44078</v>
      </c>
      <c r="C1143" s="117">
        <v>11333.85</v>
      </c>
    </row>
    <row r="1144" spans="2:3" x14ac:dyDescent="0.25">
      <c r="B1144" s="116">
        <v>44077</v>
      </c>
      <c r="C1144" s="117">
        <v>11527.45</v>
      </c>
    </row>
    <row r="1145" spans="2:3" x14ac:dyDescent="0.25">
      <c r="B1145" s="116">
        <v>44076</v>
      </c>
      <c r="C1145" s="117">
        <v>11535</v>
      </c>
    </row>
    <row r="1146" spans="2:3" x14ac:dyDescent="0.25">
      <c r="B1146" s="116">
        <v>44075</v>
      </c>
      <c r="C1146" s="117">
        <v>11470.25</v>
      </c>
    </row>
    <row r="1147" spans="2:3" x14ac:dyDescent="0.25">
      <c r="B1147" s="116">
        <v>44074</v>
      </c>
      <c r="C1147" s="117">
        <v>11387.5</v>
      </c>
    </row>
    <row r="1148" spans="2:3" x14ac:dyDescent="0.25">
      <c r="B1148" s="116">
        <v>44071</v>
      </c>
      <c r="C1148" s="117">
        <v>11647.6</v>
      </c>
    </row>
    <row r="1149" spans="2:3" x14ac:dyDescent="0.25">
      <c r="B1149" s="116">
        <v>44070</v>
      </c>
      <c r="C1149" s="117">
        <v>11559.25</v>
      </c>
    </row>
    <row r="1150" spans="2:3" x14ac:dyDescent="0.25">
      <c r="B1150" s="116">
        <v>44069</v>
      </c>
      <c r="C1150" s="117">
        <v>11549.6</v>
      </c>
    </row>
    <row r="1151" spans="2:3" x14ac:dyDescent="0.25">
      <c r="B1151" s="116">
        <v>44068</v>
      </c>
      <c r="C1151" s="117">
        <v>11472.25</v>
      </c>
    </row>
    <row r="1152" spans="2:3" x14ac:dyDescent="0.25">
      <c r="B1152" s="116">
        <v>44067</v>
      </c>
      <c r="C1152" s="117">
        <v>11466.45</v>
      </c>
    </row>
    <row r="1153" spans="2:3" x14ac:dyDescent="0.25">
      <c r="B1153" s="116">
        <v>44064</v>
      </c>
      <c r="C1153" s="117">
        <v>11371.6</v>
      </c>
    </row>
    <row r="1154" spans="2:3" x14ac:dyDescent="0.25">
      <c r="B1154" s="116">
        <v>44063</v>
      </c>
      <c r="C1154" s="117">
        <v>11312.2</v>
      </c>
    </row>
    <row r="1155" spans="2:3" x14ac:dyDescent="0.25">
      <c r="B1155" s="116">
        <v>44062</v>
      </c>
      <c r="C1155" s="117">
        <v>11408.4</v>
      </c>
    </row>
    <row r="1156" spans="2:3" x14ac:dyDescent="0.25">
      <c r="B1156" s="116">
        <v>44061</v>
      </c>
      <c r="C1156" s="117">
        <v>11385.35</v>
      </c>
    </row>
    <row r="1157" spans="2:3" x14ac:dyDescent="0.25">
      <c r="B1157" s="116">
        <v>44060</v>
      </c>
      <c r="C1157" s="117">
        <v>11247.1</v>
      </c>
    </row>
    <row r="1158" spans="2:3" x14ac:dyDescent="0.25">
      <c r="B1158" s="116">
        <v>44057</v>
      </c>
      <c r="C1158" s="117">
        <v>11178.4</v>
      </c>
    </row>
    <row r="1159" spans="2:3" x14ac:dyDescent="0.25">
      <c r="B1159" s="116">
        <v>44056</v>
      </c>
      <c r="C1159" s="117">
        <v>11300.45</v>
      </c>
    </row>
    <row r="1160" spans="2:3" x14ac:dyDescent="0.25">
      <c r="B1160" s="116">
        <v>44055</v>
      </c>
      <c r="C1160" s="117">
        <v>11308.4</v>
      </c>
    </row>
    <row r="1161" spans="2:3" x14ac:dyDescent="0.25">
      <c r="B1161" s="116">
        <v>44054</v>
      </c>
      <c r="C1161" s="117">
        <v>11322.5</v>
      </c>
    </row>
    <row r="1162" spans="2:3" x14ac:dyDescent="0.25">
      <c r="B1162" s="116">
        <v>44053</v>
      </c>
      <c r="C1162" s="117">
        <v>11270.15</v>
      </c>
    </row>
    <row r="1163" spans="2:3" x14ac:dyDescent="0.25">
      <c r="B1163" s="116">
        <v>44050</v>
      </c>
      <c r="C1163" s="117">
        <v>11214.05</v>
      </c>
    </row>
    <row r="1164" spans="2:3" x14ac:dyDescent="0.25">
      <c r="B1164" s="116">
        <v>44049</v>
      </c>
      <c r="C1164" s="117">
        <v>11200.15</v>
      </c>
    </row>
    <row r="1165" spans="2:3" x14ac:dyDescent="0.25">
      <c r="B1165" s="116">
        <v>44048</v>
      </c>
      <c r="C1165" s="117">
        <v>11101.65</v>
      </c>
    </row>
    <row r="1166" spans="2:3" x14ac:dyDescent="0.25">
      <c r="B1166" s="116">
        <v>44047</v>
      </c>
      <c r="C1166" s="117">
        <v>11095.25</v>
      </c>
    </row>
    <row r="1167" spans="2:3" x14ac:dyDescent="0.25">
      <c r="B1167" s="116">
        <v>44046</v>
      </c>
      <c r="C1167" s="117">
        <v>10891.6</v>
      </c>
    </row>
    <row r="1168" spans="2:3" x14ac:dyDescent="0.25">
      <c r="B1168" s="116">
        <v>44043</v>
      </c>
      <c r="C1168" s="117">
        <v>11073.45</v>
      </c>
    </row>
    <row r="1169" spans="2:3" x14ac:dyDescent="0.25">
      <c r="B1169" s="116">
        <v>44042</v>
      </c>
      <c r="C1169" s="117">
        <v>11102.15</v>
      </c>
    </row>
    <row r="1170" spans="2:3" x14ac:dyDescent="0.25">
      <c r="B1170" s="116">
        <v>44041</v>
      </c>
      <c r="C1170" s="117">
        <v>11202.85</v>
      </c>
    </row>
    <row r="1171" spans="2:3" x14ac:dyDescent="0.25">
      <c r="B1171" s="116">
        <v>44040</v>
      </c>
      <c r="C1171" s="117">
        <v>11300.55</v>
      </c>
    </row>
    <row r="1172" spans="2:3" x14ac:dyDescent="0.25">
      <c r="B1172" s="116">
        <v>44039</v>
      </c>
      <c r="C1172" s="117">
        <v>11131.8</v>
      </c>
    </row>
    <row r="1173" spans="2:3" x14ac:dyDescent="0.25">
      <c r="B1173" s="116">
        <v>44036</v>
      </c>
      <c r="C1173" s="117">
        <v>11194.15</v>
      </c>
    </row>
    <row r="1174" spans="2:3" x14ac:dyDescent="0.25">
      <c r="B1174" s="116">
        <v>44035</v>
      </c>
      <c r="C1174" s="117">
        <v>11215.45</v>
      </c>
    </row>
    <row r="1175" spans="2:3" x14ac:dyDescent="0.25">
      <c r="B1175" s="116">
        <v>44034</v>
      </c>
      <c r="C1175" s="117">
        <v>11132.6</v>
      </c>
    </row>
    <row r="1176" spans="2:3" x14ac:dyDescent="0.25">
      <c r="B1176" s="116">
        <v>44033</v>
      </c>
      <c r="C1176" s="117">
        <v>11162.25</v>
      </c>
    </row>
    <row r="1177" spans="2:3" x14ac:dyDescent="0.25">
      <c r="B1177" s="116">
        <v>44032</v>
      </c>
      <c r="C1177" s="117">
        <v>11022.2</v>
      </c>
    </row>
    <row r="1178" spans="2:3" x14ac:dyDescent="0.25">
      <c r="B1178" s="116">
        <v>44029</v>
      </c>
      <c r="C1178" s="117">
        <v>10901.7</v>
      </c>
    </row>
    <row r="1179" spans="2:3" x14ac:dyDescent="0.25">
      <c r="B1179" s="116">
        <v>44028</v>
      </c>
      <c r="C1179" s="117">
        <v>10739.95</v>
      </c>
    </row>
    <row r="1180" spans="2:3" x14ac:dyDescent="0.25">
      <c r="B1180" s="116">
        <v>44027</v>
      </c>
      <c r="C1180" s="117">
        <v>10618.2</v>
      </c>
    </row>
    <row r="1181" spans="2:3" x14ac:dyDescent="0.25">
      <c r="B1181" s="116">
        <v>44026</v>
      </c>
      <c r="C1181" s="117">
        <v>10607.35</v>
      </c>
    </row>
    <row r="1182" spans="2:3" x14ac:dyDescent="0.25">
      <c r="B1182" s="116">
        <v>44025</v>
      </c>
      <c r="C1182" s="117">
        <v>10802.7</v>
      </c>
    </row>
    <row r="1183" spans="2:3" x14ac:dyDescent="0.25">
      <c r="B1183" s="116">
        <v>44022</v>
      </c>
      <c r="C1183" s="117">
        <v>10768.05</v>
      </c>
    </row>
    <row r="1184" spans="2:3" x14ac:dyDescent="0.25">
      <c r="B1184" s="116">
        <v>44021</v>
      </c>
      <c r="C1184" s="117">
        <v>10813.45</v>
      </c>
    </row>
    <row r="1185" spans="2:3" x14ac:dyDescent="0.25">
      <c r="B1185" s="116">
        <v>44020</v>
      </c>
      <c r="C1185" s="117">
        <v>10705.75</v>
      </c>
    </row>
    <row r="1186" spans="2:3" x14ac:dyDescent="0.25">
      <c r="B1186" s="116">
        <v>44019</v>
      </c>
      <c r="C1186" s="117">
        <v>10799.65</v>
      </c>
    </row>
    <row r="1187" spans="2:3" x14ac:dyDescent="0.25">
      <c r="B1187" s="116">
        <v>44018</v>
      </c>
      <c r="C1187" s="117">
        <v>10763.65</v>
      </c>
    </row>
    <row r="1188" spans="2:3" x14ac:dyDescent="0.25">
      <c r="B1188" s="116">
        <v>44015</v>
      </c>
      <c r="C1188" s="117">
        <v>10607.35</v>
      </c>
    </row>
    <row r="1189" spans="2:3" x14ac:dyDescent="0.25">
      <c r="B1189" s="116">
        <v>44014</v>
      </c>
      <c r="C1189" s="117">
        <v>10551.7</v>
      </c>
    </row>
    <row r="1190" spans="2:3" x14ac:dyDescent="0.25">
      <c r="B1190" s="116">
        <v>44013</v>
      </c>
      <c r="C1190" s="117">
        <v>10430.049999999999</v>
      </c>
    </row>
    <row r="1191" spans="2:3" x14ac:dyDescent="0.25">
      <c r="B1191" s="116">
        <v>44012</v>
      </c>
      <c r="C1191" s="117">
        <v>10302.1</v>
      </c>
    </row>
    <row r="1192" spans="2:3" x14ac:dyDescent="0.25">
      <c r="B1192" s="116">
        <v>44011</v>
      </c>
      <c r="C1192" s="117">
        <v>10312.4</v>
      </c>
    </row>
    <row r="1193" spans="2:3" x14ac:dyDescent="0.25">
      <c r="B1193" s="116">
        <v>44008</v>
      </c>
      <c r="C1193" s="117">
        <v>10383</v>
      </c>
    </row>
    <row r="1194" spans="2:3" x14ac:dyDescent="0.25">
      <c r="B1194" s="116">
        <v>44007</v>
      </c>
      <c r="C1194" s="117">
        <v>10288.9</v>
      </c>
    </row>
    <row r="1195" spans="2:3" x14ac:dyDescent="0.25">
      <c r="B1195" s="116">
        <v>44006</v>
      </c>
      <c r="C1195" s="117">
        <v>10305.299999999999</v>
      </c>
    </row>
    <row r="1196" spans="2:3" x14ac:dyDescent="0.25">
      <c r="B1196" s="116">
        <v>44005</v>
      </c>
      <c r="C1196" s="117">
        <v>10471</v>
      </c>
    </row>
    <row r="1197" spans="2:3" x14ac:dyDescent="0.25">
      <c r="B1197" s="116">
        <v>44004</v>
      </c>
      <c r="C1197" s="117">
        <v>10311.200000000001</v>
      </c>
    </row>
    <row r="1198" spans="2:3" x14ac:dyDescent="0.25">
      <c r="B1198" s="116">
        <v>44001</v>
      </c>
      <c r="C1198" s="117">
        <v>10244.4</v>
      </c>
    </row>
    <row r="1199" spans="2:3" x14ac:dyDescent="0.25">
      <c r="B1199" s="116">
        <v>44000</v>
      </c>
      <c r="C1199" s="117">
        <v>10091.65</v>
      </c>
    </row>
    <row r="1200" spans="2:3" x14ac:dyDescent="0.25">
      <c r="B1200" s="116">
        <v>43999</v>
      </c>
      <c r="C1200" s="117">
        <v>9881.15</v>
      </c>
    </row>
    <row r="1201" spans="2:3" x14ac:dyDescent="0.25">
      <c r="B1201" s="116">
        <v>43998</v>
      </c>
      <c r="C1201" s="117">
        <v>9914</v>
      </c>
    </row>
    <row r="1202" spans="2:3" x14ac:dyDescent="0.25">
      <c r="B1202" s="116">
        <v>43997</v>
      </c>
      <c r="C1202" s="117">
        <v>9813.7000000000007</v>
      </c>
    </row>
    <row r="1203" spans="2:3" x14ac:dyDescent="0.25">
      <c r="B1203" s="116">
        <v>43994</v>
      </c>
      <c r="C1203" s="117">
        <v>9972.9</v>
      </c>
    </row>
    <row r="1204" spans="2:3" x14ac:dyDescent="0.25">
      <c r="B1204" s="116">
        <v>43993</v>
      </c>
      <c r="C1204" s="117">
        <v>9902</v>
      </c>
    </row>
    <row r="1205" spans="2:3" x14ac:dyDescent="0.25">
      <c r="B1205" s="116">
        <v>43992</v>
      </c>
      <c r="C1205" s="117">
        <v>10116.15</v>
      </c>
    </row>
    <row r="1206" spans="2:3" x14ac:dyDescent="0.25">
      <c r="B1206" s="116">
        <v>43991</v>
      </c>
      <c r="C1206" s="117">
        <v>10046.65</v>
      </c>
    </row>
    <row r="1207" spans="2:3" x14ac:dyDescent="0.25">
      <c r="B1207" s="116">
        <v>43990</v>
      </c>
      <c r="C1207" s="117">
        <v>10167.450000000001</v>
      </c>
    </row>
    <row r="1208" spans="2:3" x14ac:dyDescent="0.25">
      <c r="B1208" s="116">
        <v>43987</v>
      </c>
      <c r="C1208" s="117">
        <v>10142.15</v>
      </c>
    </row>
    <row r="1209" spans="2:3" x14ac:dyDescent="0.25">
      <c r="B1209" s="116">
        <v>43986</v>
      </c>
      <c r="C1209" s="117">
        <v>10029.1</v>
      </c>
    </row>
    <row r="1210" spans="2:3" x14ac:dyDescent="0.25">
      <c r="B1210" s="116">
        <v>43985</v>
      </c>
      <c r="C1210" s="117">
        <v>10061.549999999999</v>
      </c>
    </row>
    <row r="1211" spans="2:3" x14ac:dyDescent="0.25">
      <c r="B1211" s="116">
        <v>43984</v>
      </c>
      <c r="C1211" s="117">
        <v>9979.1</v>
      </c>
    </row>
    <row r="1212" spans="2:3" x14ac:dyDescent="0.25">
      <c r="B1212" s="116">
        <v>43983</v>
      </c>
      <c r="C1212" s="117">
        <v>9826.15</v>
      </c>
    </row>
    <row r="1213" spans="2:3" x14ac:dyDescent="0.25">
      <c r="B1213" s="116">
        <v>43980</v>
      </c>
      <c r="C1213" s="117">
        <v>9580.2999999999993</v>
      </c>
    </row>
    <row r="1214" spans="2:3" x14ac:dyDescent="0.25">
      <c r="B1214" s="116">
        <v>43979</v>
      </c>
      <c r="C1214" s="117">
        <v>9490.1</v>
      </c>
    </row>
    <row r="1215" spans="2:3" x14ac:dyDescent="0.25">
      <c r="B1215" s="116">
        <v>43978</v>
      </c>
      <c r="C1215" s="117">
        <v>9314.9500000000007</v>
      </c>
    </row>
    <row r="1216" spans="2:3" x14ac:dyDescent="0.25">
      <c r="B1216" s="116">
        <v>43977</v>
      </c>
      <c r="C1216" s="117">
        <v>9029.0499999999993</v>
      </c>
    </row>
    <row r="1217" spans="2:3" x14ac:dyDescent="0.25">
      <c r="B1217" s="116">
        <v>43973</v>
      </c>
      <c r="C1217" s="117">
        <v>9039.25</v>
      </c>
    </row>
    <row r="1218" spans="2:3" x14ac:dyDescent="0.25">
      <c r="B1218" s="116">
        <v>43972</v>
      </c>
      <c r="C1218" s="117">
        <v>9106.25</v>
      </c>
    </row>
    <row r="1219" spans="2:3" x14ac:dyDescent="0.25">
      <c r="B1219" s="116">
        <v>43971</v>
      </c>
      <c r="C1219" s="117">
        <v>9066.5499999999993</v>
      </c>
    </row>
    <row r="1220" spans="2:3" x14ac:dyDescent="0.25">
      <c r="B1220" s="116">
        <v>43970</v>
      </c>
      <c r="C1220" s="117">
        <v>8879.1</v>
      </c>
    </row>
    <row r="1221" spans="2:3" x14ac:dyDescent="0.25">
      <c r="B1221" s="116">
        <v>43969</v>
      </c>
      <c r="C1221" s="117">
        <v>8823.25</v>
      </c>
    </row>
    <row r="1222" spans="2:3" x14ac:dyDescent="0.25">
      <c r="B1222" s="116">
        <v>43966</v>
      </c>
      <c r="C1222" s="117">
        <v>9136.85</v>
      </c>
    </row>
    <row r="1223" spans="2:3" x14ac:dyDescent="0.25">
      <c r="B1223" s="116">
        <v>43965</v>
      </c>
      <c r="C1223" s="117">
        <v>9142.75</v>
      </c>
    </row>
    <row r="1224" spans="2:3" x14ac:dyDescent="0.25">
      <c r="B1224" s="116">
        <v>43964</v>
      </c>
      <c r="C1224" s="117">
        <v>9383.5499999999993</v>
      </c>
    </row>
    <row r="1225" spans="2:3" x14ac:dyDescent="0.25">
      <c r="B1225" s="116">
        <v>43963</v>
      </c>
      <c r="C1225" s="117">
        <v>9196.5499999999993</v>
      </c>
    </row>
    <row r="1226" spans="2:3" x14ac:dyDescent="0.25">
      <c r="B1226" s="116">
        <v>43962</v>
      </c>
      <c r="C1226" s="117">
        <v>9239.2000000000007</v>
      </c>
    </row>
    <row r="1227" spans="2:3" x14ac:dyDescent="0.25">
      <c r="B1227" s="116">
        <v>43959</v>
      </c>
      <c r="C1227" s="117">
        <v>9251.5</v>
      </c>
    </row>
    <row r="1228" spans="2:3" x14ac:dyDescent="0.25">
      <c r="B1228" s="116">
        <v>43958</v>
      </c>
      <c r="C1228" s="117">
        <v>9199.0499999999993</v>
      </c>
    </row>
    <row r="1229" spans="2:3" x14ac:dyDescent="0.25">
      <c r="B1229" s="116">
        <v>43957</v>
      </c>
      <c r="C1229" s="117">
        <v>9270.9</v>
      </c>
    </row>
    <row r="1230" spans="2:3" x14ac:dyDescent="0.25">
      <c r="B1230" s="116">
        <v>43956</v>
      </c>
      <c r="C1230" s="117">
        <v>9205.6</v>
      </c>
    </row>
    <row r="1231" spans="2:3" x14ac:dyDescent="0.25">
      <c r="B1231" s="116">
        <v>43955</v>
      </c>
      <c r="C1231" s="117">
        <v>9293.5</v>
      </c>
    </row>
    <row r="1232" spans="2:3" x14ac:dyDescent="0.25">
      <c r="B1232" s="116">
        <v>43951</v>
      </c>
      <c r="C1232" s="117">
        <v>9859.9</v>
      </c>
    </row>
    <row r="1233" spans="2:3" x14ac:dyDescent="0.25">
      <c r="B1233" s="116">
        <v>43950</v>
      </c>
      <c r="C1233" s="117">
        <v>9553.35</v>
      </c>
    </row>
    <row r="1234" spans="2:3" x14ac:dyDescent="0.25">
      <c r="B1234" s="116">
        <v>43949</v>
      </c>
      <c r="C1234" s="117">
        <v>9380.9</v>
      </c>
    </row>
    <row r="1235" spans="2:3" x14ac:dyDescent="0.25">
      <c r="B1235" s="116">
        <v>43948</v>
      </c>
      <c r="C1235" s="117">
        <v>9282.2999999999993</v>
      </c>
    </row>
    <row r="1236" spans="2:3" x14ac:dyDescent="0.25">
      <c r="B1236" s="116">
        <v>43945</v>
      </c>
      <c r="C1236" s="117">
        <v>9154.4</v>
      </c>
    </row>
    <row r="1237" spans="2:3" x14ac:dyDescent="0.25">
      <c r="B1237" s="116">
        <v>43944</v>
      </c>
      <c r="C1237" s="117">
        <v>9313.9</v>
      </c>
    </row>
    <row r="1238" spans="2:3" x14ac:dyDescent="0.25">
      <c r="B1238" s="116">
        <v>43943</v>
      </c>
      <c r="C1238" s="117">
        <v>9187.2999999999993</v>
      </c>
    </row>
    <row r="1239" spans="2:3" x14ac:dyDescent="0.25">
      <c r="B1239" s="116">
        <v>43942</v>
      </c>
      <c r="C1239" s="117">
        <v>8981.4500000000007</v>
      </c>
    </row>
    <row r="1240" spans="2:3" x14ac:dyDescent="0.25">
      <c r="B1240" s="116">
        <v>43941</v>
      </c>
      <c r="C1240" s="117">
        <v>9261.85</v>
      </c>
    </row>
    <row r="1241" spans="2:3" x14ac:dyDescent="0.25">
      <c r="B1241" s="116">
        <v>43938</v>
      </c>
      <c r="C1241" s="117">
        <v>9266.75</v>
      </c>
    </row>
    <row r="1242" spans="2:3" x14ac:dyDescent="0.25">
      <c r="B1242" s="116">
        <v>43937</v>
      </c>
      <c r="C1242" s="117">
        <v>8992.7999999999993</v>
      </c>
    </row>
    <row r="1243" spans="2:3" x14ac:dyDescent="0.25">
      <c r="B1243" s="116">
        <v>43936</v>
      </c>
      <c r="C1243" s="117">
        <v>8925.2999999999993</v>
      </c>
    </row>
    <row r="1244" spans="2:3" x14ac:dyDescent="0.25">
      <c r="B1244" s="116">
        <v>43934</v>
      </c>
      <c r="C1244" s="117">
        <v>8993.85</v>
      </c>
    </row>
    <row r="1245" spans="2:3" x14ac:dyDescent="0.25">
      <c r="B1245" s="116">
        <v>43930</v>
      </c>
      <c r="C1245" s="117">
        <v>9111.9</v>
      </c>
    </row>
    <row r="1246" spans="2:3" x14ac:dyDescent="0.25">
      <c r="B1246" s="116">
        <v>43929</v>
      </c>
      <c r="C1246" s="117">
        <v>8748.75</v>
      </c>
    </row>
    <row r="1247" spans="2:3" x14ac:dyDescent="0.25">
      <c r="B1247" s="116">
        <v>43928</v>
      </c>
      <c r="C1247" s="117">
        <v>8792.2000000000007</v>
      </c>
    </row>
    <row r="1248" spans="2:3" x14ac:dyDescent="0.25">
      <c r="B1248" s="116">
        <v>43924</v>
      </c>
      <c r="C1248" s="117">
        <v>8083.8</v>
      </c>
    </row>
    <row r="1249" spans="2:3" x14ac:dyDescent="0.25">
      <c r="B1249" s="116">
        <v>43922</v>
      </c>
      <c r="C1249" s="117">
        <v>8253.7999999999993</v>
      </c>
    </row>
    <row r="1250" spans="2:3" x14ac:dyDescent="0.25">
      <c r="B1250" s="116">
        <v>43921</v>
      </c>
      <c r="C1250" s="117">
        <v>8597.75</v>
      </c>
    </row>
    <row r="1251" spans="2:3" x14ac:dyDescent="0.25">
      <c r="B1251" s="116">
        <v>43920</v>
      </c>
      <c r="C1251" s="117">
        <v>8281.1</v>
      </c>
    </row>
    <row r="1252" spans="2:3" x14ac:dyDescent="0.25">
      <c r="B1252" s="116">
        <v>43917</v>
      </c>
      <c r="C1252" s="117">
        <v>8660.25</v>
      </c>
    </row>
    <row r="1253" spans="2:3" x14ac:dyDescent="0.25">
      <c r="B1253" s="116">
        <v>43916</v>
      </c>
      <c r="C1253" s="117">
        <v>8641.4500000000007</v>
      </c>
    </row>
    <row r="1254" spans="2:3" x14ac:dyDescent="0.25">
      <c r="B1254" s="116">
        <v>43915</v>
      </c>
      <c r="C1254" s="117">
        <v>8317.85</v>
      </c>
    </row>
    <row r="1255" spans="2:3" x14ac:dyDescent="0.25">
      <c r="B1255" s="116">
        <v>43914</v>
      </c>
      <c r="C1255" s="117">
        <v>7801.05</v>
      </c>
    </row>
    <row r="1256" spans="2:3" x14ac:dyDescent="0.25">
      <c r="B1256" s="116">
        <v>43913</v>
      </c>
      <c r="C1256" s="117">
        <v>7610.25</v>
      </c>
    </row>
    <row r="1257" spans="2:3" x14ac:dyDescent="0.25">
      <c r="B1257" s="116">
        <v>43910</v>
      </c>
      <c r="C1257" s="117">
        <v>8745.4500000000007</v>
      </c>
    </row>
    <row r="1258" spans="2:3" x14ac:dyDescent="0.25">
      <c r="B1258" s="116">
        <v>43909</v>
      </c>
      <c r="C1258" s="117">
        <v>8263.4500000000007</v>
      </c>
    </row>
    <row r="1259" spans="2:3" x14ac:dyDescent="0.25">
      <c r="B1259" s="116">
        <v>43908</v>
      </c>
      <c r="C1259" s="117">
        <v>8468.7999999999993</v>
      </c>
    </row>
    <row r="1260" spans="2:3" x14ac:dyDescent="0.25">
      <c r="B1260" s="116">
        <v>43907</v>
      </c>
      <c r="C1260" s="117">
        <v>8967.0499999999993</v>
      </c>
    </row>
    <row r="1261" spans="2:3" x14ac:dyDescent="0.25">
      <c r="B1261" s="116">
        <v>43906</v>
      </c>
      <c r="C1261" s="117">
        <v>9197.4</v>
      </c>
    </row>
    <row r="1262" spans="2:3" x14ac:dyDescent="0.25">
      <c r="B1262" s="116">
        <v>43903</v>
      </c>
      <c r="C1262" s="117">
        <v>9955.2000000000007</v>
      </c>
    </row>
    <row r="1263" spans="2:3" x14ac:dyDescent="0.25">
      <c r="B1263" s="116">
        <v>43902</v>
      </c>
      <c r="C1263" s="117">
        <v>9590.15</v>
      </c>
    </row>
    <row r="1264" spans="2:3" x14ac:dyDescent="0.25">
      <c r="B1264" s="116">
        <v>43901</v>
      </c>
      <c r="C1264" s="117">
        <v>10458.4</v>
      </c>
    </row>
    <row r="1265" spans="2:3" x14ac:dyDescent="0.25">
      <c r="B1265" s="116">
        <v>43899</v>
      </c>
      <c r="C1265" s="117">
        <v>10451.450000000001</v>
      </c>
    </row>
    <row r="1266" spans="2:3" x14ac:dyDescent="0.25">
      <c r="B1266" s="116">
        <v>43896</v>
      </c>
      <c r="C1266" s="117">
        <v>10989.45</v>
      </c>
    </row>
    <row r="1267" spans="2:3" x14ac:dyDescent="0.25">
      <c r="B1267" s="116">
        <v>43895</v>
      </c>
      <c r="C1267" s="117">
        <v>11269</v>
      </c>
    </row>
    <row r="1268" spans="2:3" x14ac:dyDescent="0.25">
      <c r="B1268" s="116">
        <v>43894</v>
      </c>
      <c r="C1268" s="117">
        <v>11251</v>
      </c>
    </row>
    <row r="1269" spans="2:3" x14ac:dyDescent="0.25">
      <c r="B1269" s="116">
        <v>43893</v>
      </c>
      <c r="C1269" s="117">
        <v>11303.3</v>
      </c>
    </row>
    <row r="1270" spans="2:3" x14ac:dyDescent="0.25">
      <c r="B1270" s="116">
        <v>43892</v>
      </c>
      <c r="C1270" s="117">
        <v>11132.75</v>
      </c>
    </row>
    <row r="1271" spans="2:3" x14ac:dyDescent="0.25">
      <c r="B1271" s="116">
        <v>43889</v>
      </c>
      <c r="C1271" s="117">
        <v>11201.75</v>
      </c>
    </row>
    <row r="1272" spans="2:3" x14ac:dyDescent="0.25">
      <c r="B1272" s="116">
        <v>43888</v>
      </c>
      <c r="C1272" s="117">
        <v>11633.3</v>
      </c>
    </row>
    <row r="1273" spans="2:3" x14ac:dyDescent="0.25">
      <c r="B1273" s="116">
        <v>43887</v>
      </c>
      <c r="C1273" s="117">
        <v>11678.5</v>
      </c>
    </row>
    <row r="1274" spans="2:3" x14ac:dyDescent="0.25">
      <c r="B1274" s="116">
        <v>43886</v>
      </c>
      <c r="C1274" s="117">
        <v>11797.9</v>
      </c>
    </row>
    <row r="1275" spans="2:3" x14ac:dyDescent="0.25">
      <c r="B1275" s="116">
        <v>43885</v>
      </c>
      <c r="C1275" s="117">
        <v>11829.4</v>
      </c>
    </row>
    <row r="1276" spans="2:3" x14ac:dyDescent="0.25">
      <c r="B1276" s="116">
        <v>43881</v>
      </c>
      <c r="C1276" s="117">
        <v>12080.85</v>
      </c>
    </row>
    <row r="1277" spans="2:3" x14ac:dyDescent="0.25">
      <c r="B1277" s="116">
        <v>43880</v>
      </c>
      <c r="C1277" s="117">
        <v>12125.9</v>
      </c>
    </row>
    <row r="1278" spans="2:3" x14ac:dyDescent="0.25">
      <c r="B1278" s="116">
        <v>43879</v>
      </c>
      <c r="C1278" s="117">
        <v>11992.5</v>
      </c>
    </row>
    <row r="1279" spans="2:3" x14ac:dyDescent="0.25">
      <c r="B1279" s="116">
        <v>43878</v>
      </c>
      <c r="C1279" s="117">
        <v>12045.8</v>
      </c>
    </row>
    <row r="1280" spans="2:3" x14ac:dyDescent="0.25">
      <c r="B1280" s="116">
        <v>43875</v>
      </c>
      <c r="C1280" s="117">
        <v>12113.45</v>
      </c>
    </row>
    <row r="1281" spans="2:3" x14ac:dyDescent="0.25">
      <c r="B1281" s="116">
        <v>43874</v>
      </c>
      <c r="C1281" s="117">
        <v>12174.65</v>
      </c>
    </row>
    <row r="1282" spans="2:3" x14ac:dyDescent="0.25">
      <c r="B1282" s="116">
        <v>43873</v>
      </c>
      <c r="C1282" s="117">
        <v>12201.2</v>
      </c>
    </row>
    <row r="1283" spans="2:3" x14ac:dyDescent="0.25">
      <c r="B1283" s="116">
        <v>43872</v>
      </c>
      <c r="C1283" s="117">
        <v>12107.9</v>
      </c>
    </row>
    <row r="1284" spans="2:3" x14ac:dyDescent="0.25">
      <c r="B1284" s="116">
        <v>43871</v>
      </c>
      <c r="C1284" s="117">
        <v>12031.5</v>
      </c>
    </row>
    <row r="1285" spans="2:3" x14ac:dyDescent="0.25">
      <c r="B1285" s="116">
        <v>43868</v>
      </c>
      <c r="C1285" s="117">
        <v>12098.35</v>
      </c>
    </row>
    <row r="1286" spans="2:3" x14ac:dyDescent="0.25">
      <c r="B1286" s="116">
        <v>43867</v>
      </c>
      <c r="C1286" s="117">
        <v>12137.95</v>
      </c>
    </row>
    <row r="1287" spans="2:3" x14ac:dyDescent="0.25">
      <c r="B1287" s="116">
        <v>43866</v>
      </c>
      <c r="C1287" s="117">
        <v>12089.15</v>
      </c>
    </row>
    <row r="1288" spans="2:3" x14ac:dyDescent="0.25">
      <c r="B1288" s="116">
        <v>43865</v>
      </c>
      <c r="C1288" s="117">
        <v>11979.65</v>
      </c>
    </row>
    <row r="1289" spans="2:3" x14ac:dyDescent="0.25">
      <c r="B1289" s="116">
        <v>43864</v>
      </c>
      <c r="C1289" s="117">
        <v>11707.9</v>
      </c>
    </row>
    <row r="1290" spans="2:3" x14ac:dyDescent="0.25">
      <c r="B1290" s="116">
        <v>43862</v>
      </c>
      <c r="C1290" s="117">
        <v>11661.85</v>
      </c>
    </row>
    <row r="1291" spans="2:3" x14ac:dyDescent="0.25">
      <c r="B1291" s="116">
        <v>43861</v>
      </c>
      <c r="C1291" s="117">
        <v>11962.1</v>
      </c>
    </row>
    <row r="1292" spans="2:3" x14ac:dyDescent="0.25">
      <c r="B1292" s="116">
        <v>43860</v>
      </c>
      <c r="C1292" s="117">
        <v>12035.8</v>
      </c>
    </row>
    <row r="1293" spans="2:3" x14ac:dyDescent="0.25">
      <c r="B1293" s="116">
        <v>43859</v>
      </c>
      <c r="C1293" s="117">
        <v>12129.5</v>
      </c>
    </row>
    <row r="1294" spans="2:3" x14ac:dyDescent="0.25">
      <c r="B1294" s="116">
        <v>43858</v>
      </c>
      <c r="C1294" s="117">
        <v>12055.8</v>
      </c>
    </row>
    <row r="1295" spans="2:3" x14ac:dyDescent="0.25">
      <c r="B1295" s="116">
        <v>43857</v>
      </c>
      <c r="C1295" s="117">
        <v>12119</v>
      </c>
    </row>
    <row r="1296" spans="2:3" x14ac:dyDescent="0.25">
      <c r="B1296" s="116">
        <v>43854</v>
      </c>
      <c r="C1296" s="117">
        <v>12248.25</v>
      </c>
    </row>
    <row r="1297" spans="2:3" x14ac:dyDescent="0.25">
      <c r="B1297" s="116">
        <v>43853</v>
      </c>
      <c r="C1297" s="117">
        <v>12180.35</v>
      </c>
    </row>
    <row r="1298" spans="2:3" x14ac:dyDescent="0.25">
      <c r="B1298" s="116">
        <v>43852</v>
      </c>
      <c r="C1298" s="117">
        <v>12106.9</v>
      </c>
    </row>
    <row r="1299" spans="2:3" x14ac:dyDescent="0.25">
      <c r="B1299" s="116">
        <v>43851</v>
      </c>
      <c r="C1299" s="117">
        <v>12169.85</v>
      </c>
    </row>
    <row r="1300" spans="2:3" x14ac:dyDescent="0.25">
      <c r="B1300" s="116">
        <v>43850</v>
      </c>
      <c r="C1300" s="117">
        <v>12224.55</v>
      </c>
    </row>
    <row r="1301" spans="2:3" x14ac:dyDescent="0.25">
      <c r="B1301" s="116">
        <v>43847</v>
      </c>
      <c r="C1301" s="117">
        <v>12352.35</v>
      </c>
    </row>
    <row r="1302" spans="2:3" x14ac:dyDescent="0.25">
      <c r="B1302" s="116">
        <v>43846</v>
      </c>
      <c r="C1302" s="117">
        <v>12355.5</v>
      </c>
    </row>
    <row r="1303" spans="2:3" x14ac:dyDescent="0.25">
      <c r="B1303" s="116">
        <v>43845</v>
      </c>
      <c r="C1303" s="117">
        <v>12343.3</v>
      </c>
    </row>
    <row r="1304" spans="2:3" x14ac:dyDescent="0.25">
      <c r="B1304" s="116">
        <v>43844</v>
      </c>
      <c r="C1304" s="117">
        <v>12362.3</v>
      </c>
    </row>
    <row r="1305" spans="2:3" x14ac:dyDescent="0.25">
      <c r="B1305" s="116">
        <v>43843</v>
      </c>
      <c r="C1305" s="117">
        <v>12329.55</v>
      </c>
    </row>
    <row r="1306" spans="2:3" x14ac:dyDescent="0.25">
      <c r="B1306" s="116">
        <v>43840</v>
      </c>
      <c r="C1306" s="117">
        <v>12256.8</v>
      </c>
    </row>
    <row r="1307" spans="2:3" x14ac:dyDescent="0.25">
      <c r="B1307" s="116">
        <v>43839</v>
      </c>
      <c r="C1307" s="117">
        <v>12215.9</v>
      </c>
    </row>
    <row r="1308" spans="2:3" x14ac:dyDescent="0.25">
      <c r="B1308" s="116">
        <v>43838</v>
      </c>
      <c r="C1308" s="117">
        <v>12025.35</v>
      </c>
    </row>
    <row r="1309" spans="2:3" x14ac:dyDescent="0.25">
      <c r="B1309" s="116">
        <v>43837</v>
      </c>
      <c r="C1309" s="117">
        <v>12052.95</v>
      </c>
    </row>
    <row r="1310" spans="2:3" x14ac:dyDescent="0.25">
      <c r="B1310" s="116">
        <v>43836</v>
      </c>
      <c r="C1310" s="117">
        <v>11993.05</v>
      </c>
    </row>
    <row r="1311" spans="2:3" x14ac:dyDescent="0.25">
      <c r="B1311" s="116">
        <v>43833</v>
      </c>
      <c r="C1311" s="117">
        <v>12226.65</v>
      </c>
    </row>
    <row r="1312" spans="2:3" x14ac:dyDescent="0.25">
      <c r="B1312" s="116">
        <v>43832</v>
      </c>
      <c r="C1312" s="117">
        <v>12282.2</v>
      </c>
    </row>
    <row r="1313" spans="2:3" x14ac:dyDescent="0.25">
      <c r="B1313" s="116">
        <v>43831</v>
      </c>
      <c r="C1313" s="117">
        <v>12182.5</v>
      </c>
    </row>
    <row r="1314" spans="2:3" x14ac:dyDescent="0.25">
      <c r="B1314" s="116">
        <v>43830</v>
      </c>
      <c r="C1314" s="117">
        <v>12168.45</v>
      </c>
    </row>
    <row r="1315" spans="2:3" x14ac:dyDescent="0.25">
      <c r="B1315" s="116">
        <v>43829</v>
      </c>
      <c r="C1315" s="117">
        <v>12255.85</v>
      </c>
    </row>
    <row r="1316" spans="2:3" x14ac:dyDescent="0.25">
      <c r="B1316" s="116">
        <v>43826</v>
      </c>
      <c r="C1316" s="117">
        <v>12245.8</v>
      </c>
    </row>
    <row r="1317" spans="2:3" x14ac:dyDescent="0.25">
      <c r="B1317" s="116">
        <v>43825</v>
      </c>
      <c r="C1317" s="117">
        <v>12126.55</v>
      </c>
    </row>
    <row r="1318" spans="2:3" x14ac:dyDescent="0.25">
      <c r="B1318" s="116">
        <v>43823</v>
      </c>
      <c r="C1318" s="117">
        <v>12214.55</v>
      </c>
    </row>
    <row r="1319" spans="2:3" x14ac:dyDescent="0.25">
      <c r="B1319" s="116">
        <v>43822</v>
      </c>
      <c r="C1319" s="117">
        <v>12262.75</v>
      </c>
    </row>
    <row r="1320" spans="2:3" x14ac:dyDescent="0.25">
      <c r="B1320" s="116">
        <v>43819</v>
      </c>
      <c r="C1320" s="117">
        <v>12271.8</v>
      </c>
    </row>
    <row r="1321" spans="2:3" x14ac:dyDescent="0.25">
      <c r="B1321" s="116">
        <v>43818</v>
      </c>
      <c r="C1321" s="117">
        <v>12259.7</v>
      </c>
    </row>
    <row r="1322" spans="2:3" x14ac:dyDescent="0.25">
      <c r="B1322" s="116">
        <v>43817</v>
      </c>
      <c r="C1322" s="117">
        <v>12221.65</v>
      </c>
    </row>
    <row r="1323" spans="2:3" x14ac:dyDescent="0.25">
      <c r="B1323" s="116">
        <v>43816</v>
      </c>
      <c r="C1323" s="117">
        <v>12165</v>
      </c>
    </row>
    <row r="1324" spans="2:3" x14ac:dyDescent="0.25">
      <c r="B1324" s="116">
        <v>43815</v>
      </c>
      <c r="C1324" s="117">
        <v>12053.95</v>
      </c>
    </row>
    <row r="1325" spans="2:3" x14ac:dyDescent="0.25">
      <c r="B1325" s="116">
        <v>43812</v>
      </c>
      <c r="C1325" s="117">
        <v>12086.7</v>
      </c>
    </row>
    <row r="1326" spans="2:3" x14ac:dyDescent="0.25">
      <c r="B1326" s="116">
        <v>43811</v>
      </c>
      <c r="C1326" s="117">
        <v>11971.8</v>
      </c>
    </row>
    <row r="1327" spans="2:3" x14ac:dyDescent="0.25">
      <c r="B1327" s="116">
        <v>43810</v>
      </c>
      <c r="C1327" s="117">
        <v>11910.15</v>
      </c>
    </row>
    <row r="1328" spans="2:3" x14ac:dyDescent="0.25">
      <c r="B1328" s="116">
        <v>43809</v>
      </c>
      <c r="C1328" s="117">
        <v>11856.8</v>
      </c>
    </row>
    <row r="1329" spans="2:3" x14ac:dyDescent="0.25">
      <c r="B1329" s="116">
        <v>43808</v>
      </c>
      <c r="C1329" s="117">
        <v>11937.5</v>
      </c>
    </row>
    <row r="1330" spans="2:3" x14ac:dyDescent="0.25">
      <c r="B1330" s="116">
        <v>43805</v>
      </c>
      <c r="C1330" s="117">
        <v>11921.5</v>
      </c>
    </row>
    <row r="1331" spans="2:3" x14ac:dyDescent="0.25">
      <c r="B1331" s="116">
        <v>43804</v>
      </c>
      <c r="C1331" s="117">
        <v>12018.4</v>
      </c>
    </row>
    <row r="1332" spans="2:3" x14ac:dyDescent="0.25">
      <c r="B1332" s="116">
        <v>43803</v>
      </c>
      <c r="C1332" s="117">
        <v>12043.2</v>
      </c>
    </row>
    <row r="1333" spans="2:3" x14ac:dyDescent="0.25">
      <c r="B1333" s="116">
        <v>43802</v>
      </c>
      <c r="C1333" s="117">
        <v>11994.2</v>
      </c>
    </row>
    <row r="1334" spans="2:3" x14ac:dyDescent="0.25">
      <c r="B1334" s="116">
        <v>43801</v>
      </c>
      <c r="C1334" s="117">
        <v>12048.2</v>
      </c>
    </row>
    <row r="1335" spans="2:3" x14ac:dyDescent="0.25">
      <c r="B1335" s="116">
        <v>43798</v>
      </c>
      <c r="C1335" s="117">
        <v>12056.05</v>
      </c>
    </row>
    <row r="1336" spans="2:3" x14ac:dyDescent="0.25">
      <c r="B1336" s="116">
        <v>43797</v>
      </c>
      <c r="C1336" s="117">
        <v>12151.15</v>
      </c>
    </row>
    <row r="1337" spans="2:3" x14ac:dyDescent="0.25">
      <c r="B1337" s="116">
        <v>43796</v>
      </c>
      <c r="C1337" s="117">
        <v>12100.7</v>
      </c>
    </row>
    <row r="1338" spans="2:3" x14ac:dyDescent="0.25">
      <c r="B1338" s="116">
        <v>43795</v>
      </c>
      <c r="C1338" s="117">
        <v>12037.7</v>
      </c>
    </row>
    <row r="1339" spans="2:3" x14ac:dyDescent="0.25">
      <c r="B1339" s="116">
        <v>43794</v>
      </c>
      <c r="C1339" s="117">
        <v>12073.75</v>
      </c>
    </row>
    <row r="1340" spans="2:3" x14ac:dyDescent="0.25">
      <c r="B1340" s="116">
        <v>43791</v>
      </c>
      <c r="C1340" s="117">
        <v>11914.4</v>
      </c>
    </row>
    <row r="1341" spans="2:3" x14ac:dyDescent="0.25">
      <c r="B1341" s="116">
        <v>43790</v>
      </c>
      <c r="C1341" s="117">
        <v>11968.4</v>
      </c>
    </row>
    <row r="1342" spans="2:3" x14ac:dyDescent="0.25">
      <c r="B1342" s="116">
        <v>43789</v>
      </c>
      <c r="C1342" s="117">
        <v>11999.1</v>
      </c>
    </row>
    <row r="1343" spans="2:3" x14ac:dyDescent="0.25">
      <c r="B1343" s="116">
        <v>43788</v>
      </c>
      <c r="C1343" s="117">
        <v>11940.1</v>
      </c>
    </row>
    <row r="1344" spans="2:3" x14ac:dyDescent="0.25">
      <c r="B1344" s="116">
        <v>43787</v>
      </c>
      <c r="C1344" s="117">
        <v>11884.5</v>
      </c>
    </row>
    <row r="1345" spans="2:3" x14ac:dyDescent="0.25">
      <c r="B1345" s="116">
        <v>43784</v>
      </c>
      <c r="C1345" s="117">
        <v>11895.45</v>
      </c>
    </row>
    <row r="1346" spans="2:3" x14ac:dyDescent="0.25">
      <c r="B1346" s="116">
        <v>43783</v>
      </c>
      <c r="C1346" s="117">
        <v>11872.1</v>
      </c>
    </row>
    <row r="1347" spans="2:3" x14ac:dyDescent="0.25">
      <c r="B1347" s="116">
        <v>43782</v>
      </c>
      <c r="C1347" s="117">
        <v>11840.45</v>
      </c>
    </row>
    <row r="1348" spans="2:3" x14ac:dyDescent="0.25">
      <c r="B1348" s="116">
        <v>43780</v>
      </c>
      <c r="C1348" s="117">
        <v>11913.45</v>
      </c>
    </row>
    <row r="1349" spans="2:3" x14ac:dyDescent="0.25">
      <c r="B1349" s="116">
        <v>43777</v>
      </c>
      <c r="C1349" s="117">
        <v>11908.15</v>
      </c>
    </row>
    <row r="1350" spans="2:3" x14ac:dyDescent="0.25">
      <c r="B1350" s="116">
        <v>43776</v>
      </c>
      <c r="C1350" s="117">
        <v>12012.05</v>
      </c>
    </row>
    <row r="1351" spans="2:3" x14ac:dyDescent="0.25">
      <c r="B1351" s="116">
        <v>43775</v>
      </c>
      <c r="C1351" s="117">
        <v>11966.05</v>
      </c>
    </row>
    <row r="1352" spans="2:3" x14ac:dyDescent="0.25">
      <c r="B1352" s="116">
        <v>43774</v>
      </c>
      <c r="C1352" s="117">
        <v>11917.2</v>
      </c>
    </row>
    <row r="1353" spans="2:3" x14ac:dyDescent="0.25">
      <c r="B1353" s="116">
        <v>43773</v>
      </c>
      <c r="C1353" s="117">
        <v>11941.3</v>
      </c>
    </row>
    <row r="1354" spans="2:3" x14ac:dyDescent="0.25">
      <c r="B1354" s="116">
        <v>43770</v>
      </c>
      <c r="C1354" s="117">
        <v>11890.6</v>
      </c>
    </row>
    <row r="1355" spans="2:3" x14ac:dyDescent="0.25">
      <c r="B1355" s="116">
        <v>43769</v>
      </c>
      <c r="C1355" s="117">
        <v>11877.45</v>
      </c>
    </row>
    <row r="1356" spans="2:3" x14ac:dyDescent="0.25">
      <c r="B1356" s="116">
        <v>43768</v>
      </c>
      <c r="C1356" s="117">
        <v>11844.1</v>
      </c>
    </row>
    <row r="1357" spans="2:3" x14ac:dyDescent="0.25">
      <c r="B1357" s="116">
        <v>43767</v>
      </c>
      <c r="C1357" s="117">
        <v>11786.85</v>
      </c>
    </row>
    <row r="1358" spans="2:3" x14ac:dyDescent="0.25">
      <c r="B1358" s="116">
        <v>43765</v>
      </c>
      <c r="C1358" s="117">
        <v>11627.15</v>
      </c>
    </row>
    <row r="1359" spans="2:3" x14ac:dyDescent="0.25">
      <c r="B1359" s="116">
        <v>43763</v>
      </c>
      <c r="C1359" s="117">
        <v>11583.9</v>
      </c>
    </row>
    <row r="1360" spans="2:3" x14ac:dyDescent="0.25">
      <c r="B1360" s="116">
        <v>43762</v>
      </c>
      <c r="C1360" s="117">
        <v>11582.6</v>
      </c>
    </row>
    <row r="1361" spans="2:3" x14ac:dyDescent="0.25">
      <c r="B1361" s="116">
        <v>43761</v>
      </c>
      <c r="C1361" s="117">
        <v>11604.1</v>
      </c>
    </row>
    <row r="1362" spans="2:3" x14ac:dyDescent="0.25">
      <c r="B1362" s="116">
        <v>43760</v>
      </c>
      <c r="C1362" s="117">
        <v>11588.35</v>
      </c>
    </row>
    <row r="1363" spans="2:3" x14ac:dyDescent="0.25">
      <c r="B1363" s="116">
        <v>43756</v>
      </c>
      <c r="C1363" s="117">
        <v>11661.85</v>
      </c>
    </row>
    <row r="1364" spans="2:3" x14ac:dyDescent="0.25">
      <c r="B1364" s="116">
        <v>43755</v>
      </c>
      <c r="C1364" s="117">
        <v>11586.35</v>
      </c>
    </row>
    <row r="1365" spans="2:3" x14ac:dyDescent="0.25">
      <c r="B1365" s="116">
        <v>43754</v>
      </c>
      <c r="C1365" s="117">
        <v>11464</v>
      </c>
    </row>
    <row r="1366" spans="2:3" x14ac:dyDescent="0.25">
      <c r="B1366" s="116">
        <v>43753</v>
      </c>
      <c r="C1366" s="117">
        <v>11428.3</v>
      </c>
    </row>
    <row r="1367" spans="2:3" x14ac:dyDescent="0.25">
      <c r="B1367" s="116">
        <v>43752</v>
      </c>
      <c r="C1367" s="117">
        <v>11341.15</v>
      </c>
    </row>
    <row r="1368" spans="2:3" x14ac:dyDescent="0.25">
      <c r="B1368" s="116">
        <v>43749</v>
      </c>
      <c r="C1368" s="117">
        <v>11305.05</v>
      </c>
    </row>
    <row r="1369" spans="2:3" x14ac:dyDescent="0.25">
      <c r="B1369" s="116">
        <v>43748</v>
      </c>
      <c r="C1369" s="117">
        <v>11234.55</v>
      </c>
    </row>
    <row r="1370" spans="2:3" x14ac:dyDescent="0.25">
      <c r="B1370" s="116">
        <v>43747</v>
      </c>
      <c r="C1370" s="117">
        <v>11313.3</v>
      </c>
    </row>
    <row r="1371" spans="2:3" x14ac:dyDescent="0.25">
      <c r="B1371" s="116">
        <v>43745</v>
      </c>
      <c r="C1371" s="117">
        <v>11126.4</v>
      </c>
    </row>
    <row r="1372" spans="2:3" x14ac:dyDescent="0.25">
      <c r="B1372" s="116">
        <v>43742</v>
      </c>
      <c r="C1372" s="117">
        <v>11174.75</v>
      </c>
    </row>
    <row r="1373" spans="2:3" x14ac:dyDescent="0.25">
      <c r="B1373" s="116">
        <v>43741</v>
      </c>
      <c r="C1373" s="117">
        <v>11314</v>
      </c>
    </row>
    <row r="1374" spans="2:3" x14ac:dyDescent="0.25">
      <c r="B1374" s="116">
        <v>43739</v>
      </c>
      <c r="C1374" s="117">
        <v>11359.9</v>
      </c>
    </row>
    <row r="1375" spans="2:3" x14ac:dyDescent="0.25">
      <c r="B1375" s="116">
        <v>43738</v>
      </c>
      <c r="C1375" s="117">
        <v>11474.45</v>
      </c>
    </row>
    <row r="1376" spans="2:3" x14ac:dyDescent="0.25">
      <c r="B1376" s="116">
        <v>43735</v>
      </c>
      <c r="C1376" s="117">
        <v>11512.4</v>
      </c>
    </row>
    <row r="1377" spans="2:3" x14ac:dyDescent="0.25">
      <c r="B1377" s="116">
        <v>43734</v>
      </c>
      <c r="C1377" s="117">
        <v>11571.2</v>
      </c>
    </row>
    <row r="1378" spans="2:3" x14ac:dyDescent="0.25">
      <c r="B1378" s="116">
        <v>43733</v>
      </c>
      <c r="C1378" s="117">
        <v>11440.2</v>
      </c>
    </row>
    <row r="1379" spans="2:3" x14ac:dyDescent="0.25">
      <c r="B1379" s="116">
        <v>43732</v>
      </c>
      <c r="C1379" s="117">
        <v>11588.2</v>
      </c>
    </row>
    <row r="1380" spans="2:3" x14ac:dyDescent="0.25">
      <c r="B1380" s="116">
        <v>43731</v>
      </c>
      <c r="C1380" s="117">
        <v>11600.2</v>
      </c>
    </row>
    <row r="1381" spans="2:3" x14ac:dyDescent="0.25">
      <c r="B1381" s="116">
        <v>43728</v>
      </c>
      <c r="C1381" s="117">
        <v>11274.2</v>
      </c>
    </row>
    <row r="1382" spans="2:3" x14ac:dyDescent="0.25">
      <c r="B1382" s="116">
        <v>43727</v>
      </c>
      <c r="C1382" s="117">
        <v>10704.8</v>
      </c>
    </row>
    <row r="1383" spans="2:3" x14ac:dyDescent="0.25">
      <c r="B1383" s="116">
        <v>43726</v>
      </c>
      <c r="C1383" s="117">
        <v>10840.65</v>
      </c>
    </row>
    <row r="1384" spans="2:3" x14ac:dyDescent="0.25">
      <c r="B1384" s="116">
        <v>43725</v>
      </c>
      <c r="C1384" s="117">
        <v>10817.6</v>
      </c>
    </row>
    <row r="1385" spans="2:3" x14ac:dyDescent="0.25">
      <c r="B1385" s="116">
        <v>43724</v>
      </c>
      <c r="C1385" s="117">
        <v>11003.5</v>
      </c>
    </row>
    <row r="1386" spans="2:3" x14ac:dyDescent="0.25">
      <c r="B1386" s="116">
        <v>43721</v>
      </c>
      <c r="C1386" s="117">
        <v>11075.9</v>
      </c>
    </row>
    <row r="1387" spans="2:3" x14ac:dyDescent="0.25">
      <c r="B1387" s="116">
        <v>43720</v>
      </c>
      <c r="C1387" s="117">
        <v>10982.8</v>
      </c>
    </row>
    <row r="1388" spans="2:3" x14ac:dyDescent="0.25">
      <c r="B1388" s="116">
        <v>43719</v>
      </c>
      <c r="C1388" s="117">
        <v>11035.7</v>
      </c>
    </row>
    <row r="1389" spans="2:3" x14ac:dyDescent="0.25">
      <c r="B1389" s="116">
        <v>43717</v>
      </c>
      <c r="C1389" s="117">
        <v>11003.05</v>
      </c>
    </row>
    <row r="1390" spans="2:3" x14ac:dyDescent="0.25">
      <c r="B1390" s="116">
        <v>43714</v>
      </c>
      <c r="C1390" s="117">
        <v>10946.2</v>
      </c>
    </row>
    <row r="1391" spans="2:3" x14ac:dyDescent="0.25">
      <c r="B1391" s="116">
        <v>43713</v>
      </c>
      <c r="C1391" s="117">
        <v>10847.9</v>
      </c>
    </row>
    <row r="1392" spans="2:3" x14ac:dyDescent="0.25">
      <c r="B1392" s="116">
        <v>43712</v>
      </c>
      <c r="C1392" s="117">
        <v>10844.65</v>
      </c>
    </row>
    <row r="1393" spans="2:3" x14ac:dyDescent="0.25">
      <c r="B1393" s="116">
        <v>43711</v>
      </c>
      <c r="C1393" s="117">
        <v>10797.9</v>
      </c>
    </row>
    <row r="1394" spans="2:3" x14ac:dyDescent="0.25">
      <c r="B1394" s="116">
        <v>43707</v>
      </c>
      <c r="C1394" s="117">
        <v>11023.25</v>
      </c>
    </row>
    <row r="1395" spans="2:3" x14ac:dyDescent="0.25">
      <c r="B1395" s="116">
        <v>43706</v>
      </c>
      <c r="C1395" s="117">
        <v>10948.3</v>
      </c>
    </row>
    <row r="1396" spans="2:3" x14ac:dyDescent="0.25">
      <c r="B1396" s="116">
        <v>43705</v>
      </c>
      <c r="C1396" s="117">
        <v>11046.1</v>
      </c>
    </row>
    <row r="1397" spans="2:3" x14ac:dyDescent="0.25">
      <c r="B1397" s="116">
        <v>43704</v>
      </c>
      <c r="C1397" s="117">
        <v>11105.35</v>
      </c>
    </row>
    <row r="1398" spans="2:3" x14ac:dyDescent="0.25">
      <c r="B1398" s="116">
        <v>43703</v>
      </c>
      <c r="C1398" s="117">
        <v>11057.85</v>
      </c>
    </row>
    <row r="1399" spans="2:3" x14ac:dyDescent="0.25">
      <c r="B1399" s="116">
        <v>43700</v>
      </c>
      <c r="C1399" s="117">
        <v>10829.35</v>
      </c>
    </row>
    <row r="1400" spans="2:3" x14ac:dyDescent="0.25">
      <c r="B1400" s="116">
        <v>43699</v>
      </c>
      <c r="C1400" s="117">
        <v>10741.35</v>
      </c>
    </row>
    <row r="1401" spans="2:3" x14ac:dyDescent="0.25">
      <c r="B1401" s="116">
        <v>43698</v>
      </c>
      <c r="C1401" s="117">
        <v>10918.7</v>
      </c>
    </row>
    <row r="1402" spans="2:3" x14ac:dyDescent="0.25">
      <c r="B1402" s="116">
        <v>43697</v>
      </c>
      <c r="C1402" s="117">
        <v>11017</v>
      </c>
    </row>
    <row r="1403" spans="2:3" x14ac:dyDescent="0.25">
      <c r="B1403" s="116">
        <v>43696</v>
      </c>
      <c r="C1403" s="117">
        <v>11053.9</v>
      </c>
    </row>
    <row r="1404" spans="2:3" x14ac:dyDescent="0.25">
      <c r="B1404" s="116">
        <v>43693</v>
      </c>
      <c r="C1404" s="117">
        <v>11047.8</v>
      </c>
    </row>
    <row r="1405" spans="2:3" x14ac:dyDescent="0.25">
      <c r="B1405" s="116">
        <v>43691</v>
      </c>
      <c r="C1405" s="117">
        <v>11029.4</v>
      </c>
    </row>
    <row r="1406" spans="2:3" x14ac:dyDescent="0.25">
      <c r="B1406" s="116">
        <v>43690</v>
      </c>
      <c r="C1406" s="117">
        <v>10925.85</v>
      </c>
    </row>
    <row r="1407" spans="2:3" x14ac:dyDescent="0.25">
      <c r="B1407" s="116">
        <v>43686</v>
      </c>
      <c r="C1407" s="117">
        <v>11109.65</v>
      </c>
    </row>
    <row r="1408" spans="2:3" x14ac:dyDescent="0.25">
      <c r="B1408" s="116">
        <v>43685</v>
      </c>
      <c r="C1408" s="117">
        <v>11032.45</v>
      </c>
    </row>
    <row r="1409" spans="2:3" x14ac:dyDescent="0.25">
      <c r="B1409" s="116">
        <v>43684</v>
      </c>
      <c r="C1409" s="117">
        <v>10855.5</v>
      </c>
    </row>
    <row r="1410" spans="2:3" x14ac:dyDescent="0.25">
      <c r="B1410" s="116">
        <v>43683</v>
      </c>
      <c r="C1410" s="117">
        <v>10948.25</v>
      </c>
    </row>
    <row r="1411" spans="2:3" x14ac:dyDescent="0.25">
      <c r="B1411" s="116">
        <v>43682</v>
      </c>
      <c r="C1411" s="117">
        <v>10862.6</v>
      </c>
    </row>
    <row r="1412" spans="2:3" x14ac:dyDescent="0.25">
      <c r="B1412" s="116">
        <v>43679</v>
      </c>
      <c r="C1412" s="117">
        <v>10997.35</v>
      </c>
    </row>
    <row r="1413" spans="2:3" x14ac:dyDescent="0.25">
      <c r="B1413" s="116">
        <v>43678</v>
      </c>
      <c r="C1413" s="117">
        <v>10980</v>
      </c>
    </row>
    <row r="1414" spans="2:3" x14ac:dyDescent="0.25">
      <c r="B1414" s="116">
        <v>43677</v>
      </c>
      <c r="C1414" s="117">
        <v>11118</v>
      </c>
    </row>
    <row r="1415" spans="2:3" x14ac:dyDescent="0.25">
      <c r="B1415" s="116">
        <v>43676</v>
      </c>
      <c r="C1415" s="117">
        <v>11085.4</v>
      </c>
    </row>
    <row r="1416" spans="2:3" x14ac:dyDescent="0.25">
      <c r="B1416" s="116">
        <v>43675</v>
      </c>
      <c r="C1416" s="117">
        <v>11189.2</v>
      </c>
    </row>
    <row r="1417" spans="2:3" x14ac:dyDescent="0.25">
      <c r="B1417" s="116">
        <v>43672</v>
      </c>
      <c r="C1417" s="117">
        <v>11284.3</v>
      </c>
    </row>
    <row r="1418" spans="2:3" x14ac:dyDescent="0.25">
      <c r="B1418" s="116">
        <v>43671</v>
      </c>
      <c r="C1418" s="117">
        <v>11252.15</v>
      </c>
    </row>
    <row r="1419" spans="2:3" x14ac:dyDescent="0.25">
      <c r="B1419" s="116">
        <v>43670</v>
      </c>
      <c r="C1419" s="117">
        <v>11271.3</v>
      </c>
    </row>
    <row r="1420" spans="2:3" x14ac:dyDescent="0.25">
      <c r="B1420" s="116">
        <v>43669</v>
      </c>
      <c r="C1420" s="117">
        <v>11331.05</v>
      </c>
    </row>
    <row r="1421" spans="2:3" x14ac:dyDescent="0.25">
      <c r="B1421" s="116">
        <v>43668</v>
      </c>
      <c r="C1421" s="117">
        <v>11346.2</v>
      </c>
    </row>
    <row r="1422" spans="2:3" x14ac:dyDescent="0.25">
      <c r="B1422" s="116">
        <v>43665</v>
      </c>
      <c r="C1422" s="117">
        <v>11419.25</v>
      </c>
    </row>
    <row r="1423" spans="2:3" x14ac:dyDescent="0.25">
      <c r="B1423" s="116">
        <v>43664</v>
      </c>
      <c r="C1423" s="117">
        <v>11596.9</v>
      </c>
    </row>
    <row r="1424" spans="2:3" x14ac:dyDescent="0.25">
      <c r="B1424" s="116">
        <v>43663</v>
      </c>
      <c r="C1424" s="117">
        <v>11687.5</v>
      </c>
    </row>
    <row r="1425" spans="2:3" x14ac:dyDescent="0.25">
      <c r="B1425" s="116">
        <v>43662</v>
      </c>
      <c r="C1425" s="117">
        <v>11662.6</v>
      </c>
    </row>
    <row r="1426" spans="2:3" x14ac:dyDescent="0.25">
      <c r="B1426" s="116">
        <v>43661</v>
      </c>
      <c r="C1426" s="117">
        <v>11588.35</v>
      </c>
    </row>
    <row r="1427" spans="2:3" x14ac:dyDescent="0.25">
      <c r="B1427" s="116">
        <v>43658</v>
      </c>
      <c r="C1427" s="117">
        <v>11552.5</v>
      </c>
    </row>
    <row r="1428" spans="2:3" x14ac:dyDescent="0.25">
      <c r="B1428" s="116">
        <v>43657</v>
      </c>
      <c r="C1428" s="117">
        <v>11582.9</v>
      </c>
    </row>
    <row r="1429" spans="2:3" x14ac:dyDescent="0.25">
      <c r="B1429" s="116">
        <v>43656</v>
      </c>
      <c r="C1429" s="117">
        <v>11498.9</v>
      </c>
    </row>
    <row r="1430" spans="2:3" x14ac:dyDescent="0.25">
      <c r="B1430" s="116">
        <v>43655</v>
      </c>
      <c r="C1430" s="117">
        <v>11555.9</v>
      </c>
    </row>
    <row r="1431" spans="2:3" x14ac:dyDescent="0.25">
      <c r="B1431" s="116">
        <v>43654</v>
      </c>
      <c r="C1431" s="117">
        <v>11558.6</v>
      </c>
    </row>
    <row r="1432" spans="2:3" x14ac:dyDescent="0.25">
      <c r="B1432" s="116">
        <v>43651</v>
      </c>
      <c r="C1432" s="117">
        <v>11811.15</v>
      </c>
    </row>
    <row r="1433" spans="2:3" x14ac:dyDescent="0.25">
      <c r="B1433" s="116">
        <v>43650</v>
      </c>
      <c r="C1433" s="117">
        <v>11946.75</v>
      </c>
    </row>
    <row r="1434" spans="2:3" x14ac:dyDescent="0.25">
      <c r="B1434" s="116">
        <v>43649</v>
      </c>
      <c r="C1434" s="117">
        <v>11916.75</v>
      </c>
    </row>
    <row r="1435" spans="2:3" x14ac:dyDescent="0.25">
      <c r="B1435" s="116">
        <v>43648</v>
      </c>
      <c r="C1435" s="117">
        <v>11910.3</v>
      </c>
    </row>
    <row r="1436" spans="2:3" x14ac:dyDescent="0.25">
      <c r="B1436" s="116">
        <v>43647</v>
      </c>
      <c r="C1436" s="117">
        <v>11865.6</v>
      </c>
    </row>
    <row r="1437" spans="2:3" x14ac:dyDescent="0.25">
      <c r="B1437" s="116">
        <v>43644</v>
      </c>
      <c r="C1437" s="117">
        <v>11788.85</v>
      </c>
    </row>
    <row r="1438" spans="2:3" x14ac:dyDescent="0.25">
      <c r="B1438" s="116">
        <v>43643</v>
      </c>
      <c r="C1438" s="117">
        <v>11841.55</v>
      </c>
    </row>
    <row r="1439" spans="2:3" x14ac:dyDescent="0.25">
      <c r="B1439" s="116">
        <v>43642</v>
      </c>
      <c r="C1439" s="117">
        <v>11847.55</v>
      </c>
    </row>
    <row r="1440" spans="2:3" x14ac:dyDescent="0.25">
      <c r="B1440" s="116">
        <v>43641</v>
      </c>
      <c r="C1440" s="117">
        <v>11796.45</v>
      </c>
    </row>
    <row r="1441" spans="2:3" x14ac:dyDescent="0.25">
      <c r="B1441" s="116">
        <v>43640</v>
      </c>
      <c r="C1441" s="117">
        <v>11699.65</v>
      </c>
    </row>
    <row r="1442" spans="2:3" x14ac:dyDescent="0.25">
      <c r="B1442" s="116">
        <v>43637</v>
      </c>
      <c r="C1442" s="117">
        <v>11724.1</v>
      </c>
    </row>
    <row r="1443" spans="2:3" x14ac:dyDescent="0.25">
      <c r="B1443" s="116">
        <v>43636</v>
      </c>
      <c r="C1443" s="117">
        <v>11831.75</v>
      </c>
    </row>
    <row r="1444" spans="2:3" x14ac:dyDescent="0.25">
      <c r="B1444" s="116">
        <v>43635</v>
      </c>
      <c r="C1444" s="117">
        <v>11691.45</v>
      </c>
    </row>
    <row r="1445" spans="2:3" x14ac:dyDescent="0.25">
      <c r="B1445" s="116">
        <v>43634</v>
      </c>
      <c r="C1445" s="117">
        <v>11691.5</v>
      </c>
    </row>
    <row r="1446" spans="2:3" x14ac:dyDescent="0.25">
      <c r="B1446" s="116">
        <v>43633</v>
      </c>
      <c r="C1446" s="117">
        <v>11672.15</v>
      </c>
    </row>
    <row r="1447" spans="2:3" x14ac:dyDescent="0.25">
      <c r="B1447" s="116">
        <v>43630</v>
      </c>
      <c r="C1447" s="117">
        <v>11823.3</v>
      </c>
    </row>
    <row r="1448" spans="2:3" x14ac:dyDescent="0.25">
      <c r="B1448" s="116">
        <v>43629</v>
      </c>
      <c r="C1448" s="117">
        <v>11914.05</v>
      </c>
    </row>
    <row r="1449" spans="2:3" x14ac:dyDescent="0.25">
      <c r="B1449" s="116">
        <v>43628</v>
      </c>
      <c r="C1449" s="117">
        <v>11906.2</v>
      </c>
    </row>
    <row r="1450" spans="2:3" x14ac:dyDescent="0.25">
      <c r="B1450" s="116">
        <v>43627</v>
      </c>
      <c r="C1450" s="117">
        <v>11965.6</v>
      </c>
    </row>
    <row r="1451" spans="2:3" x14ac:dyDescent="0.25">
      <c r="B1451" s="116">
        <v>43626</v>
      </c>
      <c r="C1451" s="117">
        <v>11922.7</v>
      </c>
    </row>
    <row r="1452" spans="2:3" x14ac:dyDescent="0.25">
      <c r="B1452" s="116">
        <v>43623</v>
      </c>
      <c r="C1452" s="117">
        <v>11870.65</v>
      </c>
    </row>
    <row r="1453" spans="2:3" x14ac:dyDescent="0.25">
      <c r="B1453" s="116">
        <v>43622</v>
      </c>
      <c r="C1453" s="117">
        <v>11843.75</v>
      </c>
    </row>
    <row r="1454" spans="2:3" x14ac:dyDescent="0.25">
      <c r="B1454" s="116">
        <v>43620</v>
      </c>
      <c r="C1454" s="117">
        <v>12021.65</v>
      </c>
    </row>
    <row r="1455" spans="2:3" x14ac:dyDescent="0.25">
      <c r="B1455" s="116">
        <v>43619</v>
      </c>
      <c r="C1455" s="117">
        <v>12088.55</v>
      </c>
    </row>
    <row r="1456" spans="2:3" x14ac:dyDescent="0.25">
      <c r="B1456" s="116">
        <v>43616</v>
      </c>
      <c r="C1456" s="117">
        <v>11922.8</v>
      </c>
    </row>
    <row r="1457" spans="2:3" x14ac:dyDescent="0.25">
      <c r="B1457" s="116">
        <v>43615</v>
      </c>
      <c r="C1457" s="117">
        <v>11945.9</v>
      </c>
    </row>
    <row r="1458" spans="2:3" x14ac:dyDescent="0.25">
      <c r="B1458" s="116">
        <v>43614</v>
      </c>
      <c r="C1458" s="117">
        <v>11861.1</v>
      </c>
    </row>
    <row r="1459" spans="2:3" x14ac:dyDescent="0.25">
      <c r="B1459" s="116">
        <v>43613</v>
      </c>
      <c r="C1459" s="117">
        <v>11928.75</v>
      </c>
    </row>
    <row r="1460" spans="2:3" x14ac:dyDescent="0.25">
      <c r="B1460" s="116">
        <v>43612</v>
      </c>
      <c r="C1460" s="117">
        <v>11924.75</v>
      </c>
    </row>
    <row r="1461" spans="2:3" x14ac:dyDescent="0.25">
      <c r="B1461" s="116">
        <v>43609</v>
      </c>
      <c r="C1461" s="117">
        <v>11844.1</v>
      </c>
    </row>
    <row r="1462" spans="2:3" x14ac:dyDescent="0.25">
      <c r="B1462" s="116">
        <v>43608</v>
      </c>
      <c r="C1462" s="117">
        <v>11657.05</v>
      </c>
    </row>
    <row r="1463" spans="2:3" x14ac:dyDescent="0.25">
      <c r="B1463" s="116">
        <v>43607</v>
      </c>
      <c r="C1463" s="117">
        <v>11737.9</v>
      </c>
    </row>
    <row r="1464" spans="2:3" x14ac:dyDescent="0.25">
      <c r="B1464" s="116">
        <v>43606</v>
      </c>
      <c r="C1464" s="117">
        <v>11709.1</v>
      </c>
    </row>
    <row r="1465" spans="2:3" x14ac:dyDescent="0.25">
      <c r="B1465" s="116">
        <v>43605</v>
      </c>
      <c r="C1465" s="117">
        <v>11828.25</v>
      </c>
    </row>
    <row r="1466" spans="2:3" x14ac:dyDescent="0.25">
      <c r="B1466" s="116">
        <v>43602</v>
      </c>
      <c r="C1466" s="117">
        <v>11407.15</v>
      </c>
    </row>
    <row r="1467" spans="2:3" x14ac:dyDescent="0.25">
      <c r="B1467" s="116">
        <v>43601</v>
      </c>
      <c r="C1467" s="117">
        <v>11257.1</v>
      </c>
    </row>
    <row r="1468" spans="2:3" x14ac:dyDescent="0.25">
      <c r="B1468" s="116">
        <v>43600</v>
      </c>
      <c r="C1468" s="117">
        <v>11157</v>
      </c>
    </row>
    <row r="1469" spans="2:3" x14ac:dyDescent="0.25">
      <c r="B1469" s="116">
        <v>43599</v>
      </c>
      <c r="C1469" s="117">
        <v>11222.05</v>
      </c>
    </row>
    <row r="1470" spans="2:3" x14ac:dyDescent="0.25">
      <c r="B1470" s="116">
        <v>43598</v>
      </c>
      <c r="C1470" s="117">
        <v>11148.2</v>
      </c>
    </row>
    <row r="1471" spans="2:3" x14ac:dyDescent="0.25">
      <c r="B1471" s="116">
        <v>43595</v>
      </c>
      <c r="C1471" s="117">
        <v>11278.9</v>
      </c>
    </row>
    <row r="1472" spans="2:3" x14ac:dyDescent="0.25">
      <c r="B1472" s="116">
        <v>43594</v>
      </c>
      <c r="C1472" s="117">
        <v>11301.8</v>
      </c>
    </row>
    <row r="1473" spans="2:3" x14ac:dyDescent="0.25">
      <c r="B1473" s="116">
        <v>43593</v>
      </c>
      <c r="C1473" s="117">
        <v>11359.45</v>
      </c>
    </row>
    <row r="1474" spans="2:3" x14ac:dyDescent="0.25">
      <c r="B1474" s="116">
        <v>43592</v>
      </c>
      <c r="C1474" s="117">
        <v>11497.9</v>
      </c>
    </row>
    <row r="1475" spans="2:3" x14ac:dyDescent="0.25">
      <c r="B1475" s="116">
        <v>43591</v>
      </c>
      <c r="C1475" s="117">
        <v>11598.25</v>
      </c>
    </row>
    <row r="1476" spans="2:3" x14ac:dyDescent="0.25">
      <c r="B1476" s="116">
        <v>43588</v>
      </c>
      <c r="C1476" s="117">
        <v>11712.25</v>
      </c>
    </row>
    <row r="1477" spans="2:3" x14ac:dyDescent="0.25">
      <c r="B1477" s="116">
        <v>43587</v>
      </c>
      <c r="C1477" s="117">
        <v>11724.75</v>
      </c>
    </row>
    <row r="1478" spans="2:3" x14ac:dyDescent="0.25">
      <c r="B1478" s="116">
        <v>43585</v>
      </c>
      <c r="C1478" s="117">
        <v>11748.15</v>
      </c>
    </row>
    <row r="1479" spans="2:3" x14ac:dyDescent="0.25">
      <c r="B1479" s="116">
        <v>43581</v>
      </c>
      <c r="C1479" s="117">
        <v>11754.65</v>
      </c>
    </row>
    <row r="1480" spans="2:3" x14ac:dyDescent="0.25">
      <c r="B1480" s="116">
        <v>43580</v>
      </c>
      <c r="C1480" s="117">
        <v>11641.8</v>
      </c>
    </row>
    <row r="1481" spans="2:3" x14ac:dyDescent="0.25">
      <c r="B1481" s="116">
        <v>43579</v>
      </c>
      <c r="C1481" s="117">
        <v>11726.15</v>
      </c>
    </row>
    <row r="1482" spans="2:3" x14ac:dyDescent="0.25">
      <c r="B1482" s="116">
        <v>43578</v>
      </c>
      <c r="C1482" s="117">
        <v>11575.95</v>
      </c>
    </row>
    <row r="1483" spans="2:3" x14ac:dyDescent="0.25">
      <c r="B1483" s="116">
        <v>43577</v>
      </c>
      <c r="C1483" s="117">
        <v>11594.45</v>
      </c>
    </row>
    <row r="1484" spans="2:3" x14ac:dyDescent="0.25">
      <c r="B1484" s="116">
        <v>43573</v>
      </c>
      <c r="C1484" s="117">
        <v>11752.8</v>
      </c>
    </row>
    <row r="1485" spans="2:3" x14ac:dyDescent="0.25">
      <c r="B1485" s="116">
        <v>43571</v>
      </c>
      <c r="C1485" s="117">
        <v>11787.15</v>
      </c>
    </row>
    <row r="1486" spans="2:3" x14ac:dyDescent="0.25">
      <c r="B1486" s="116">
        <v>43570</v>
      </c>
      <c r="C1486" s="117">
        <v>11690.35</v>
      </c>
    </row>
    <row r="1487" spans="2:3" x14ac:dyDescent="0.25">
      <c r="B1487" s="116">
        <v>43567</v>
      </c>
      <c r="C1487" s="117">
        <v>11643.45</v>
      </c>
    </row>
    <row r="1488" spans="2:3" x14ac:dyDescent="0.25">
      <c r="B1488" s="116">
        <v>43566</v>
      </c>
      <c r="C1488" s="117">
        <v>11596.7</v>
      </c>
    </row>
    <row r="1489" spans="2:3" x14ac:dyDescent="0.25">
      <c r="B1489" s="116">
        <v>43565</v>
      </c>
      <c r="C1489" s="117">
        <v>11584.3</v>
      </c>
    </row>
    <row r="1490" spans="2:3" x14ac:dyDescent="0.25">
      <c r="B1490" s="116">
        <v>43564</v>
      </c>
      <c r="C1490" s="117">
        <v>11671.95</v>
      </c>
    </row>
    <row r="1491" spans="2:3" x14ac:dyDescent="0.25">
      <c r="B1491" s="116">
        <v>43563</v>
      </c>
      <c r="C1491" s="117">
        <v>11604.5</v>
      </c>
    </row>
    <row r="1492" spans="2:3" x14ac:dyDescent="0.25">
      <c r="B1492" s="116">
        <v>43560</v>
      </c>
      <c r="C1492" s="117">
        <v>11665.95</v>
      </c>
    </row>
    <row r="1493" spans="2:3" x14ac:dyDescent="0.25">
      <c r="B1493" s="116">
        <v>43559</v>
      </c>
      <c r="C1493" s="117">
        <v>11598</v>
      </c>
    </row>
    <row r="1494" spans="2:3" x14ac:dyDescent="0.25">
      <c r="B1494" s="116">
        <v>43558</v>
      </c>
      <c r="C1494" s="117">
        <v>11643.95</v>
      </c>
    </row>
    <row r="1495" spans="2:3" x14ac:dyDescent="0.25">
      <c r="B1495" s="116">
        <v>43557</v>
      </c>
      <c r="C1495" s="117">
        <v>11713.2</v>
      </c>
    </row>
    <row r="1496" spans="2:3" x14ac:dyDescent="0.25">
      <c r="B1496" s="116">
        <v>43556</v>
      </c>
      <c r="C1496" s="117">
        <v>11669.15</v>
      </c>
    </row>
    <row r="1497" spans="2:3" x14ac:dyDescent="0.25">
      <c r="B1497" s="116">
        <v>43553</v>
      </c>
      <c r="C1497" s="117">
        <v>11623.9</v>
      </c>
    </row>
    <row r="1498" spans="2:3" x14ac:dyDescent="0.25">
      <c r="B1498" s="116">
        <v>43552</v>
      </c>
      <c r="C1498" s="117">
        <v>11570</v>
      </c>
    </row>
    <row r="1499" spans="2:3" x14ac:dyDescent="0.25">
      <c r="B1499" s="116">
        <v>43551</v>
      </c>
      <c r="C1499" s="117">
        <v>11445.05</v>
      </c>
    </row>
    <row r="1500" spans="2:3" x14ac:dyDescent="0.25">
      <c r="B1500" s="116">
        <v>43550</v>
      </c>
      <c r="C1500" s="117">
        <v>11483.25</v>
      </c>
    </row>
    <row r="1501" spans="2:3" x14ac:dyDescent="0.25">
      <c r="B1501" s="116">
        <v>43549</v>
      </c>
      <c r="C1501" s="117">
        <v>11354.25</v>
      </c>
    </row>
    <row r="1502" spans="2:3" x14ac:dyDescent="0.25">
      <c r="B1502" s="116">
        <v>43546</v>
      </c>
      <c r="C1502" s="117">
        <v>11456.9</v>
      </c>
    </row>
    <row r="1503" spans="2:3" x14ac:dyDescent="0.25">
      <c r="B1503" s="116">
        <v>43544</v>
      </c>
      <c r="C1503" s="117">
        <v>11521.05</v>
      </c>
    </row>
    <row r="1504" spans="2:3" x14ac:dyDescent="0.25">
      <c r="B1504" s="116">
        <v>43543</v>
      </c>
      <c r="C1504" s="117">
        <v>11532.4</v>
      </c>
    </row>
    <row r="1505" spans="2:3" x14ac:dyDescent="0.25">
      <c r="B1505" s="116">
        <v>43542</v>
      </c>
      <c r="C1505" s="117">
        <v>11462.2</v>
      </c>
    </row>
    <row r="1506" spans="2:3" x14ac:dyDescent="0.25">
      <c r="B1506" s="116">
        <v>43539</v>
      </c>
      <c r="C1506" s="117">
        <v>11426.85</v>
      </c>
    </row>
    <row r="1507" spans="2:3" x14ac:dyDescent="0.25">
      <c r="B1507" s="116">
        <v>43538</v>
      </c>
      <c r="C1507" s="117">
        <v>11343.25</v>
      </c>
    </row>
    <row r="1508" spans="2:3" x14ac:dyDescent="0.25">
      <c r="B1508" s="116">
        <v>43537</v>
      </c>
      <c r="C1508" s="117">
        <v>11341.7</v>
      </c>
    </row>
    <row r="1509" spans="2:3" x14ac:dyDescent="0.25">
      <c r="B1509" s="116">
        <v>43536</v>
      </c>
      <c r="C1509" s="117">
        <v>11301.2</v>
      </c>
    </row>
    <row r="1510" spans="2:3" x14ac:dyDescent="0.25">
      <c r="B1510" s="116">
        <v>43535</v>
      </c>
      <c r="C1510" s="117">
        <v>11168.05</v>
      </c>
    </row>
    <row r="1511" spans="2:3" x14ac:dyDescent="0.25">
      <c r="B1511" s="116">
        <v>43532</v>
      </c>
      <c r="C1511" s="117">
        <v>11035.4</v>
      </c>
    </row>
    <row r="1512" spans="2:3" x14ac:dyDescent="0.25">
      <c r="B1512" s="116">
        <v>43531</v>
      </c>
      <c r="C1512" s="117">
        <v>11058.2</v>
      </c>
    </row>
    <row r="1513" spans="2:3" x14ac:dyDescent="0.25">
      <c r="B1513" s="116">
        <v>43530</v>
      </c>
      <c r="C1513" s="117">
        <v>11053</v>
      </c>
    </row>
    <row r="1514" spans="2:3" x14ac:dyDescent="0.25">
      <c r="B1514" s="116">
        <v>43529</v>
      </c>
      <c r="C1514" s="117">
        <v>10987.45</v>
      </c>
    </row>
    <row r="1515" spans="2:3" x14ac:dyDescent="0.25">
      <c r="B1515" s="116">
        <v>43525</v>
      </c>
      <c r="C1515" s="117">
        <v>10863.5</v>
      </c>
    </row>
    <row r="1516" spans="2:3" x14ac:dyDescent="0.25">
      <c r="B1516" s="116">
        <v>43524</v>
      </c>
      <c r="C1516" s="117">
        <v>10792.5</v>
      </c>
    </row>
    <row r="1517" spans="2:3" x14ac:dyDescent="0.25">
      <c r="B1517" s="116">
        <v>43523</v>
      </c>
      <c r="C1517" s="117">
        <v>10806.65</v>
      </c>
    </row>
    <row r="1518" spans="2:3" x14ac:dyDescent="0.25">
      <c r="B1518" s="116">
        <v>43522</v>
      </c>
      <c r="C1518" s="117">
        <v>10835.3</v>
      </c>
    </row>
    <row r="1519" spans="2:3" x14ac:dyDescent="0.25">
      <c r="B1519" s="116">
        <v>43521</v>
      </c>
      <c r="C1519" s="117">
        <v>10880.1</v>
      </c>
    </row>
    <row r="1520" spans="2:3" x14ac:dyDescent="0.25">
      <c r="B1520" s="116">
        <v>43518</v>
      </c>
      <c r="C1520" s="117">
        <v>10791.65</v>
      </c>
    </row>
    <row r="1521" spans="2:3" x14ac:dyDescent="0.25">
      <c r="B1521" s="116">
        <v>43517</v>
      </c>
      <c r="C1521" s="117">
        <v>10789.85</v>
      </c>
    </row>
    <row r="1522" spans="2:3" x14ac:dyDescent="0.25">
      <c r="B1522" s="116">
        <v>43516</v>
      </c>
      <c r="C1522" s="117">
        <v>10735.45</v>
      </c>
    </row>
    <row r="1523" spans="2:3" x14ac:dyDescent="0.25">
      <c r="B1523" s="116">
        <v>43515</v>
      </c>
      <c r="C1523" s="117">
        <v>10604.35</v>
      </c>
    </row>
    <row r="1524" spans="2:3" x14ac:dyDescent="0.25">
      <c r="B1524" s="116">
        <v>43514</v>
      </c>
      <c r="C1524" s="117">
        <v>10640.95</v>
      </c>
    </row>
    <row r="1525" spans="2:3" x14ac:dyDescent="0.25">
      <c r="B1525" s="116">
        <v>43511</v>
      </c>
      <c r="C1525" s="117">
        <v>10724.4</v>
      </c>
    </row>
    <row r="1526" spans="2:3" x14ac:dyDescent="0.25">
      <c r="B1526" s="116">
        <v>43510</v>
      </c>
      <c r="C1526" s="117">
        <v>10746.05</v>
      </c>
    </row>
    <row r="1527" spans="2:3" x14ac:dyDescent="0.25">
      <c r="B1527" s="116">
        <v>43509</v>
      </c>
      <c r="C1527" s="117">
        <v>10793.65</v>
      </c>
    </row>
    <row r="1528" spans="2:3" x14ac:dyDescent="0.25">
      <c r="B1528" s="116">
        <v>43508</v>
      </c>
      <c r="C1528" s="117">
        <v>10831.4</v>
      </c>
    </row>
    <row r="1529" spans="2:3" x14ac:dyDescent="0.25">
      <c r="B1529" s="116">
        <v>43507</v>
      </c>
      <c r="C1529" s="117">
        <v>10888.8</v>
      </c>
    </row>
    <row r="1530" spans="2:3" x14ac:dyDescent="0.25">
      <c r="B1530" s="116">
        <v>43504</v>
      </c>
      <c r="C1530" s="117">
        <v>10943.6</v>
      </c>
    </row>
    <row r="1531" spans="2:3" x14ac:dyDescent="0.25">
      <c r="B1531" s="116">
        <v>43503</v>
      </c>
      <c r="C1531" s="117">
        <v>11069.4</v>
      </c>
    </row>
    <row r="1532" spans="2:3" x14ac:dyDescent="0.25">
      <c r="B1532" s="116">
        <v>43502</v>
      </c>
      <c r="C1532" s="117">
        <v>11062.45</v>
      </c>
    </row>
    <row r="1533" spans="2:3" x14ac:dyDescent="0.25">
      <c r="B1533" s="116">
        <v>43501</v>
      </c>
      <c r="C1533" s="117">
        <v>10934.35</v>
      </c>
    </row>
    <row r="1534" spans="2:3" x14ac:dyDescent="0.25">
      <c r="B1534" s="116">
        <v>43500</v>
      </c>
      <c r="C1534" s="117">
        <v>10912.25</v>
      </c>
    </row>
    <row r="1535" spans="2:3" x14ac:dyDescent="0.25">
      <c r="B1535" s="116">
        <v>43497</v>
      </c>
      <c r="C1535" s="117">
        <v>10893.65</v>
      </c>
    </row>
    <row r="1536" spans="2:3" x14ac:dyDescent="0.25">
      <c r="B1536" s="116">
        <v>43496</v>
      </c>
      <c r="C1536" s="117">
        <v>10830.95</v>
      </c>
    </row>
    <row r="1537" spans="2:3" x14ac:dyDescent="0.25">
      <c r="B1537" s="116">
        <v>43495</v>
      </c>
      <c r="C1537" s="117">
        <v>10651.8</v>
      </c>
    </row>
    <row r="1538" spans="2:3" x14ac:dyDescent="0.25">
      <c r="B1538" s="116">
        <v>43494</v>
      </c>
      <c r="C1538" s="117">
        <v>10652.2</v>
      </c>
    </row>
    <row r="1539" spans="2:3" x14ac:dyDescent="0.25">
      <c r="B1539" s="116">
        <v>43493</v>
      </c>
      <c r="C1539" s="117">
        <v>10661.55</v>
      </c>
    </row>
    <row r="1540" spans="2:3" x14ac:dyDescent="0.25">
      <c r="B1540" s="116">
        <v>43490</v>
      </c>
      <c r="C1540" s="117">
        <v>10780.55</v>
      </c>
    </row>
    <row r="1541" spans="2:3" x14ac:dyDescent="0.25">
      <c r="B1541" s="116">
        <v>43489</v>
      </c>
      <c r="C1541" s="117">
        <v>10849.8</v>
      </c>
    </row>
    <row r="1542" spans="2:3" x14ac:dyDescent="0.25">
      <c r="B1542" s="116">
        <v>43488</v>
      </c>
      <c r="C1542" s="117">
        <v>10831.5</v>
      </c>
    </row>
    <row r="1543" spans="2:3" x14ac:dyDescent="0.25">
      <c r="B1543" s="116">
        <v>43487</v>
      </c>
      <c r="C1543" s="117">
        <v>10922.75</v>
      </c>
    </row>
    <row r="1544" spans="2:3" x14ac:dyDescent="0.25">
      <c r="B1544" s="116">
        <v>43486</v>
      </c>
      <c r="C1544" s="117">
        <v>10961.85</v>
      </c>
    </row>
    <row r="1545" spans="2:3" x14ac:dyDescent="0.25">
      <c r="B1545" s="116">
        <v>43483</v>
      </c>
      <c r="C1545" s="117">
        <v>10906.95</v>
      </c>
    </row>
    <row r="1546" spans="2:3" x14ac:dyDescent="0.25">
      <c r="B1546" s="116">
        <v>43482</v>
      </c>
      <c r="C1546" s="117">
        <v>10905.2</v>
      </c>
    </row>
    <row r="1547" spans="2:3" x14ac:dyDescent="0.25">
      <c r="B1547" s="116">
        <v>43481</v>
      </c>
      <c r="C1547" s="117">
        <v>10890.3</v>
      </c>
    </row>
    <row r="1548" spans="2:3" x14ac:dyDescent="0.25">
      <c r="B1548" s="116">
        <v>43480</v>
      </c>
      <c r="C1548" s="117">
        <v>10886.8</v>
      </c>
    </row>
    <row r="1549" spans="2:3" x14ac:dyDescent="0.25">
      <c r="B1549" s="116">
        <v>43479</v>
      </c>
      <c r="C1549" s="117">
        <v>10737.6</v>
      </c>
    </row>
    <row r="1550" spans="2:3" x14ac:dyDescent="0.25">
      <c r="B1550" s="116">
        <v>43476</v>
      </c>
      <c r="C1550" s="117">
        <v>10794.95</v>
      </c>
    </row>
    <row r="1551" spans="2:3" x14ac:dyDescent="0.25">
      <c r="B1551" s="116">
        <v>43475</v>
      </c>
      <c r="C1551" s="117">
        <v>10821.6</v>
      </c>
    </row>
    <row r="1552" spans="2:3" x14ac:dyDescent="0.25">
      <c r="B1552" s="116">
        <v>43474</v>
      </c>
      <c r="C1552" s="117">
        <v>10855.15</v>
      </c>
    </row>
    <row r="1553" spans="2:3" x14ac:dyDescent="0.25">
      <c r="B1553" s="116">
        <v>43473</v>
      </c>
      <c r="C1553" s="117">
        <v>10802.15</v>
      </c>
    </row>
    <row r="1554" spans="2:3" x14ac:dyDescent="0.25">
      <c r="B1554" s="116">
        <v>43472</v>
      </c>
      <c r="C1554" s="117">
        <v>10771.8</v>
      </c>
    </row>
    <row r="1555" spans="2:3" x14ac:dyDescent="0.25">
      <c r="B1555" s="116">
        <v>43469</v>
      </c>
      <c r="C1555" s="117">
        <v>10727.35</v>
      </c>
    </row>
    <row r="1556" spans="2:3" x14ac:dyDescent="0.25">
      <c r="B1556" s="116">
        <v>43468</v>
      </c>
      <c r="C1556" s="117">
        <v>10672.25</v>
      </c>
    </row>
    <row r="1557" spans="2:3" x14ac:dyDescent="0.25">
      <c r="B1557" s="116">
        <v>43467</v>
      </c>
      <c r="C1557" s="117">
        <v>10792.5</v>
      </c>
    </row>
    <row r="1558" spans="2:3" x14ac:dyDescent="0.25">
      <c r="B1558" s="116">
        <v>43466</v>
      </c>
      <c r="C1558" s="117">
        <v>10910.1</v>
      </c>
    </row>
    <row r="1559" spans="2:3" x14ac:dyDescent="0.25">
      <c r="B1559" s="116">
        <v>43465</v>
      </c>
      <c r="C1559" s="117">
        <v>10862.55</v>
      </c>
    </row>
    <row r="1560" spans="2:3" x14ac:dyDescent="0.25">
      <c r="B1560" s="116">
        <v>43462</v>
      </c>
      <c r="C1560" s="117">
        <v>10859.9</v>
      </c>
    </row>
    <row r="1561" spans="2:3" x14ac:dyDescent="0.25">
      <c r="B1561" s="116">
        <v>43461</v>
      </c>
      <c r="C1561" s="117">
        <v>10779.8</v>
      </c>
    </row>
    <row r="1562" spans="2:3" x14ac:dyDescent="0.25">
      <c r="B1562" s="116">
        <v>43460</v>
      </c>
      <c r="C1562" s="117">
        <v>10729.85</v>
      </c>
    </row>
    <row r="1563" spans="2:3" x14ac:dyDescent="0.25">
      <c r="B1563" s="116">
        <v>43458</v>
      </c>
      <c r="C1563" s="117">
        <v>10663.5</v>
      </c>
    </row>
    <row r="1564" spans="2:3" x14ac:dyDescent="0.25">
      <c r="B1564" s="116">
        <v>43455</v>
      </c>
      <c r="C1564" s="117">
        <v>10754</v>
      </c>
    </row>
    <row r="1565" spans="2:3" x14ac:dyDescent="0.25">
      <c r="B1565" s="116">
        <v>43454</v>
      </c>
      <c r="C1565" s="117">
        <v>10951.7</v>
      </c>
    </row>
    <row r="1566" spans="2:3" x14ac:dyDescent="0.25">
      <c r="B1566" s="116">
        <v>43453</v>
      </c>
      <c r="C1566" s="117">
        <v>10967.3</v>
      </c>
    </row>
    <row r="1567" spans="2:3" x14ac:dyDescent="0.25">
      <c r="B1567" s="116">
        <v>43452</v>
      </c>
      <c r="C1567" s="117">
        <v>10908.7</v>
      </c>
    </row>
    <row r="1568" spans="2:3" x14ac:dyDescent="0.25">
      <c r="B1568" s="116">
        <v>43451</v>
      </c>
      <c r="C1568" s="117">
        <v>10888.35</v>
      </c>
    </row>
    <row r="1569" spans="2:3" x14ac:dyDescent="0.25">
      <c r="B1569" s="116">
        <v>43448</v>
      </c>
      <c r="C1569" s="117">
        <v>10805.45</v>
      </c>
    </row>
    <row r="1570" spans="2:3" x14ac:dyDescent="0.25">
      <c r="B1570" s="116">
        <v>43447</v>
      </c>
      <c r="C1570" s="117">
        <v>10791.55</v>
      </c>
    </row>
    <row r="1571" spans="2:3" x14ac:dyDescent="0.25">
      <c r="B1571" s="116">
        <v>43446</v>
      </c>
      <c r="C1571" s="117">
        <v>10737.6</v>
      </c>
    </row>
    <row r="1572" spans="2:3" x14ac:dyDescent="0.25">
      <c r="B1572" s="116">
        <v>43445</v>
      </c>
      <c r="C1572" s="117">
        <v>10549.15</v>
      </c>
    </row>
    <row r="1573" spans="2:3" x14ac:dyDescent="0.25">
      <c r="B1573" s="116">
        <v>43444</v>
      </c>
      <c r="C1573" s="117">
        <v>10488.45</v>
      </c>
    </row>
    <row r="1574" spans="2:3" x14ac:dyDescent="0.25">
      <c r="B1574" s="116">
        <v>43441</v>
      </c>
      <c r="C1574" s="117">
        <v>10693.7</v>
      </c>
    </row>
    <row r="1575" spans="2:3" x14ac:dyDescent="0.25">
      <c r="B1575" s="116">
        <v>43440</v>
      </c>
      <c r="C1575" s="117">
        <v>10601.15</v>
      </c>
    </row>
    <row r="1576" spans="2:3" x14ac:dyDescent="0.25">
      <c r="B1576" s="116">
        <v>43439</v>
      </c>
      <c r="C1576" s="117">
        <v>10782.9</v>
      </c>
    </row>
    <row r="1577" spans="2:3" x14ac:dyDescent="0.25">
      <c r="B1577" s="116">
        <v>43438</v>
      </c>
      <c r="C1577" s="117">
        <v>10869.5</v>
      </c>
    </row>
    <row r="1578" spans="2:3" x14ac:dyDescent="0.25">
      <c r="B1578" s="116">
        <v>43437</v>
      </c>
      <c r="C1578" s="117">
        <v>10883.75</v>
      </c>
    </row>
    <row r="1579" spans="2:3" x14ac:dyDescent="0.25">
      <c r="B1579" s="116">
        <v>43434</v>
      </c>
      <c r="C1579" s="117">
        <v>10876.75</v>
      </c>
    </row>
    <row r="1580" spans="2:3" x14ac:dyDescent="0.25">
      <c r="B1580" s="116">
        <v>43433</v>
      </c>
      <c r="C1580" s="117">
        <v>10858.7</v>
      </c>
    </row>
    <row r="1581" spans="2:3" x14ac:dyDescent="0.25">
      <c r="B1581" s="116">
        <v>43432</v>
      </c>
      <c r="C1581" s="117">
        <v>10728.85</v>
      </c>
    </row>
    <row r="1582" spans="2:3" x14ac:dyDescent="0.25">
      <c r="B1582" s="116">
        <v>43431</v>
      </c>
      <c r="C1582" s="117">
        <v>10685.6</v>
      </c>
    </row>
    <row r="1583" spans="2:3" x14ac:dyDescent="0.25">
      <c r="B1583" s="116">
        <v>43430</v>
      </c>
      <c r="C1583" s="117">
        <v>10628.6</v>
      </c>
    </row>
    <row r="1584" spans="2:3" x14ac:dyDescent="0.25">
      <c r="B1584" s="116">
        <v>43426</v>
      </c>
      <c r="C1584" s="117">
        <v>10526.75</v>
      </c>
    </row>
    <row r="1585" spans="2:3" x14ac:dyDescent="0.25">
      <c r="B1585" s="116">
        <v>43425</v>
      </c>
      <c r="C1585" s="117">
        <v>10600.05</v>
      </c>
    </row>
    <row r="1586" spans="2:3" x14ac:dyDescent="0.25">
      <c r="B1586" s="116">
        <v>43424</v>
      </c>
      <c r="C1586" s="117">
        <v>10656.2</v>
      </c>
    </row>
    <row r="1587" spans="2:3" x14ac:dyDescent="0.25">
      <c r="B1587" s="116">
        <v>43423</v>
      </c>
      <c r="C1587" s="117">
        <v>10763.4</v>
      </c>
    </row>
    <row r="1588" spans="2:3" x14ac:dyDescent="0.25">
      <c r="B1588" s="116">
        <v>43420</v>
      </c>
      <c r="C1588" s="117">
        <v>10682.2</v>
      </c>
    </row>
    <row r="1589" spans="2:3" x14ac:dyDescent="0.25">
      <c r="B1589" s="116">
        <v>43419</v>
      </c>
      <c r="C1589" s="117">
        <v>10616.7</v>
      </c>
    </row>
    <row r="1590" spans="2:3" x14ac:dyDescent="0.25">
      <c r="B1590" s="116">
        <v>43418</v>
      </c>
      <c r="C1590" s="117">
        <v>10576.3</v>
      </c>
    </row>
    <row r="1591" spans="2:3" x14ac:dyDescent="0.25">
      <c r="B1591" s="116">
        <v>43417</v>
      </c>
      <c r="C1591" s="117">
        <v>10582.5</v>
      </c>
    </row>
    <row r="1592" spans="2:3" x14ac:dyDescent="0.25">
      <c r="B1592" s="116">
        <v>43416</v>
      </c>
      <c r="C1592" s="117">
        <v>10482.200000000001</v>
      </c>
    </row>
    <row r="1593" spans="2:3" x14ac:dyDescent="0.25">
      <c r="B1593" s="116">
        <v>43413</v>
      </c>
      <c r="C1593" s="117">
        <v>10585.2</v>
      </c>
    </row>
    <row r="1594" spans="2:3" x14ac:dyDescent="0.25">
      <c r="B1594" s="116">
        <v>43411</v>
      </c>
      <c r="C1594" s="117">
        <v>10598.85</v>
      </c>
    </row>
    <row r="1595" spans="2:3" x14ac:dyDescent="0.25">
      <c r="B1595" s="116">
        <v>43410</v>
      </c>
      <c r="C1595" s="117">
        <v>10530</v>
      </c>
    </row>
    <row r="1596" spans="2:3" x14ac:dyDescent="0.25">
      <c r="B1596" s="116">
        <v>43409</v>
      </c>
      <c r="C1596" s="117">
        <v>10524</v>
      </c>
    </row>
    <row r="1597" spans="2:3" x14ac:dyDescent="0.25">
      <c r="B1597" s="116">
        <v>43406</v>
      </c>
      <c r="C1597" s="117">
        <v>10553</v>
      </c>
    </row>
    <row r="1598" spans="2:3" x14ac:dyDescent="0.25">
      <c r="B1598" s="116">
        <v>43405</v>
      </c>
      <c r="C1598" s="117">
        <v>10380.450000000001</v>
      </c>
    </row>
    <row r="1599" spans="2:3" x14ac:dyDescent="0.25">
      <c r="B1599" s="116">
        <v>43404</v>
      </c>
      <c r="C1599" s="117">
        <v>10386.6</v>
      </c>
    </row>
    <row r="1600" spans="2:3" x14ac:dyDescent="0.25">
      <c r="B1600" s="116">
        <v>43403</v>
      </c>
      <c r="C1600" s="117">
        <v>10198.4</v>
      </c>
    </row>
    <row r="1601" spans="2:3" x14ac:dyDescent="0.25">
      <c r="B1601" s="116">
        <v>43402</v>
      </c>
      <c r="C1601" s="117">
        <v>10250.85</v>
      </c>
    </row>
    <row r="1602" spans="2:3" x14ac:dyDescent="0.25">
      <c r="B1602" s="116">
        <v>43399</v>
      </c>
      <c r="C1602" s="117">
        <v>10030</v>
      </c>
    </row>
    <row r="1603" spans="2:3" x14ac:dyDescent="0.25">
      <c r="B1603" s="116">
        <v>43398</v>
      </c>
      <c r="C1603" s="117">
        <v>10124.9</v>
      </c>
    </row>
    <row r="1604" spans="2:3" x14ac:dyDescent="0.25">
      <c r="B1604" s="116">
        <v>43397</v>
      </c>
      <c r="C1604" s="117">
        <v>10224.75</v>
      </c>
    </row>
    <row r="1605" spans="2:3" x14ac:dyDescent="0.25">
      <c r="B1605" s="116">
        <v>43396</v>
      </c>
      <c r="C1605" s="117">
        <v>10146.799999999999</v>
      </c>
    </row>
    <row r="1606" spans="2:3" x14ac:dyDescent="0.25">
      <c r="B1606" s="116">
        <v>43395</v>
      </c>
      <c r="C1606" s="117">
        <v>10245.25</v>
      </c>
    </row>
    <row r="1607" spans="2:3" x14ac:dyDescent="0.25">
      <c r="B1607" s="116">
        <v>43392</v>
      </c>
      <c r="C1607" s="117">
        <v>10303.549999999999</v>
      </c>
    </row>
    <row r="1608" spans="2:3" x14ac:dyDescent="0.25">
      <c r="B1608" s="116">
        <v>43390</v>
      </c>
      <c r="C1608" s="117">
        <v>10453.049999999999</v>
      </c>
    </row>
    <row r="1609" spans="2:3" x14ac:dyDescent="0.25">
      <c r="B1609" s="116">
        <v>43389</v>
      </c>
      <c r="C1609" s="117">
        <v>10584.75</v>
      </c>
    </row>
    <row r="1610" spans="2:3" x14ac:dyDescent="0.25">
      <c r="B1610" s="116">
        <v>43388</v>
      </c>
      <c r="C1610" s="117">
        <v>10512.5</v>
      </c>
    </row>
    <row r="1611" spans="2:3" x14ac:dyDescent="0.25">
      <c r="B1611" s="116">
        <v>43385</v>
      </c>
      <c r="C1611" s="117">
        <v>10472.5</v>
      </c>
    </row>
    <row r="1612" spans="2:3" x14ac:dyDescent="0.25">
      <c r="B1612" s="116">
        <v>43384</v>
      </c>
      <c r="C1612" s="117">
        <v>10234.65</v>
      </c>
    </row>
    <row r="1613" spans="2:3" x14ac:dyDescent="0.25">
      <c r="B1613" s="116">
        <v>43383</v>
      </c>
      <c r="C1613" s="117">
        <v>10460.1</v>
      </c>
    </row>
    <row r="1614" spans="2:3" x14ac:dyDescent="0.25">
      <c r="B1614" s="116">
        <v>43382</v>
      </c>
      <c r="C1614" s="117">
        <v>10301.049999999999</v>
      </c>
    </row>
    <row r="1615" spans="2:3" x14ac:dyDescent="0.25">
      <c r="B1615" s="116">
        <v>43381</v>
      </c>
      <c r="C1615" s="117">
        <v>10348.049999999999</v>
      </c>
    </row>
    <row r="1616" spans="2:3" x14ac:dyDescent="0.25">
      <c r="B1616" s="116">
        <v>43378</v>
      </c>
      <c r="C1616" s="117">
        <v>10316.450000000001</v>
      </c>
    </row>
    <row r="1617" spans="2:3" x14ac:dyDescent="0.25">
      <c r="B1617" s="116">
        <v>43377</v>
      </c>
      <c r="C1617" s="117">
        <v>10599.25</v>
      </c>
    </row>
    <row r="1618" spans="2:3" x14ac:dyDescent="0.25">
      <c r="B1618" s="116">
        <v>43376</v>
      </c>
      <c r="C1618" s="117">
        <v>10858.25</v>
      </c>
    </row>
    <row r="1619" spans="2:3" x14ac:dyDescent="0.25">
      <c r="B1619" s="116">
        <v>43374</v>
      </c>
      <c r="C1619" s="117">
        <v>11008.3</v>
      </c>
    </row>
    <row r="1620" spans="2:3" x14ac:dyDescent="0.25">
      <c r="B1620" s="116">
        <v>43371</v>
      </c>
      <c r="C1620" s="117">
        <v>10930.45</v>
      </c>
    </row>
    <row r="1621" spans="2:3" x14ac:dyDescent="0.25">
      <c r="B1621" s="116">
        <v>43370</v>
      </c>
      <c r="C1621" s="117">
        <v>10977.55</v>
      </c>
    </row>
    <row r="1622" spans="2:3" x14ac:dyDescent="0.25">
      <c r="B1622" s="116">
        <v>43369</v>
      </c>
      <c r="C1622" s="117">
        <v>11053.8</v>
      </c>
    </row>
    <row r="1623" spans="2:3" x14ac:dyDescent="0.25">
      <c r="B1623" s="116">
        <v>43368</v>
      </c>
      <c r="C1623" s="117">
        <v>11067.45</v>
      </c>
    </row>
    <row r="1624" spans="2:3" x14ac:dyDescent="0.25">
      <c r="B1624" s="116">
        <v>43367</v>
      </c>
      <c r="C1624" s="117">
        <v>10967.4</v>
      </c>
    </row>
    <row r="1625" spans="2:3" x14ac:dyDescent="0.25">
      <c r="B1625" s="116">
        <v>43364</v>
      </c>
      <c r="C1625" s="117">
        <v>11143.1</v>
      </c>
    </row>
    <row r="1626" spans="2:3" x14ac:dyDescent="0.25">
      <c r="B1626" s="116">
        <v>43362</v>
      </c>
      <c r="C1626" s="117">
        <v>11234.35</v>
      </c>
    </row>
    <row r="1627" spans="2:3" x14ac:dyDescent="0.25">
      <c r="B1627" s="116">
        <v>43361</v>
      </c>
      <c r="C1627" s="117">
        <v>11278.9</v>
      </c>
    </row>
    <row r="1628" spans="2:3" x14ac:dyDescent="0.25">
      <c r="B1628" s="116">
        <v>43360</v>
      </c>
      <c r="C1628" s="117">
        <v>11377.75</v>
      </c>
    </row>
    <row r="1629" spans="2:3" x14ac:dyDescent="0.25">
      <c r="B1629" s="116">
        <v>43357</v>
      </c>
      <c r="C1629" s="117">
        <v>11515.2</v>
      </c>
    </row>
    <row r="1630" spans="2:3" x14ac:dyDescent="0.25">
      <c r="B1630" s="116">
        <v>43355</v>
      </c>
      <c r="C1630" s="117">
        <v>11369.9</v>
      </c>
    </row>
    <row r="1631" spans="2:3" x14ac:dyDescent="0.25">
      <c r="B1631" s="116">
        <v>43354</v>
      </c>
      <c r="C1631" s="117">
        <v>11287.5</v>
      </c>
    </row>
    <row r="1632" spans="2:3" x14ac:dyDescent="0.25">
      <c r="B1632" s="116">
        <v>43353</v>
      </c>
      <c r="C1632" s="117">
        <v>11438.1</v>
      </c>
    </row>
    <row r="1633" spans="2:3" x14ac:dyDescent="0.25">
      <c r="B1633" s="116">
        <v>43350</v>
      </c>
      <c r="C1633" s="117">
        <v>11589.1</v>
      </c>
    </row>
    <row r="1634" spans="2:3" x14ac:dyDescent="0.25">
      <c r="B1634" s="116">
        <v>43349</v>
      </c>
      <c r="C1634" s="117">
        <v>11536.9</v>
      </c>
    </row>
    <row r="1635" spans="2:3" x14ac:dyDescent="0.25">
      <c r="B1635" s="116">
        <v>43348</v>
      </c>
      <c r="C1635" s="117">
        <v>11476.95</v>
      </c>
    </row>
    <row r="1636" spans="2:3" x14ac:dyDescent="0.25">
      <c r="B1636" s="116">
        <v>43347</v>
      </c>
      <c r="C1636" s="117">
        <v>11520.3</v>
      </c>
    </row>
    <row r="1637" spans="2:3" x14ac:dyDescent="0.25">
      <c r="B1637" s="116">
        <v>43346</v>
      </c>
      <c r="C1637" s="117">
        <v>11582.35</v>
      </c>
    </row>
    <row r="1638" spans="2:3" x14ac:dyDescent="0.25">
      <c r="B1638" s="116">
        <v>43343</v>
      </c>
      <c r="C1638" s="117">
        <v>11680.5</v>
      </c>
    </row>
    <row r="1639" spans="2:3" x14ac:dyDescent="0.25">
      <c r="B1639" s="116">
        <v>43342</v>
      </c>
      <c r="C1639" s="117">
        <v>11676.8</v>
      </c>
    </row>
    <row r="1640" spans="2:3" x14ac:dyDescent="0.25">
      <c r="B1640" s="116">
        <v>43341</v>
      </c>
      <c r="C1640" s="117">
        <v>11691.9</v>
      </c>
    </row>
    <row r="1641" spans="2:3" x14ac:dyDescent="0.25">
      <c r="B1641" s="116">
        <v>43340</v>
      </c>
      <c r="C1641" s="117">
        <v>11738.5</v>
      </c>
    </row>
    <row r="1642" spans="2:3" x14ac:dyDescent="0.25">
      <c r="B1642" s="116">
        <v>43339</v>
      </c>
      <c r="C1642" s="117">
        <v>11691.95</v>
      </c>
    </row>
    <row r="1643" spans="2:3" x14ac:dyDescent="0.25">
      <c r="B1643" s="116">
        <v>43336</v>
      </c>
      <c r="C1643" s="117">
        <v>11557.1</v>
      </c>
    </row>
    <row r="1644" spans="2:3" x14ac:dyDescent="0.25">
      <c r="B1644" s="116">
        <v>43335</v>
      </c>
      <c r="C1644" s="117">
        <v>11582.75</v>
      </c>
    </row>
    <row r="1645" spans="2:3" x14ac:dyDescent="0.25">
      <c r="B1645" s="116">
        <v>43333</v>
      </c>
      <c r="C1645" s="117">
        <v>11570.9</v>
      </c>
    </row>
    <row r="1646" spans="2:3" x14ac:dyDescent="0.25">
      <c r="B1646" s="116">
        <v>43332</v>
      </c>
      <c r="C1646" s="117">
        <v>11551.75</v>
      </c>
    </row>
    <row r="1647" spans="2:3" x14ac:dyDescent="0.25">
      <c r="B1647" s="116">
        <v>43329</v>
      </c>
      <c r="C1647" s="117">
        <v>11470.75</v>
      </c>
    </row>
    <row r="1648" spans="2:3" x14ac:dyDescent="0.25">
      <c r="B1648" s="116">
        <v>43328</v>
      </c>
      <c r="C1648" s="117">
        <v>11385.05</v>
      </c>
    </row>
    <row r="1649" spans="2:3" x14ac:dyDescent="0.25">
      <c r="B1649" s="116">
        <v>43326</v>
      </c>
      <c r="C1649" s="117">
        <v>11435.1</v>
      </c>
    </row>
    <row r="1650" spans="2:3" x14ac:dyDescent="0.25">
      <c r="B1650" s="116">
        <v>43325</v>
      </c>
      <c r="C1650" s="117">
        <v>11355.75</v>
      </c>
    </row>
    <row r="1651" spans="2:3" x14ac:dyDescent="0.25">
      <c r="B1651" s="116">
        <v>43322</v>
      </c>
      <c r="C1651" s="117">
        <v>11429.5</v>
      </c>
    </row>
    <row r="1652" spans="2:3" x14ac:dyDescent="0.25">
      <c r="B1652" s="116">
        <v>43321</v>
      </c>
      <c r="C1652" s="117">
        <v>11470.7</v>
      </c>
    </row>
    <row r="1653" spans="2:3" x14ac:dyDescent="0.25">
      <c r="B1653" s="116">
        <v>43320</v>
      </c>
      <c r="C1653" s="117">
        <v>11450</v>
      </c>
    </row>
    <row r="1654" spans="2:3" x14ac:dyDescent="0.25">
      <c r="B1654" s="116">
        <v>43319</v>
      </c>
      <c r="C1654" s="117">
        <v>11389.45</v>
      </c>
    </row>
    <row r="1655" spans="2:3" x14ac:dyDescent="0.25">
      <c r="B1655" s="116">
        <v>43318</v>
      </c>
      <c r="C1655" s="117">
        <v>11387.1</v>
      </c>
    </row>
    <row r="1656" spans="2:3" x14ac:dyDescent="0.25">
      <c r="B1656" s="116">
        <v>43315</v>
      </c>
      <c r="C1656" s="117">
        <v>11360.8</v>
      </c>
    </row>
    <row r="1657" spans="2:3" x14ac:dyDescent="0.25">
      <c r="B1657" s="116">
        <v>43314</v>
      </c>
      <c r="C1657" s="117">
        <v>11244.7</v>
      </c>
    </row>
    <row r="1658" spans="2:3" x14ac:dyDescent="0.25">
      <c r="B1658" s="116">
        <v>43313</v>
      </c>
      <c r="C1658" s="117">
        <v>11346.2</v>
      </c>
    </row>
    <row r="1659" spans="2:3" x14ac:dyDescent="0.25">
      <c r="B1659" s="116">
        <v>43312</v>
      </c>
      <c r="C1659" s="117">
        <v>11356.5</v>
      </c>
    </row>
    <row r="1660" spans="2:3" x14ac:dyDescent="0.25">
      <c r="B1660" s="116">
        <v>43311</v>
      </c>
      <c r="C1660" s="117">
        <v>11319.55</v>
      </c>
    </row>
    <row r="1661" spans="2:3" x14ac:dyDescent="0.25">
      <c r="B1661" s="116">
        <v>43308</v>
      </c>
      <c r="C1661" s="117">
        <v>11278.35</v>
      </c>
    </row>
    <row r="1662" spans="2:3" x14ac:dyDescent="0.25">
      <c r="B1662" s="116">
        <v>43307</v>
      </c>
      <c r="C1662" s="117">
        <v>11167.3</v>
      </c>
    </row>
    <row r="1663" spans="2:3" x14ac:dyDescent="0.25">
      <c r="B1663" s="116">
        <v>43306</v>
      </c>
      <c r="C1663" s="117">
        <v>11132</v>
      </c>
    </row>
    <row r="1664" spans="2:3" x14ac:dyDescent="0.25">
      <c r="B1664" s="116">
        <v>43305</v>
      </c>
      <c r="C1664" s="117">
        <v>11134.3</v>
      </c>
    </row>
    <row r="1665" spans="2:3" x14ac:dyDescent="0.25">
      <c r="B1665" s="116">
        <v>43304</v>
      </c>
      <c r="C1665" s="117">
        <v>11084.75</v>
      </c>
    </row>
    <row r="1666" spans="2:3" x14ac:dyDescent="0.25">
      <c r="B1666" s="116">
        <v>43301</v>
      </c>
      <c r="C1666" s="117">
        <v>11010.2</v>
      </c>
    </row>
    <row r="1667" spans="2:3" x14ac:dyDescent="0.25">
      <c r="B1667" s="116">
        <v>43300</v>
      </c>
      <c r="C1667" s="117">
        <v>10957.1</v>
      </c>
    </row>
    <row r="1668" spans="2:3" x14ac:dyDescent="0.25">
      <c r="B1668" s="116">
        <v>43299</v>
      </c>
      <c r="C1668" s="117">
        <v>10980.45</v>
      </c>
    </row>
    <row r="1669" spans="2:3" x14ac:dyDescent="0.25">
      <c r="B1669" s="116">
        <v>43298</v>
      </c>
      <c r="C1669" s="117">
        <v>11008.05</v>
      </c>
    </row>
    <row r="1670" spans="2:3" x14ac:dyDescent="0.25">
      <c r="B1670" s="116">
        <v>43297</v>
      </c>
      <c r="C1670" s="117">
        <v>10936.85</v>
      </c>
    </row>
    <row r="1671" spans="2:3" x14ac:dyDescent="0.25">
      <c r="B1671" s="116">
        <v>43294</v>
      </c>
      <c r="C1671" s="117">
        <v>11018.9</v>
      </c>
    </row>
    <row r="1672" spans="2:3" x14ac:dyDescent="0.25">
      <c r="B1672" s="116">
        <v>43293</v>
      </c>
      <c r="C1672" s="117">
        <v>11023.2</v>
      </c>
    </row>
    <row r="1673" spans="2:3" x14ac:dyDescent="0.25">
      <c r="B1673" s="116">
        <v>43292</v>
      </c>
      <c r="C1673" s="117">
        <v>10948.3</v>
      </c>
    </row>
    <row r="1674" spans="2:3" x14ac:dyDescent="0.25">
      <c r="B1674" s="116">
        <v>43291</v>
      </c>
      <c r="C1674" s="117">
        <v>10947.25</v>
      </c>
    </row>
    <row r="1675" spans="2:3" x14ac:dyDescent="0.25">
      <c r="B1675" s="116">
        <v>43290</v>
      </c>
      <c r="C1675" s="117">
        <v>10852.9</v>
      </c>
    </row>
    <row r="1676" spans="2:3" x14ac:dyDescent="0.25">
      <c r="B1676" s="116">
        <v>43287</v>
      </c>
      <c r="C1676" s="117">
        <v>10772.65</v>
      </c>
    </row>
    <row r="1677" spans="2:3" x14ac:dyDescent="0.25">
      <c r="B1677" s="116">
        <v>43286</v>
      </c>
      <c r="C1677" s="117">
        <v>10749.75</v>
      </c>
    </row>
    <row r="1678" spans="2:3" x14ac:dyDescent="0.25">
      <c r="B1678" s="116">
        <v>43285</v>
      </c>
      <c r="C1678" s="117">
        <v>10769.9</v>
      </c>
    </row>
    <row r="1679" spans="2:3" x14ac:dyDescent="0.25">
      <c r="B1679" s="116">
        <v>43284</v>
      </c>
      <c r="C1679" s="117">
        <v>10699.9</v>
      </c>
    </row>
    <row r="1680" spans="2:3" x14ac:dyDescent="0.25">
      <c r="B1680" s="116">
        <v>43283</v>
      </c>
      <c r="C1680" s="117">
        <v>10657.3</v>
      </c>
    </row>
    <row r="1681" spans="2:3" x14ac:dyDescent="0.25">
      <c r="B1681" s="116">
        <v>43280</v>
      </c>
      <c r="C1681" s="117">
        <v>10714.3</v>
      </c>
    </row>
    <row r="1682" spans="2:3" x14ac:dyDescent="0.25">
      <c r="B1682" s="116">
        <v>43279</v>
      </c>
      <c r="C1682" s="117">
        <v>10589.1</v>
      </c>
    </row>
    <row r="1683" spans="2:3" x14ac:dyDescent="0.25">
      <c r="B1683" s="116">
        <v>43278</v>
      </c>
      <c r="C1683" s="117">
        <v>10671.4</v>
      </c>
    </row>
    <row r="1684" spans="2:3" x14ac:dyDescent="0.25">
      <c r="B1684" s="116">
        <v>43277</v>
      </c>
      <c r="C1684" s="117">
        <v>10769.15</v>
      </c>
    </row>
    <row r="1685" spans="2:3" x14ac:dyDescent="0.25">
      <c r="B1685" s="116">
        <v>43276</v>
      </c>
      <c r="C1685" s="117">
        <v>10762.45</v>
      </c>
    </row>
    <row r="1686" spans="2:3" x14ac:dyDescent="0.25">
      <c r="B1686" s="116">
        <v>43273</v>
      </c>
      <c r="C1686" s="117">
        <v>10821.85</v>
      </c>
    </row>
    <row r="1687" spans="2:3" x14ac:dyDescent="0.25">
      <c r="B1687" s="116">
        <v>43272</v>
      </c>
      <c r="C1687" s="117">
        <v>10741.1</v>
      </c>
    </row>
    <row r="1688" spans="2:3" x14ac:dyDescent="0.25">
      <c r="B1688" s="116">
        <v>43271</v>
      </c>
      <c r="C1688" s="117">
        <v>10772.05</v>
      </c>
    </row>
    <row r="1689" spans="2:3" x14ac:dyDescent="0.25">
      <c r="B1689" s="116">
        <v>43270</v>
      </c>
      <c r="C1689" s="117">
        <v>10710.45</v>
      </c>
    </row>
    <row r="1690" spans="2:3" x14ac:dyDescent="0.25">
      <c r="B1690" s="116">
        <v>43269</v>
      </c>
      <c r="C1690" s="117">
        <v>10799.85</v>
      </c>
    </row>
    <row r="1691" spans="2:3" x14ac:dyDescent="0.25">
      <c r="B1691" s="116">
        <v>43266</v>
      </c>
      <c r="C1691" s="117">
        <v>10817.7</v>
      </c>
    </row>
    <row r="1692" spans="2:3" x14ac:dyDescent="0.25">
      <c r="B1692" s="116">
        <v>43265</v>
      </c>
      <c r="C1692" s="117">
        <v>10808.05</v>
      </c>
    </row>
    <row r="1693" spans="2:3" x14ac:dyDescent="0.25">
      <c r="B1693" s="116">
        <v>43264</v>
      </c>
      <c r="C1693" s="117">
        <v>10856.7</v>
      </c>
    </row>
    <row r="1694" spans="2:3" x14ac:dyDescent="0.25">
      <c r="B1694" s="116">
        <v>43263</v>
      </c>
      <c r="C1694" s="117">
        <v>10842.85</v>
      </c>
    </row>
    <row r="1695" spans="2:3" x14ac:dyDescent="0.25">
      <c r="B1695" s="116">
        <v>43262</v>
      </c>
      <c r="C1695" s="117">
        <v>10786.95</v>
      </c>
    </row>
    <row r="1696" spans="2:3" x14ac:dyDescent="0.25">
      <c r="B1696" s="116">
        <v>43259</v>
      </c>
      <c r="C1696" s="117">
        <v>10767.65</v>
      </c>
    </row>
    <row r="1697" spans="2:3" x14ac:dyDescent="0.25">
      <c r="B1697" s="116">
        <v>43258</v>
      </c>
      <c r="C1697" s="117">
        <v>10768.35</v>
      </c>
    </row>
    <row r="1698" spans="2:3" x14ac:dyDescent="0.25">
      <c r="B1698" s="116">
        <v>43257</v>
      </c>
      <c r="C1698" s="117">
        <v>10684.65</v>
      </c>
    </row>
    <row r="1699" spans="2:3" x14ac:dyDescent="0.25">
      <c r="B1699" s="116">
        <v>43256</v>
      </c>
      <c r="C1699" s="117">
        <v>10593.15</v>
      </c>
    </row>
    <row r="1700" spans="2:3" x14ac:dyDescent="0.25">
      <c r="B1700" s="116">
        <v>43255</v>
      </c>
      <c r="C1700" s="117">
        <v>10628.5</v>
      </c>
    </row>
    <row r="1701" spans="2:3" x14ac:dyDescent="0.25">
      <c r="B1701" s="116">
        <v>43252</v>
      </c>
      <c r="C1701" s="117">
        <v>10696.2</v>
      </c>
    </row>
    <row r="1702" spans="2:3" x14ac:dyDescent="0.25">
      <c r="B1702" s="116">
        <v>43251</v>
      </c>
      <c r="C1702" s="117">
        <v>10736.15</v>
      </c>
    </row>
    <row r="1703" spans="2:3" x14ac:dyDescent="0.25">
      <c r="B1703" s="116">
        <v>43250</v>
      </c>
      <c r="C1703" s="117">
        <v>10614.35</v>
      </c>
    </row>
    <row r="1704" spans="2:3" x14ac:dyDescent="0.25">
      <c r="B1704" s="116">
        <v>43249</v>
      </c>
      <c r="C1704" s="117">
        <v>10633.3</v>
      </c>
    </row>
    <row r="1705" spans="2:3" x14ac:dyDescent="0.25">
      <c r="B1705" s="116">
        <v>43248</v>
      </c>
      <c r="C1705" s="117">
        <v>10688.65</v>
      </c>
    </row>
    <row r="1706" spans="2:3" x14ac:dyDescent="0.25">
      <c r="B1706" s="116">
        <v>43245</v>
      </c>
      <c r="C1706" s="117">
        <v>10605.15</v>
      </c>
    </row>
    <row r="1707" spans="2:3" x14ac:dyDescent="0.25">
      <c r="B1707" s="116">
        <v>43244</v>
      </c>
      <c r="C1707" s="117">
        <v>10513.85</v>
      </c>
    </row>
    <row r="1708" spans="2:3" x14ac:dyDescent="0.25">
      <c r="B1708" s="116">
        <v>43243</v>
      </c>
      <c r="C1708" s="117">
        <v>10430.35</v>
      </c>
    </row>
    <row r="1709" spans="2:3" x14ac:dyDescent="0.25">
      <c r="B1709" s="116">
        <v>43242</v>
      </c>
      <c r="C1709" s="117">
        <v>10536.7</v>
      </c>
    </row>
    <row r="1710" spans="2:3" x14ac:dyDescent="0.25">
      <c r="B1710" s="116">
        <v>43241</v>
      </c>
      <c r="C1710" s="117">
        <v>10516.7</v>
      </c>
    </row>
    <row r="1711" spans="2:3" x14ac:dyDescent="0.25">
      <c r="B1711" s="116">
        <v>43238</v>
      </c>
      <c r="C1711" s="117">
        <v>10596.4</v>
      </c>
    </row>
    <row r="1712" spans="2:3" x14ac:dyDescent="0.25">
      <c r="B1712" s="116">
        <v>43237</v>
      </c>
      <c r="C1712" s="117">
        <v>10682.7</v>
      </c>
    </row>
    <row r="1713" spans="2:3" x14ac:dyDescent="0.25">
      <c r="B1713" s="116">
        <v>43236</v>
      </c>
      <c r="C1713" s="117">
        <v>10741.1</v>
      </c>
    </row>
    <row r="1714" spans="2:3" x14ac:dyDescent="0.25">
      <c r="B1714" s="116">
        <v>43235</v>
      </c>
      <c r="C1714" s="117">
        <v>10801.85</v>
      </c>
    </row>
    <row r="1715" spans="2:3" x14ac:dyDescent="0.25">
      <c r="B1715" s="116">
        <v>43234</v>
      </c>
      <c r="C1715" s="117">
        <v>10806.6</v>
      </c>
    </row>
    <row r="1716" spans="2:3" x14ac:dyDescent="0.25">
      <c r="B1716" s="116">
        <v>43231</v>
      </c>
      <c r="C1716" s="117">
        <v>10806.5</v>
      </c>
    </row>
    <row r="1717" spans="2:3" x14ac:dyDescent="0.25">
      <c r="B1717" s="116">
        <v>43230</v>
      </c>
      <c r="C1717" s="117">
        <v>10716.55</v>
      </c>
    </row>
    <row r="1718" spans="2:3" x14ac:dyDescent="0.25">
      <c r="B1718" s="116">
        <v>43229</v>
      </c>
      <c r="C1718" s="117">
        <v>10741.7</v>
      </c>
    </row>
    <row r="1719" spans="2:3" x14ac:dyDescent="0.25">
      <c r="B1719" s="116">
        <v>43228</v>
      </c>
      <c r="C1719" s="117">
        <v>10717.8</v>
      </c>
    </row>
    <row r="1720" spans="2:3" x14ac:dyDescent="0.25">
      <c r="B1720" s="116">
        <v>43227</v>
      </c>
      <c r="C1720" s="117">
        <v>10715.5</v>
      </c>
    </row>
    <row r="1721" spans="2:3" x14ac:dyDescent="0.25">
      <c r="B1721" s="116">
        <v>43224</v>
      </c>
      <c r="C1721" s="117">
        <v>10618.25</v>
      </c>
    </row>
    <row r="1722" spans="2:3" x14ac:dyDescent="0.25">
      <c r="B1722" s="116">
        <v>43223</v>
      </c>
      <c r="C1722" s="117">
        <v>10679.65</v>
      </c>
    </row>
    <row r="1723" spans="2:3" x14ac:dyDescent="0.25">
      <c r="B1723" s="116">
        <v>43222</v>
      </c>
      <c r="C1723" s="117">
        <v>10718.05</v>
      </c>
    </row>
    <row r="1724" spans="2:3" x14ac:dyDescent="0.25">
      <c r="B1724" s="116">
        <v>43220</v>
      </c>
      <c r="C1724" s="117">
        <v>10739.35</v>
      </c>
    </row>
    <row r="1725" spans="2:3" x14ac:dyDescent="0.25">
      <c r="B1725" s="116">
        <v>43217</v>
      </c>
      <c r="C1725" s="117">
        <v>10692.3</v>
      </c>
    </row>
    <row r="1726" spans="2:3" x14ac:dyDescent="0.25">
      <c r="B1726" s="116">
        <v>43216</v>
      </c>
      <c r="C1726" s="117">
        <v>10617.8</v>
      </c>
    </row>
    <row r="1727" spans="2:3" x14ac:dyDescent="0.25">
      <c r="B1727" s="116">
        <v>43215</v>
      </c>
      <c r="C1727" s="117">
        <v>10570.55</v>
      </c>
    </row>
    <row r="1728" spans="2:3" x14ac:dyDescent="0.25">
      <c r="B1728" s="116">
        <v>43214</v>
      </c>
      <c r="C1728" s="117">
        <v>10614.35</v>
      </c>
    </row>
    <row r="1729" spans="2:3" x14ac:dyDescent="0.25">
      <c r="B1729" s="116">
        <v>43213</v>
      </c>
      <c r="C1729" s="117">
        <v>10584.7</v>
      </c>
    </row>
    <row r="1730" spans="2:3" x14ac:dyDescent="0.25">
      <c r="B1730" s="116">
        <v>43210</v>
      </c>
      <c r="C1730" s="117">
        <v>10564.05</v>
      </c>
    </row>
    <row r="1731" spans="2:3" x14ac:dyDescent="0.25">
      <c r="B1731" s="116">
        <v>43209</v>
      </c>
      <c r="C1731" s="117">
        <v>10565.3</v>
      </c>
    </row>
    <row r="1732" spans="2:3" x14ac:dyDescent="0.25">
      <c r="B1732" s="116">
        <v>43208</v>
      </c>
      <c r="C1732" s="117">
        <v>10526.2</v>
      </c>
    </row>
    <row r="1733" spans="2:3" x14ac:dyDescent="0.25">
      <c r="B1733" s="116">
        <v>43207</v>
      </c>
      <c r="C1733" s="117">
        <v>10548.7</v>
      </c>
    </row>
    <row r="1734" spans="2:3" x14ac:dyDescent="0.25">
      <c r="B1734" s="116">
        <v>43206</v>
      </c>
      <c r="C1734" s="117">
        <v>10528.35</v>
      </c>
    </row>
    <row r="1735" spans="2:3" x14ac:dyDescent="0.25">
      <c r="B1735" s="116">
        <v>43203</v>
      </c>
      <c r="C1735" s="117">
        <v>10480.6</v>
      </c>
    </row>
    <row r="1736" spans="2:3" x14ac:dyDescent="0.25">
      <c r="B1736" s="116">
        <v>43202</v>
      </c>
      <c r="C1736" s="117">
        <v>10458.65</v>
      </c>
    </row>
    <row r="1737" spans="2:3" x14ac:dyDescent="0.25">
      <c r="B1737" s="116">
        <v>43201</v>
      </c>
      <c r="C1737" s="117">
        <v>10417.15</v>
      </c>
    </row>
    <row r="1738" spans="2:3" x14ac:dyDescent="0.25">
      <c r="B1738" s="116">
        <v>43200</v>
      </c>
      <c r="C1738" s="117">
        <v>10402.25</v>
      </c>
    </row>
    <row r="1739" spans="2:3" x14ac:dyDescent="0.25">
      <c r="B1739" s="116">
        <v>43199</v>
      </c>
      <c r="C1739" s="117">
        <v>10379.35</v>
      </c>
    </row>
    <row r="1740" spans="2:3" x14ac:dyDescent="0.25">
      <c r="B1740" s="116">
        <v>43196</v>
      </c>
      <c r="C1740" s="117">
        <v>10331.6</v>
      </c>
    </row>
    <row r="1741" spans="2:3" x14ac:dyDescent="0.25">
      <c r="B1741" s="116">
        <v>43195</v>
      </c>
      <c r="C1741" s="117">
        <v>10325.15</v>
      </c>
    </row>
    <row r="1742" spans="2:3" x14ac:dyDescent="0.25">
      <c r="B1742" s="116">
        <v>43194</v>
      </c>
      <c r="C1742" s="117">
        <v>10128.4</v>
      </c>
    </row>
    <row r="1743" spans="2:3" x14ac:dyDescent="0.25">
      <c r="B1743" s="116">
        <v>43193</v>
      </c>
      <c r="C1743" s="117">
        <v>10245</v>
      </c>
    </row>
    <row r="1744" spans="2:3" x14ac:dyDescent="0.25">
      <c r="B1744" s="116">
        <v>43192</v>
      </c>
      <c r="C1744" s="117">
        <v>10211.799999999999</v>
      </c>
    </row>
    <row r="1745" spans="2:3" x14ac:dyDescent="0.25">
      <c r="B1745" s="116">
        <v>43187</v>
      </c>
      <c r="C1745" s="117">
        <v>10113.700000000001</v>
      </c>
    </row>
    <row r="1746" spans="2:3" x14ac:dyDescent="0.25">
      <c r="B1746" s="116">
        <v>43186</v>
      </c>
      <c r="C1746" s="117">
        <v>10184.15</v>
      </c>
    </row>
    <row r="1747" spans="2:3" x14ac:dyDescent="0.25">
      <c r="B1747" s="116">
        <v>43185</v>
      </c>
      <c r="C1747" s="117">
        <v>10130.65</v>
      </c>
    </row>
    <row r="1748" spans="2:3" x14ac:dyDescent="0.25">
      <c r="B1748" s="116">
        <v>43182</v>
      </c>
      <c r="C1748" s="117">
        <v>9998.0499999999993</v>
      </c>
    </row>
    <row r="1749" spans="2:3" x14ac:dyDescent="0.25">
      <c r="B1749" s="116">
        <v>43181</v>
      </c>
      <c r="C1749" s="117">
        <v>10114.75</v>
      </c>
    </row>
    <row r="1750" spans="2:3" x14ac:dyDescent="0.25">
      <c r="B1750" s="116">
        <v>43180</v>
      </c>
      <c r="C1750" s="117">
        <v>10155.25</v>
      </c>
    </row>
    <row r="1751" spans="2:3" x14ac:dyDescent="0.25">
      <c r="B1751" s="116">
        <v>43179</v>
      </c>
      <c r="C1751" s="117">
        <v>10124.35</v>
      </c>
    </row>
    <row r="1752" spans="2:3" x14ac:dyDescent="0.25">
      <c r="B1752" s="116">
        <v>43178</v>
      </c>
      <c r="C1752" s="117">
        <v>10094.25</v>
      </c>
    </row>
    <row r="1753" spans="2:3" x14ac:dyDescent="0.25">
      <c r="B1753" s="116">
        <v>43175</v>
      </c>
      <c r="C1753" s="117">
        <v>10195.15</v>
      </c>
    </row>
    <row r="1754" spans="2:3" x14ac:dyDescent="0.25">
      <c r="B1754" s="116">
        <v>43174</v>
      </c>
      <c r="C1754" s="117">
        <v>10360.15</v>
      </c>
    </row>
    <row r="1755" spans="2:3" x14ac:dyDescent="0.25">
      <c r="B1755" s="116">
        <v>43173</v>
      </c>
      <c r="C1755" s="117">
        <v>10410.9</v>
      </c>
    </row>
    <row r="1756" spans="2:3" x14ac:dyDescent="0.25">
      <c r="B1756" s="116">
        <v>43172</v>
      </c>
      <c r="C1756" s="117">
        <v>10426.85</v>
      </c>
    </row>
    <row r="1757" spans="2:3" x14ac:dyDescent="0.25">
      <c r="B1757" s="116">
        <v>43171</v>
      </c>
      <c r="C1757" s="117">
        <v>10421.4</v>
      </c>
    </row>
    <row r="1758" spans="2:3" x14ac:dyDescent="0.25">
      <c r="B1758" s="116">
        <v>43168</v>
      </c>
      <c r="C1758" s="117">
        <v>10226.85</v>
      </c>
    </row>
    <row r="1759" spans="2:3" x14ac:dyDescent="0.25">
      <c r="B1759" s="116">
        <v>43167</v>
      </c>
      <c r="C1759" s="117">
        <v>10242.65</v>
      </c>
    </row>
    <row r="1760" spans="2:3" x14ac:dyDescent="0.25">
      <c r="B1760" s="116">
        <v>43166</v>
      </c>
      <c r="C1760" s="117">
        <v>10154.200000000001</v>
      </c>
    </row>
    <row r="1761" spans="2:3" x14ac:dyDescent="0.25">
      <c r="B1761" s="116">
        <v>43165</v>
      </c>
      <c r="C1761" s="117">
        <v>10249.25</v>
      </c>
    </row>
    <row r="1762" spans="2:3" x14ac:dyDescent="0.25">
      <c r="B1762" s="116">
        <v>43164</v>
      </c>
      <c r="C1762" s="117">
        <v>10358.85</v>
      </c>
    </row>
    <row r="1763" spans="2:3" x14ac:dyDescent="0.25">
      <c r="B1763" s="116">
        <v>43160</v>
      </c>
      <c r="C1763" s="117">
        <v>10458.35</v>
      </c>
    </row>
    <row r="1764" spans="2:3" x14ac:dyDescent="0.25">
      <c r="B1764" s="116">
        <v>43159</v>
      </c>
      <c r="C1764" s="117">
        <v>10492.85</v>
      </c>
    </row>
    <row r="1765" spans="2:3" x14ac:dyDescent="0.25">
      <c r="B1765" s="116">
        <v>43158</v>
      </c>
      <c r="C1765" s="117">
        <v>10554.3</v>
      </c>
    </row>
    <row r="1766" spans="2:3" x14ac:dyDescent="0.25">
      <c r="B1766" s="116">
        <v>43157</v>
      </c>
      <c r="C1766" s="117">
        <v>10582.6</v>
      </c>
    </row>
    <row r="1767" spans="2:3" x14ac:dyDescent="0.25">
      <c r="B1767" s="116">
        <v>43154</v>
      </c>
      <c r="C1767" s="117">
        <v>10491.05</v>
      </c>
    </row>
    <row r="1768" spans="2:3" x14ac:dyDescent="0.25">
      <c r="B1768" s="116">
        <v>43153</v>
      </c>
      <c r="C1768" s="117">
        <v>10382.700000000001</v>
      </c>
    </row>
    <row r="1769" spans="2:3" x14ac:dyDescent="0.25">
      <c r="B1769" s="116">
        <v>43152</v>
      </c>
      <c r="C1769" s="117">
        <v>10397.450000000001</v>
      </c>
    </row>
    <row r="1770" spans="2:3" x14ac:dyDescent="0.25">
      <c r="B1770" s="116">
        <v>43151</v>
      </c>
      <c r="C1770" s="117">
        <v>10360.4</v>
      </c>
    </row>
    <row r="1771" spans="2:3" x14ac:dyDescent="0.25">
      <c r="B1771" s="116">
        <v>43150</v>
      </c>
      <c r="C1771" s="117">
        <v>10378.4</v>
      </c>
    </row>
    <row r="1772" spans="2:3" x14ac:dyDescent="0.25">
      <c r="B1772" s="116">
        <v>43147</v>
      </c>
      <c r="C1772" s="117">
        <v>10452.299999999999</v>
      </c>
    </row>
    <row r="1773" spans="2:3" x14ac:dyDescent="0.25">
      <c r="B1773" s="116">
        <v>43146</v>
      </c>
      <c r="C1773" s="117">
        <v>10545.5</v>
      </c>
    </row>
    <row r="1774" spans="2:3" x14ac:dyDescent="0.25">
      <c r="B1774" s="116">
        <v>43145</v>
      </c>
      <c r="C1774" s="117">
        <v>10500.9</v>
      </c>
    </row>
    <row r="1775" spans="2:3" x14ac:dyDescent="0.25">
      <c r="B1775" s="116">
        <v>43143</v>
      </c>
      <c r="C1775" s="117">
        <v>10539.75</v>
      </c>
    </row>
    <row r="1776" spans="2:3" x14ac:dyDescent="0.25">
      <c r="B1776" s="116">
        <v>43140</v>
      </c>
      <c r="C1776" s="117">
        <v>10454.950000000001</v>
      </c>
    </row>
    <row r="1777" spans="2:3" x14ac:dyDescent="0.25">
      <c r="B1777" s="116">
        <v>43139</v>
      </c>
      <c r="C1777" s="117">
        <v>10576.85</v>
      </c>
    </row>
    <row r="1778" spans="2:3" x14ac:dyDescent="0.25">
      <c r="B1778" s="116">
        <v>43138</v>
      </c>
      <c r="C1778" s="117">
        <v>10476.700000000001</v>
      </c>
    </row>
    <row r="1779" spans="2:3" x14ac:dyDescent="0.25">
      <c r="B1779" s="116">
        <v>43137</v>
      </c>
      <c r="C1779" s="117">
        <v>10498.25</v>
      </c>
    </row>
    <row r="1780" spans="2:3" x14ac:dyDescent="0.25">
      <c r="B1780" s="116">
        <v>43136</v>
      </c>
      <c r="C1780" s="117">
        <v>10666.55</v>
      </c>
    </row>
    <row r="1781" spans="2:3" x14ac:dyDescent="0.25">
      <c r="B1781" s="116">
        <v>43133</v>
      </c>
      <c r="C1781" s="117">
        <v>10760.6</v>
      </c>
    </row>
    <row r="1782" spans="2:3" x14ac:dyDescent="0.25">
      <c r="B1782" s="116">
        <v>43132</v>
      </c>
      <c r="C1782" s="117">
        <v>11016.9</v>
      </c>
    </row>
    <row r="1783" spans="2:3" x14ac:dyDescent="0.25">
      <c r="B1783" s="116">
        <v>43131</v>
      </c>
      <c r="C1783" s="117">
        <v>11027.7</v>
      </c>
    </row>
    <row r="1784" spans="2:3" x14ac:dyDescent="0.25">
      <c r="B1784" s="116">
        <v>43130</v>
      </c>
      <c r="C1784" s="117">
        <v>11049.65</v>
      </c>
    </row>
    <row r="1785" spans="2:3" x14ac:dyDescent="0.25">
      <c r="B1785" s="116">
        <v>43129</v>
      </c>
      <c r="C1785" s="117">
        <v>11130.4</v>
      </c>
    </row>
    <row r="1786" spans="2:3" x14ac:dyDescent="0.25">
      <c r="B1786" s="116">
        <v>43125</v>
      </c>
      <c r="C1786" s="117">
        <v>11069.65</v>
      </c>
    </row>
    <row r="1787" spans="2:3" x14ac:dyDescent="0.25">
      <c r="B1787" s="116">
        <v>43124</v>
      </c>
      <c r="C1787" s="117">
        <v>11086</v>
      </c>
    </row>
    <row r="1788" spans="2:3" x14ac:dyDescent="0.25">
      <c r="B1788" s="116">
        <v>43123</v>
      </c>
      <c r="C1788" s="117">
        <v>11083.7</v>
      </c>
    </row>
    <row r="1789" spans="2:3" x14ac:dyDescent="0.25">
      <c r="B1789" s="116">
        <v>43122</v>
      </c>
      <c r="C1789" s="117">
        <v>10966.2</v>
      </c>
    </row>
    <row r="1790" spans="2:3" x14ac:dyDescent="0.25">
      <c r="B1790" s="116">
        <v>43119</v>
      </c>
      <c r="C1790" s="117">
        <v>10894.7</v>
      </c>
    </row>
    <row r="1791" spans="2:3" x14ac:dyDescent="0.25">
      <c r="B1791" s="116">
        <v>43118</v>
      </c>
      <c r="C1791" s="117">
        <v>10817</v>
      </c>
    </row>
    <row r="1792" spans="2:3" x14ac:dyDescent="0.25">
      <c r="B1792" s="116">
        <v>43117</v>
      </c>
      <c r="C1792" s="117">
        <v>10788.55</v>
      </c>
    </row>
    <row r="1793" spans="2:3" x14ac:dyDescent="0.25">
      <c r="B1793" s="116">
        <v>43116</v>
      </c>
      <c r="C1793" s="117">
        <v>10700.45</v>
      </c>
    </row>
    <row r="1794" spans="2:3" x14ac:dyDescent="0.25">
      <c r="B1794" s="116">
        <v>43115</v>
      </c>
      <c r="C1794" s="117">
        <v>10741.55</v>
      </c>
    </row>
    <row r="1795" spans="2:3" x14ac:dyDescent="0.25">
      <c r="B1795" s="116">
        <v>43112</v>
      </c>
      <c r="C1795" s="117">
        <v>10681.25</v>
      </c>
    </row>
    <row r="1796" spans="2:3" x14ac:dyDescent="0.25">
      <c r="B1796" s="116">
        <v>43111</v>
      </c>
      <c r="C1796" s="117">
        <v>10651.2</v>
      </c>
    </row>
    <row r="1797" spans="2:3" x14ac:dyDescent="0.25">
      <c r="B1797" s="116">
        <v>43110</v>
      </c>
      <c r="C1797" s="117">
        <v>10632.2</v>
      </c>
    </row>
    <row r="1798" spans="2:3" x14ac:dyDescent="0.25">
      <c r="B1798" s="116">
        <v>43109</v>
      </c>
      <c r="C1798" s="117">
        <v>10637</v>
      </c>
    </row>
    <row r="1799" spans="2:3" x14ac:dyDescent="0.25">
      <c r="B1799" s="116">
        <v>43108</v>
      </c>
      <c r="C1799" s="117">
        <v>10623.6</v>
      </c>
    </row>
    <row r="1800" spans="2:3" x14ac:dyDescent="0.25">
      <c r="B1800" s="116">
        <v>43105</v>
      </c>
      <c r="C1800" s="117">
        <v>10558.85</v>
      </c>
    </row>
    <row r="1801" spans="2:3" x14ac:dyDescent="0.25">
      <c r="B1801" s="116">
        <v>43104</v>
      </c>
      <c r="C1801" s="117">
        <v>10504.8</v>
      </c>
    </row>
    <row r="1802" spans="2:3" x14ac:dyDescent="0.25">
      <c r="B1802" s="116">
        <v>43103</v>
      </c>
      <c r="C1802" s="117">
        <v>10443.200000000001</v>
      </c>
    </row>
    <row r="1803" spans="2:3" x14ac:dyDescent="0.25">
      <c r="B1803" s="116">
        <v>43102</v>
      </c>
      <c r="C1803" s="117">
        <v>10442.200000000001</v>
      </c>
    </row>
    <row r="1804" spans="2:3" x14ac:dyDescent="0.25">
      <c r="B1804" s="116">
        <v>43101</v>
      </c>
      <c r="C1804" s="117">
        <v>10435.549999999999</v>
      </c>
    </row>
    <row r="1805" spans="2:3" x14ac:dyDescent="0.25">
      <c r="B1805" s="116">
        <v>43098</v>
      </c>
      <c r="C1805" s="117">
        <v>10530.7</v>
      </c>
    </row>
    <row r="1806" spans="2:3" x14ac:dyDescent="0.25">
      <c r="B1806" s="116">
        <v>43097</v>
      </c>
      <c r="C1806" s="117">
        <v>10477.9</v>
      </c>
    </row>
    <row r="1807" spans="2:3" x14ac:dyDescent="0.25">
      <c r="B1807" s="116">
        <v>43096</v>
      </c>
      <c r="C1807" s="117">
        <v>10490.75</v>
      </c>
    </row>
    <row r="1808" spans="2:3" x14ac:dyDescent="0.25">
      <c r="B1808" s="116">
        <v>43095</v>
      </c>
      <c r="C1808" s="117">
        <v>10531.5</v>
      </c>
    </row>
    <row r="1809" spans="2:3" x14ac:dyDescent="0.25">
      <c r="B1809" s="116">
        <v>43091</v>
      </c>
      <c r="C1809" s="117">
        <v>10493</v>
      </c>
    </row>
    <row r="1810" spans="2:3" x14ac:dyDescent="0.25">
      <c r="B1810" s="116">
        <v>43090</v>
      </c>
      <c r="C1810" s="117">
        <v>10440.299999999999</v>
      </c>
    </row>
    <row r="1811" spans="2:3" x14ac:dyDescent="0.25">
      <c r="B1811" s="116">
        <v>43089</v>
      </c>
      <c r="C1811" s="117">
        <v>10444.200000000001</v>
      </c>
    </row>
    <row r="1812" spans="2:3" x14ac:dyDescent="0.25">
      <c r="B1812" s="116">
        <v>43088</v>
      </c>
      <c r="C1812" s="117">
        <v>10463.200000000001</v>
      </c>
    </row>
    <row r="1813" spans="2:3" x14ac:dyDescent="0.25">
      <c r="B1813" s="116">
        <v>43087</v>
      </c>
      <c r="C1813" s="117">
        <v>10388.75</v>
      </c>
    </row>
    <row r="1814" spans="2:3" x14ac:dyDescent="0.25">
      <c r="B1814" s="116">
        <v>43084</v>
      </c>
      <c r="C1814" s="117">
        <v>10333.25</v>
      </c>
    </row>
    <row r="1815" spans="2:3" x14ac:dyDescent="0.25">
      <c r="B1815" s="116">
        <v>43083</v>
      </c>
      <c r="C1815" s="117">
        <v>10252.1</v>
      </c>
    </row>
    <row r="1816" spans="2:3" x14ac:dyDescent="0.25">
      <c r="B1816" s="116">
        <v>43082</v>
      </c>
      <c r="C1816" s="117">
        <v>10192.950000000001</v>
      </c>
    </row>
    <row r="1817" spans="2:3" x14ac:dyDescent="0.25">
      <c r="B1817" s="116">
        <v>43081</v>
      </c>
      <c r="C1817" s="117">
        <v>10240.15</v>
      </c>
    </row>
    <row r="1818" spans="2:3" x14ac:dyDescent="0.25">
      <c r="B1818" s="116">
        <v>43080</v>
      </c>
      <c r="C1818" s="117">
        <v>10322.25</v>
      </c>
    </row>
    <row r="1819" spans="2:3" x14ac:dyDescent="0.25">
      <c r="B1819" s="116">
        <v>43077</v>
      </c>
      <c r="C1819" s="117">
        <v>10265.65</v>
      </c>
    </row>
    <row r="1820" spans="2:3" x14ac:dyDescent="0.25">
      <c r="B1820" s="116">
        <v>43076</v>
      </c>
      <c r="C1820" s="117">
        <v>10166.700000000001</v>
      </c>
    </row>
    <row r="1821" spans="2:3" x14ac:dyDescent="0.25">
      <c r="B1821" s="116">
        <v>43075</v>
      </c>
      <c r="C1821" s="117">
        <v>10044.1</v>
      </c>
    </row>
    <row r="1822" spans="2:3" x14ac:dyDescent="0.25">
      <c r="B1822" s="116">
        <v>43074</v>
      </c>
      <c r="C1822" s="117">
        <v>10118.25</v>
      </c>
    </row>
    <row r="1823" spans="2:3" x14ac:dyDescent="0.25">
      <c r="B1823" s="116">
        <v>43073</v>
      </c>
      <c r="C1823" s="117">
        <v>10127.75</v>
      </c>
    </row>
    <row r="1824" spans="2:3" x14ac:dyDescent="0.25">
      <c r="B1824" s="116">
        <v>43070</v>
      </c>
      <c r="C1824" s="117">
        <v>10121.799999999999</v>
      </c>
    </row>
    <row r="1825" spans="2:3" x14ac:dyDescent="0.25">
      <c r="B1825" s="116">
        <v>43069</v>
      </c>
      <c r="C1825" s="117">
        <v>10226.549999999999</v>
      </c>
    </row>
    <row r="1826" spans="2:3" x14ac:dyDescent="0.25">
      <c r="B1826" s="116">
        <v>43068</v>
      </c>
      <c r="C1826" s="117">
        <v>10361.299999999999</v>
      </c>
    </row>
    <row r="1827" spans="2:3" x14ac:dyDescent="0.25">
      <c r="B1827" s="116">
        <v>43067</v>
      </c>
      <c r="C1827" s="117">
        <v>10370.25</v>
      </c>
    </row>
    <row r="1828" spans="2:3" x14ac:dyDescent="0.25">
      <c r="B1828" s="116">
        <v>43066</v>
      </c>
      <c r="C1828" s="117">
        <v>10399.549999999999</v>
      </c>
    </row>
    <row r="1829" spans="2:3" x14ac:dyDescent="0.25">
      <c r="B1829" s="116">
        <v>43063</v>
      </c>
      <c r="C1829" s="117">
        <v>10389.700000000001</v>
      </c>
    </row>
    <row r="1830" spans="2:3" x14ac:dyDescent="0.25">
      <c r="B1830" s="116">
        <v>43062</v>
      </c>
      <c r="C1830" s="117">
        <v>10348.75</v>
      </c>
    </row>
    <row r="1831" spans="2:3" x14ac:dyDescent="0.25">
      <c r="B1831" s="116">
        <v>43061</v>
      </c>
      <c r="C1831" s="117">
        <v>10342.299999999999</v>
      </c>
    </row>
    <row r="1832" spans="2:3" x14ac:dyDescent="0.25">
      <c r="B1832" s="116">
        <v>43060</v>
      </c>
      <c r="C1832" s="117">
        <v>10326.9</v>
      </c>
    </row>
    <row r="1833" spans="2:3" x14ac:dyDescent="0.25">
      <c r="B1833" s="116">
        <v>43059</v>
      </c>
      <c r="C1833" s="117">
        <v>10298.75</v>
      </c>
    </row>
    <row r="1834" spans="2:3" x14ac:dyDescent="0.25">
      <c r="B1834" s="116">
        <v>43056</v>
      </c>
      <c r="C1834" s="117">
        <v>10283.6</v>
      </c>
    </row>
    <row r="1835" spans="2:3" x14ac:dyDescent="0.25">
      <c r="B1835" s="116">
        <v>43055</v>
      </c>
      <c r="C1835" s="117">
        <v>10214.75</v>
      </c>
    </row>
    <row r="1836" spans="2:3" x14ac:dyDescent="0.25">
      <c r="B1836" s="116">
        <v>43054</v>
      </c>
      <c r="C1836" s="117">
        <v>10118.049999999999</v>
      </c>
    </row>
    <row r="1837" spans="2:3" x14ac:dyDescent="0.25">
      <c r="B1837" s="116">
        <v>43053</v>
      </c>
      <c r="C1837" s="117">
        <v>10186.6</v>
      </c>
    </row>
    <row r="1838" spans="2:3" x14ac:dyDescent="0.25">
      <c r="B1838" s="116">
        <v>43052</v>
      </c>
      <c r="C1838" s="117">
        <v>10224.950000000001</v>
      </c>
    </row>
    <row r="1839" spans="2:3" x14ac:dyDescent="0.25">
      <c r="B1839" s="116">
        <v>43049</v>
      </c>
      <c r="C1839" s="117">
        <v>10321.75</v>
      </c>
    </row>
    <row r="1840" spans="2:3" x14ac:dyDescent="0.25">
      <c r="B1840" s="116">
        <v>43048</v>
      </c>
      <c r="C1840" s="117">
        <v>10308.950000000001</v>
      </c>
    </row>
    <row r="1841" spans="2:3" x14ac:dyDescent="0.25">
      <c r="B1841" s="116">
        <v>43047</v>
      </c>
      <c r="C1841" s="117">
        <v>10303.15</v>
      </c>
    </row>
    <row r="1842" spans="2:3" x14ac:dyDescent="0.25">
      <c r="B1842" s="116">
        <v>43046</v>
      </c>
      <c r="C1842" s="117">
        <v>10350.15</v>
      </c>
    </row>
    <row r="1843" spans="2:3" x14ac:dyDescent="0.25">
      <c r="B1843" s="116">
        <v>43045</v>
      </c>
      <c r="C1843" s="117">
        <v>10451.799999999999</v>
      </c>
    </row>
    <row r="1844" spans="2:3" x14ac:dyDescent="0.25">
      <c r="B1844" s="116">
        <v>43042</v>
      </c>
      <c r="C1844" s="117">
        <v>10452.5</v>
      </c>
    </row>
    <row r="1845" spans="2:3" x14ac:dyDescent="0.25">
      <c r="B1845" s="116">
        <v>43041</v>
      </c>
      <c r="C1845" s="117">
        <v>10423.799999999999</v>
      </c>
    </row>
    <row r="1846" spans="2:3" x14ac:dyDescent="0.25">
      <c r="B1846" s="116">
        <v>43040</v>
      </c>
      <c r="C1846" s="117">
        <v>10440.5</v>
      </c>
    </row>
    <row r="1847" spans="2:3" x14ac:dyDescent="0.25">
      <c r="B1847" s="116">
        <v>43039</v>
      </c>
      <c r="C1847" s="117">
        <v>10335.299999999999</v>
      </c>
    </row>
    <row r="1848" spans="2:3" x14ac:dyDescent="0.25">
      <c r="B1848" s="116">
        <v>43038</v>
      </c>
      <c r="C1848" s="117">
        <v>10363.65</v>
      </c>
    </row>
    <row r="1849" spans="2:3" x14ac:dyDescent="0.25">
      <c r="B1849" s="116">
        <v>43035</v>
      </c>
      <c r="C1849" s="117">
        <v>10323.049999999999</v>
      </c>
    </row>
    <row r="1850" spans="2:3" x14ac:dyDescent="0.25">
      <c r="B1850" s="116">
        <v>43034</v>
      </c>
      <c r="C1850" s="117">
        <v>10343.799999999999</v>
      </c>
    </row>
    <row r="1851" spans="2:3" x14ac:dyDescent="0.25">
      <c r="B1851" s="116">
        <v>43033</v>
      </c>
      <c r="C1851" s="117">
        <v>10295.35</v>
      </c>
    </row>
    <row r="1852" spans="2:3" x14ac:dyDescent="0.25">
      <c r="B1852" s="116">
        <v>43032</v>
      </c>
      <c r="C1852" s="117">
        <v>10207.700000000001</v>
      </c>
    </row>
    <row r="1853" spans="2:3" x14ac:dyDescent="0.25">
      <c r="B1853" s="116">
        <v>43031</v>
      </c>
      <c r="C1853" s="117">
        <v>10184.85</v>
      </c>
    </row>
    <row r="1854" spans="2:3" x14ac:dyDescent="0.25">
      <c r="B1854" s="116">
        <v>43027</v>
      </c>
      <c r="C1854" s="117">
        <v>10146.549999999999</v>
      </c>
    </row>
    <row r="1855" spans="2:3" x14ac:dyDescent="0.25">
      <c r="B1855" s="116">
        <v>43026</v>
      </c>
      <c r="C1855" s="117">
        <v>10210.85</v>
      </c>
    </row>
    <row r="1856" spans="2:3" x14ac:dyDescent="0.25">
      <c r="B1856" s="116">
        <v>43025</v>
      </c>
      <c r="C1856" s="117">
        <v>10234.450000000001</v>
      </c>
    </row>
    <row r="1857" spans="2:3" x14ac:dyDescent="0.25">
      <c r="B1857" s="116">
        <v>43024</v>
      </c>
      <c r="C1857" s="117">
        <v>10230.85</v>
      </c>
    </row>
    <row r="1858" spans="2:3" x14ac:dyDescent="0.25">
      <c r="B1858" s="116">
        <v>43021</v>
      </c>
      <c r="C1858" s="117">
        <v>10167.450000000001</v>
      </c>
    </row>
    <row r="1859" spans="2:3" x14ac:dyDescent="0.25">
      <c r="B1859" s="116">
        <v>43020</v>
      </c>
      <c r="C1859" s="117">
        <v>10096.4</v>
      </c>
    </row>
    <row r="1860" spans="2:3" x14ac:dyDescent="0.25">
      <c r="B1860" s="116">
        <v>43019</v>
      </c>
      <c r="C1860" s="117">
        <v>9984.7999999999993</v>
      </c>
    </row>
    <row r="1861" spans="2:3" x14ac:dyDescent="0.25">
      <c r="B1861" s="116">
        <v>43018</v>
      </c>
      <c r="C1861" s="117">
        <v>10016.950000000001</v>
      </c>
    </row>
    <row r="1862" spans="2:3" x14ac:dyDescent="0.25">
      <c r="B1862" s="116">
        <v>43017</v>
      </c>
      <c r="C1862" s="117">
        <v>9988.75</v>
      </c>
    </row>
    <row r="1863" spans="2:3" x14ac:dyDescent="0.25">
      <c r="B1863" s="116">
        <v>43014</v>
      </c>
      <c r="C1863" s="117">
        <v>9979.7000000000007</v>
      </c>
    </row>
    <row r="1864" spans="2:3" x14ac:dyDescent="0.25">
      <c r="B1864" s="116">
        <v>43013</v>
      </c>
      <c r="C1864" s="117">
        <v>9888.7000000000007</v>
      </c>
    </row>
    <row r="1865" spans="2:3" x14ac:dyDescent="0.25">
      <c r="B1865" s="116">
        <v>43012</v>
      </c>
      <c r="C1865" s="117">
        <v>9914.9</v>
      </c>
    </row>
    <row r="1866" spans="2:3" x14ac:dyDescent="0.25">
      <c r="B1866" s="116">
        <v>43011</v>
      </c>
      <c r="C1866" s="117">
        <v>9859.5</v>
      </c>
    </row>
    <row r="1867" spans="2:3" x14ac:dyDescent="0.25">
      <c r="B1867" s="116">
        <v>43007</v>
      </c>
      <c r="C1867" s="117">
        <v>9788.6</v>
      </c>
    </row>
    <row r="1868" spans="2:3" x14ac:dyDescent="0.25">
      <c r="B1868" s="116">
        <v>43006</v>
      </c>
      <c r="C1868" s="117">
        <v>9768.9500000000007</v>
      </c>
    </row>
    <row r="1869" spans="2:3" x14ac:dyDescent="0.25">
      <c r="B1869" s="116">
        <v>43005</v>
      </c>
      <c r="C1869" s="117">
        <v>9735.75</v>
      </c>
    </row>
    <row r="1870" spans="2:3" x14ac:dyDescent="0.25">
      <c r="B1870" s="116">
        <v>43004</v>
      </c>
      <c r="C1870" s="117">
        <v>9871.5</v>
      </c>
    </row>
    <row r="1871" spans="2:3" x14ac:dyDescent="0.25">
      <c r="B1871" s="116">
        <v>43003</v>
      </c>
      <c r="C1871" s="117">
        <v>9872.6</v>
      </c>
    </row>
    <row r="1872" spans="2:3" x14ac:dyDescent="0.25">
      <c r="B1872" s="116">
        <v>43000</v>
      </c>
      <c r="C1872" s="117">
        <v>9964.4</v>
      </c>
    </row>
    <row r="1873" spans="2:3" x14ac:dyDescent="0.25">
      <c r="B1873" s="116">
        <v>42999</v>
      </c>
      <c r="C1873" s="117">
        <v>10121.9</v>
      </c>
    </row>
    <row r="1874" spans="2:3" x14ac:dyDescent="0.25">
      <c r="B1874" s="116">
        <v>42998</v>
      </c>
      <c r="C1874" s="117">
        <v>10141.15</v>
      </c>
    </row>
    <row r="1875" spans="2:3" x14ac:dyDescent="0.25">
      <c r="B1875" s="116">
        <v>42997</v>
      </c>
      <c r="C1875" s="117">
        <v>10147.549999999999</v>
      </c>
    </row>
    <row r="1876" spans="2:3" x14ac:dyDescent="0.25">
      <c r="B1876" s="116">
        <v>42996</v>
      </c>
      <c r="C1876" s="117">
        <v>10153.1</v>
      </c>
    </row>
    <row r="1877" spans="2:3" x14ac:dyDescent="0.25">
      <c r="B1877" s="116">
        <v>42993</v>
      </c>
      <c r="C1877" s="117">
        <v>10085.4</v>
      </c>
    </row>
    <row r="1878" spans="2:3" x14ac:dyDescent="0.25">
      <c r="B1878" s="116">
        <v>42992</v>
      </c>
      <c r="C1878" s="117">
        <v>10086.6</v>
      </c>
    </row>
    <row r="1879" spans="2:3" x14ac:dyDescent="0.25">
      <c r="B1879" s="116">
        <v>42991</v>
      </c>
      <c r="C1879" s="117">
        <v>10079.299999999999</v>
      </c>
    </row>
    <row r="1880" spans="2:3" x14ac:dyDescent="0.25">
      <c r="B1880" s="116">
        <v>42990</v>
      </c>
      <c r="C1880" s="117">
        <v>10093.049999999999</v>
      </c>
    </row>
    <row r="1881" spans="2:3" x14ac:dyDescent="0.25">
      <c r="B1881" s="116">
        <v>42989</v>
      </c>
      <c r="C1881" s="117">
        <v>10006.049999999999</v>
      </c>
    </row>
    <row r="1882" spans="2:3" x14ac:dyDescent="0.25">
      <c r="B1882" s="116">
        <v>42986</v>
      </c>
      <c r="C1882" s="117">
        <v>9934.7999999999993</v>
      </c>
    </row>
    <row r="1883" spans="2:3" x14ac:dyDescent="0.25">
      <c r="B1883" s="116">
        <v>42985</v>
      </c>
      <c r="C1883" s="117">
        <v>9929.9</v>
      </c>
    </row>
    <row r="1884" spans="2:3" x14ac:dyDescent="0.25">
      <c r="B1884" s="116">
        <v>42984</v>
      </c>
      <c r="C1884" s="117">
        <v>9916.2000000000007</v>
      </c>
    </row>
    <row r="1885" spans="2:3" x14ac:dyDescent="0.25">
      <c r="B1885" s="116">
        <v>42983</v>
      </c>
      <c r="C1885" s="117">
        <v>9952.2000000000007</v>
      </c>
    </row>
    <row r="1886" spans="2:3" x14ac:dyDescent="0.25">
      <c r="B1886" s="116">
        <v>42982</v>
      </c>
      <c r="C1886" s="117">
        <v>9912.85</v>
      </c>
    </row>
    <row r="1887" spans="2:3" x14ac:dyDescent="0.25">
      <c r="B1887" s="116">
        <v>42979</v>
      </c>
      <c r="C1887" s="117">
        <v>9974.4</v>
      </c>
    </row>
    <row r="1888" spans="2:3" x14ac:dyDescent="0.25">
      <c r="B1888" s="116">
        <v>42978</v>
      </c>
      <c r="C1888" s="117">
        <v>9917.9</v>
      </c>
    </row>
    <row r="1889" spans="2:3" x14ac:dyDescent="0.25">
      <c r="B1889" s="116">
        <v>42977</v>
      </c>
      <c r="C1889" s="117">
        <v>9884.4</v>
      </c>
    </row>
    <row r="1890" spans="2:3" x14ac:dyDescent="0.25">
      <c r="B1890" s="116">
        <v>42976</v>
      </c>
      <c r="C1890" s="117">
        <v>9796.0499999999993</v>
      </c>
    </row>
    <row r="1891" spans="2:3" x14ac:dyDescent="0.25">
      <c r="B1891" s="116">
        <v>42975</v>
      </c>
      <c r="C1891" s="117">
        <v>9912.7999999999993</v>
      </c>
    </row>
    <row r="1892" spans="2:3" x14ac:dyDescent="0.25">
      <c r="B1892" s="116">
        <v>42971</v>
      </c>
      <c r="C1892" s="117">
        <v>9857.0499999999993</v>
      </c>
    </row>
    <row r="1893" spans="2:3" x14ac:dyDescent="0.25">
      <c r="B1893" s="116">
        <v>42970</v>
      </c>
      <c r="C1893" s="117">
        <v>9852.5</v>
      </c>
    </row>
    <row r="1894" spans="2:3" x14ac:dyDescent="0.25">
      <c r="B1894" s="116">
        <v>42969</v>
      </c>
      <c r="C1894" s="117">
        <v>9765.5499999999993</v>
      </c>
    </row>
    <row r="1895" spans="2:3" x14ac:dyDescent="0.25">
      <c r="B1895" s="116">
        <v>42968</v>
      </c>
      <c r="C1895" s="117">
        <v>9754.35</v>
      </c>
    </row>
    <row r="1896" spans="2:3" x14ac:dyDescent="0.25">
      <c r="B1896" s="116">
        <v>42965</v>
      </c>
      <c r="C1896" s="117">
        <v>9837.4</v>
      </c>
    </row>
    <row r="1897" spans="2:3" x14ac:dyDescent="0.25">
      <c r="B1897" s="116">
        <v>42964</v>
      </c>
      <c r="C1897" s="117">
        <v>9904.15</v>
      </c>
    </row>
    <row r="1898" spans="2:3" x14ac:dyDescent="0.25">
      <c r="B1898" s="116">
        <v>42963</v>
      </c>
      <c r="C1898" s="117">
        <v>9897.2999999999993</v>
      </c>
    </row>
    <row r="1899" spans="2:3" x14ac:dyDescent="0.25">
      <c r="B1899" s="116">
        <v>42961</v>
      </c>
      <c r="C1899" s="117">
        <v>9794.15</v>
      </c>
    </row>
    <row r="1900" spans="2:3" x14ac:dyDescent="0.25">
      <c r="B1900" s="116">
        <v>42958</v>
      </c>
      <c r="C1900" s="117">
        <v>9710.7999999999993</v>
      </c>
    </row>
    <row r="1901" spans="2:3" x14ac:dyDescent="0.25">
      <c r="B1901" s="116">
        <v>42957</v>
      </c>
      <c r="C1901" s="117">
        <v>9820.25</v>
      </c>
    </row>
    <row r="1902" spans="2:3" x14ac:dyDescent="0.25">
      <c r="B1902" s="116">
        <v>42956</v>
      </c>
      <c r="C1902" s="117">
        <v>9908.0499999999993</v>
      </c>
    </row>
    <row r="1903" spans="2:3" x14ac:dyDescent="0.25">
      <c r="B1903" s="116">
        <v>42955</v>
      </c>
      <c r="C1903" s="117">
        <v>9978.5499999999993</v>
      </c>
    </row>
    <row r="1904" spans="2:3" x14ac:dyDescent="0.25">
      <c r="B1904" s="116">
        <v>42954</v>
      </c>
      <c r="C1904" s="117">
        <v>10057.4</v>
      </c>
    </row>
    <row r="1905" spans="2:3" x14ac:dyDescent="0.25">
      <c r="B1905" s="116">
        <v>42951</v>
      </c>
      <c r="C1905" s="117">
        <v>10066.4</v>
      </c>
    </row>
    <row r="1906" spans="2:3" x14ac:dyDescent="0.25">
      <c r="B1906" s="116">
        <v>42950</v>
      </c>
      <c r="C1906" s="117">
        <v>10013.65</v>
      </c>
    </row>
    <row r="1907" spans="2:3" x14ac:dyDescent="0.25">
      <c r="B1907" s="116">
        <v>42949</v>
      </c>
      <c r="C1907" s="117">
        <v>10081.5</v>
      </c>
    </row>
    <row r="1908" spans="2:3" x14ac:dyDescent="0.25">
      <c r="B1908" s="116">
        <v>42948</v>
      </c>
      <c r="C1908" s="117">
        <v>10114.65</v>
      </c>
    </row>
    <row r="1909" spans="2:3" x14ac:dyDescent="0.25">
      <c r="B1909" s="116">
        <v>42947</v>
      </c>
      <c r="C1909" s="117">
        <v>10077.1</v>
      </c>
    </row>
    <row r="1910" spans="2:3" x14ac:dyDescent="0.25">
      <c r="B1910" s="116">
        <v>42944</v>
      </c>
      <c r="C1910" s="117">
        <v>10014.5</v>
      </c>
    </row>
    <row r="1911" spans="2:3" x14ac:dyDescent="0.25">
      <c r="B1911" s="116">
        <v>42943</v>
      </c>
      <c r="C1911" s="117">
        <v>10020.549999999999</v>
      </c>
    </row>
    <row r="1912" spans="2:3" x14ac:dyDescent="0.25">
      <c r="B1912" s="116">
        <v>42942</v>
      </c>
      <c r="C1912" s="117">
        <v>10020.65</v>
      </c>
    </row>
    <row r="1913" spans="2:3" x14ac:dyDescent="0.25">
      <c r="B1913" s="116">
        <v>42941</v>
      </c>
      <c r="C1913" s="117">
        <v>9964.5499999999993</v>
      </c>
    </row>
    <row r="1914" spans="2:3" x14ac:dyDescent="0.25">
      <c r="B1914" s="116">
        <v>42940</v>
      </c>
      <c r="C1914" s="117">
        <v>9966.4</v>
      </c>
    </row>
    <row r="1915" spans="2:3" x14ac:dyDescent="0.25">
      <c r="B1915" s="116">
        <v>42937</v>
      </c>
      <c r="C1915" s="117">
        <v>9915.25</v>
      </c>
    </row>
    <row r="1916" spans="2:3" x14ac:dyDescent="0.25">
      <c r="B1916" s="116">
        <v>42936</v>
      </c>
      <c r="C1916" s="117">
        <v>9873.2999999999993</v>
      </c>
    </row>
    <row r="1917" spans="2:3" x14ac:dyDescent="0.25">
      <c r="B1917" s="116">
        <v>42935</v>
      </c>
      <c r="C1917" s="117">
        <v>9899.6</v>
      </c>
    </row>
    <row r="1918" spans="2:3" x14ac:dyDescent="0.25">
      <c r="B1918" s="116">
        <v>42934</v>
      </c>
      <c r="C1918" s="117">
        <v>9827.15</v>
      </c>
    </row>
    <row r="1919" spans="2:3" x14ac:dyDescent="0.25">
      <c r="B1919" s="116">
        <v>42933</v>
      </c>
      <c r="C1919" s="117">
        <v>9915.9500000000007</v>
      </c>
    </row>
    <row r="1920" spans="2:3" x14ac:dyDescent="0.25">
      <c r="B1920" s="116">
        <v>42930</v>
      </c>
      <c r="C1920" s="117">
        <v>9886.35</v>
      </c>
    </row>
    <row r="1921" spans="2:3" x14ac:dyDescent="0.25">
      <c r="B1921" s="116">
        <v>42929</v>
      </c>
      <c r="C1921" s="117">
        <v>9891.7000000000007</v>
      </c>
    </row>
    <row r="1922" spans="2:3" x14ac:dyDescent="0.25">
      <c r="B1922" s="116">
        <v>42928</v>
      </c>
      <c r="C1922" s="117">
        <v>9816.1</v>
      </c>
    </row>
    <row r="1923" spans="2:3" x14ac:dyDescent="0.25">
      <c r="B1923" s="116">
        <v>42927</v>
      </c>
      <c r="C1923" s="117">
        <v>9786.0499999999993</v>
      </c>
    </row>
    <row r="1924" spans="2:3" x14ac:dyDescent="0.25">
      <c r="B1924" s="116">
        <v>42926</v>
      </c>
      <c r="C1924" s="117">
        <v>9771.0499999999993</v>
      </c>
    </row>
    <row r="1925" spans="2:3" x14ac:dyDescent="0.25">
      <c r="B1925" s="116">
        <v>42923</v>
      </c>
      <c r="C1925" s="117">
        <v>9665.7999999999993</v>
      </c>
    </row>
    <row r="1926" spans="2:3" x14ac:dyDescent="0.25">
      <c r="B1926" s="116">
        <v>42922</v>
      </c>
      <c r="C1926" s="117">
        <v>9674.5499999999993</v>
      </c>
    </row>
    <row r="1927" spans="2:3" x14ac:dyDescent="0.25">
      <c r="B1927" s="116">
        <v>42921</v>
      </c>
      <c r="C1927" s="117">
        <v>9637.6</v>
      </c>
    </row>
    <row r="1928" spans="2:3" x14ac:dyDescent="0.25">
      <c r="B1928" s="116">
        <v>42920</v>
      </c>
      <c r="C1928" s="117">
        <v>9613.2999999999993</v>
      </c>
    </row>
    <row r="1929" spans="2:3" x14ac:dyDescent="0.25">
      <c r="B1929" s="116">
        <v>42919</v>
      </c>
      <c r="C1929" s="117">
        <v>9615</v>
      </c>
    </row>
    <row r="1930" spans="2:3" x14ac:dyDescent="0.25">
      <c r="B1930" s="116">
        <v>42916</v>
      </c>
      <c r="C1930" s="117">
        <v>9520.9</v>
      </c>
    </row>
    <row r="1931" spans="2:3" x14ac:dyDescent="0.25">
      <c r="B1931" s="116">
        <v>42915</v>
      </c>
      <c r="C1931" s="117">
        <v>9504.1</v>
      </c>
    </row>
    <row r="1932" spans="2:3" x14ac:dyDescent="0.25">
      <c r="B1932" s="116">
        <v>42914</v>
      </c>
      <c r="C1932" s="117">
        <v>9491.25</v>
      </c>
    </row>
    <row r="1933" spans="2:3" x14ac:dyDescent="0.25">
      <c r="B1933" s="116">
        <v>42913</v>
      </c>
      <c r="C1933" s="117">
        <v>9511.4</v>
      </c>
    </row>
    <row r="1934" spans="2:3" x14ac:dyDescent="0.25">
      <c r="B1934" s="116">
        <v>42909</v>
      </c>
      <c r="C1934" s="117">
        <v>9574.9500000000007</v>
      </c>
    </row>
    <row r="1935" spans="2:3" x14ac:dyDescent="0.25">
      <c r="B1935" s="116">
        <v>42908</v>
      </c>
      <c r="C1935" s="117">
        <v>9630</v>
      </c>
    </row>
    <row r="1936" spans="2:3" x14ac:dyDescent="0.25">
      <c r="B1936" s="116">
        <v>42907</v>
      </c>
      <c r="C1936" s="117">
        <v>9633.6</v>
      </c>
    </row>
    <row r="1937" spans="2:3" x14ac:dyDescent="0.25">
      <c r="B1937" s="116">
        <v>42906</v>
      </c>
      <c r="C1937" s="117">
        <v>9653.5</v>
      </c>
    </row>
    <row r="1938" spans="2:3" x14ac:dyDescent="0.25">
      <c r="B1938" s="116">
        <v>42905</v>
      </c>
      <c r="C1938" s="117">
        <v>9657.5499999999993</v>
      </c>
    </row>
    <row r="1939" spans="2:3" x14ac:dyDescent="0.25">
      <c r="B1939" s="116">
        <v>42902</v>
      </c>
      <c r="C1939" s="117">
        <v>9588.0499999999993</v>
      </c>
    </row>
    <row r="1940" spans="2:3" x14ac:dyDescent="0.25">
      <c r="B1940" s="116">
        <v>42901</v>
      </c>
      <c r="C1940" s="117">
        <v>9578.0499999999993</v>
      </c>
    </row>
    <row r="1941" spans="2:3" x14ac:dyDescent="0.25">
      <c r="B1941" s="116">
        <v>42900</v>
      </c>
      <c r="C1941" s="117">
        <v>9618.15</v>
      </c>
    </row>
    <row r="1942" spans="2:3" x14ac:dyDescent="0.25">
      <c r="B1942" s="116">
        <v>42899</v>
      </c>
      <c r="C1942" s="117">
        <v>9606.9</v>
      </c>
    </row>
    <row r="1943" spans="2:3" x14ac:dyDescent="0.25">
      <c r="B1943" s="116">
        <v>42898</v>
      </c>
      <c r="C1943" s="117">
        <v>9616.4</v>
      </c>
    </row>
    <row r="1944" spans="2:3" x14ac:dyDescent="0.25">
      <c r="B1944" s="116">
        <v>42895</v>
      </c>
      <c r="C1944" s="117">
        <v>9668.25</v>
      </c>
    </row>
    <row r="1945" spans="2:3" x14ac:dyDescent="0.25">
      <c r="B1945" s="116">
        <v>42894</v>
      </c>
      <c r="C1945" s="117">
        <v>9647.25</v>
      </c>
    </row>
    <row r="1946" spans="2:3" x14ac:dyDescent="0.25">
      <c r="B1946" s="116">
        <v>42893</v>
      </c>
      <c r="C1946" s="117">
        <v>9663.9</v>
      </c>
    </row>
    <row r="1947" spans="2:3" x14ac:dyDescent="0.25">
      <c r="B1947" s="116">
        <v>42892</v>
      </c>
      <c r="C1947" s="117">
        <v>9637.15</v>
      </c>
    </row>
    <row r="1948" spans="2:3" x14ac:dyDescent="0.25">
      <c r="B1948" s="116">
        <v>42891</v>
      </c>
      <c r="C1948" s="117">
        <v>9675.1</v>
      </c>
    </row>
    <row r="1949" spans="2:3" x14ac:dyDescent="0.25">
      <c r="B1949" s="116">
        <v>42888</v>
      </c>
      <c r="C1949" s="117">
        <v>9653.5</v>
      </c>
    </row>
    <row r="1950" spans="2:3" x14ac:dyDescent="0.25">
      <c r="B1950" s="116">
        <v>42887</v>
      </c>
      <c r="C1950" s="117">
        <v>9616.1</v>
      </c>
    </row>
    <row r="1951" spans="2:3" x14ac:dyDescent="0.25">
      <c r="B1951" s="116">
        <v>42886</v>
      </c>
      <c r="C1951" s="117">
        <v>9621.25</v>
      </c>
    </row>
    <row r="1952" spans="2:3" x14ac:dyDescent="0.25">
      <c r="B1952" s="116">
        <v>42885</v>
      </c>
      <c r="C1952" s="117">
        <v>9624.5499999999993</v>
      </c>
    </row>
    <row r="1953" spans="2:3" x14ac:dyDescent="0.25">
      <c r="B1953" s="116">
        <v>42884</v>
      </c>
      <c r="C1953" s="117">
        <v>9604.9</v>
      </c>
    </row>
    <row r="1954" spans="2:3" x14ac:dyDescent="0.25">
      <c r="B1954" s="116">
        <v>42881</v>
      </c>
      <c r="C1954" s="117">
        <v>9595.1</v>
      </c>
    </row>
    <row r="1955" spans="2:3" x14ac:dyDescent="0.25">
      <c r="B1955" s="116">
        <v>42880</v>
      </c>
      <c r="C1955" s="117">
        <v>9509.75</v>
      </c>
    </row>
    <row r="1956" spans="2:3" x14ac:dyDescent="0.25">
      <c r="B1956" s="116">
        <v>42879</v>
      </c>
      <c r="C1956" s="117">
        <v>9360.5499999999993</v>
      </c>
    </row>
    <row r="1957" spans="2:3" x14ac:dyDescent="0.25">
      <c r="B1957" s="116">
        <v>42878</v>
      </c>
      <c r="C1957" s="117">
        <v>9386.15</v>
      </c>
    </row>
    <row r="1958" spans="2:3" x14ac:dyDescent="0.25">
      <c r="B1958" s="116">
        <v>42877</v>
      </c>
      <c r="C1958" s="117">
        <v>9438.25</v>
      </c>
    </row>
    <row r="1959" spans="2:3" x14ac:dyDescent="0.25">
      <c r="B1959" s="116">
        <v>42874</v>
      </c>
      <c r="C1959" s="117">
        <v>9427.9</v>
      </c>
    </row>
    <row r="1960" spans="2:3" x14ac:dyDescent="0.25">
      <c r="B1960" s="116">
        <v>42873</v>
      </c>
      <c r="C1960" s="117">
        <v>9429.4500000000007</v>
      </c>
    </row>
    <row r="1961" spans="2:3" x14ac:dyDescent="0.25">
      <c r="B1961" s="116">
        <v>42872</v>
      </c>
      <c r="C1961" s="117">
        <v>9525.75</v>
      </c>
    </row>
    <row r="1962" spans="2:3" x14ac:dyDescent="0.25">
      <c r="B1962" s="116">
        <v>42871</v>
      </c>
      <c r="C1962" s="117">
        <v>9512.25</v>
      </c>
    </row>
    <row r="1963" spans="2:3" x14ac:dyDescent="0.25">
      <c r="B1963" s="116">
        <v>42870</v>
      </c>
      <c r="C1963" s="117">
        <v>9445.4</v>
      </c>
    </row>
    <row r="1964" spans="2:3" x14ac:dyDescent="0.25">
      <c r="B1964" s="116">
        <v>42867</v>
      </c>
      <c r="C1964" s="117">
        <v>9400.9</v>
      </c>
    </row>
    <row r="1965" spans="2:3" x14ac:dyDescent="0.25">
      <c r="B1965" s="116">
        <v>42866</v>
      </c>
      <c r="C1965" s="117">
        <v>9422.4</v>
      </c>
    </row>
    <row r="1966" spans="2:3" x14ac:dyDescent="0.25">
      <c r="B1966" s="116">
        <v>42865</v>
      </c>
      <c r="C1966" s="117">
        <v>9407.2999999999993</v>
      </c>
    </row>
    <row r="1967" spans="2:3" x14ac:dyDescent="0.25">
      <c r="B1967" s="116">
        <v>42864</v>
      </c>
      <c r="C1967" s="117">
        <v>9316.85</v>
      </c>
    </row>
    <row r="1968" spans="2:3" x14ac:dyDescent="0.25">
      <c r="B1968" s="116">
        <v>42863</v>
      </c>
      <c r="C1968" s="117">
        <v>9314.0499999999993</v>
      </c>
    </row>
    <row r="1969" spans="2:3" x14ac:dyDescent="0.25">
      <c r="B1969" s="116">
        <v>42860</v>
      </c>
      <c r="C1969" s="117">
        <v>9285.2999999999993</v>
      </c>
    </row>
    <row r="1970" spans="2:3" x14ac:dyDescent="0.25">
      <c r="B1970" s="116">
        <v>42859</v>
      </c>
      <c r="C1970" s="117">
        <v>9359.9</v>
      </c>
    </row>
    <row r="1971" spans="2:3" x14ac:dyDescent="0.25">
      <c r="B1971" s="116">
        <v>42858</v>
      </c>
      <c r="C1971" s="117">
        <v>9311.9500000000007</v>
      </c>
    </row>
    <row r="1972" spans="2:3" x14ac:dyDescent="0.25">
      <c r="B1972" s="116">
        <v>42857</v>
      </c>
      <c r="C1972" s="117">
        <v>9313.7999999999993</v>
      </c>
    </row>
    <row r="1973" spans="2:3" x14ac:dyDescent="0.25">
      <c r="B1973" s="116">
        <v>42853</v>
      </c>
      <c r="C1973" s="117">
        <v>9304.0499999999993</v>
      </c>
    </row>
    <row r="1974" spans="2:3" x14ac:dyDescent="0.25">
      <c r="B1974" s="116">
        <v>42852</v>
      </c>
      <c r="C1974" s="117">
        <v>9342.15</v>
      </c>
    </row>
    <row r="1975" spans="2:3" x14ac:dyDescent="0.25">
      <c r="B1975" s="116">
        <v>42851</v>
      </c>
      <c r="C1975" s="117">
        <v>9351.85</v>
      </c>
    </row>
    <row r="1976" spans="2:3" x14ac:dyDescent="0.25">
      <c r="B1976" s="116">
        <v>42850</v>
      </c>
      <c r="C1976" s="117">
        <v>9306.6</v>
      </c>
    </row>
    <row r="1977" spans="2:3" x14ac:dyDescent="0.25">
      <c r="B1977" s="116">
        <v>42849</v>
      </c>
      <c r="C1977" s="117">
        <v>9217.9500000000007</v>
      </c>
    </row>
    <row r="1978" spans="2:3" x14ac:dyDescent="0.25">
      <c r="B1978" s="116">
        <v>42846</v>
      </c>
      <c r="C1978" s="117">
        <v>9119.4</v>
      </c>
    </row>
    <row r="1979" spans="2:3" x14ac:dyDescent="0.25">
      <c r="B1979" s="116">
        <v>42845</v>
      </c>
      <c r="C1979" s="117">
        <v>9136.4</v>
      </c>
    </row>
    <row r="1980" spans="2:3" x14ac:dyDescent="0.25">
      <c r="B1980" s="116">
        <v>42844</v>
      </c>
      <c r="C1980" s="117">
        <v>9103.5</v>
      </c>
    </row>
    <row r="1981" spans="2:3" x14ac:dyDescent="0.25">
      <c r="B1981" s="116">
        <v>42843</v>
      </c>
      <c r="C1981" s="117">
        <v>9105.15</v>
      </c>
    </row>
    <row r="1982" spans="2:3" x14ac:dyDescent="0.25">
      <c r="B1982" s="116">
        <v>42842</v>
      </c>
      <c r="C1982" s="117">
        <v>9139.2999999999993</v>
      </c>
    </row>
    <row r="1983" spans="2:3" x14ac:dyDescent="0.25">
      <c r="B1983" s="116">
        <v>42838</v>
      </c>
      <c r="C1983" s="117">
        <v>9150.7999999999993</v>
      </c>
    </row>
    <row r="1984" spans="2:3" x14ac:dyDescent="0.25">
      <c r="B1984" s="116">
        <v>42837</v>
      </c>
      <c r="C1984" s="117">
        <v>9203.4500000000007</v>
      </c>
    </row>
    <row r="1985" spans="2:3" x14ac:dyDescent="0.25">
      <c r="B1985" s="116">
        <v>42836</v>
      </c>
      <c r="C1985" s="117">
        <v>9237</v>
      </c>
    </row>
    <row r="1986" spans="2:3" x14ac:dyDescent="0.25">
      <c r="B1986" s="116">
        <v>42835</v>
      </c>
      <c r="C1986" s="117">
        <v>9181.4500000000007</v>
      </c>
    </row>
    <row r="1987" spans="2:3" x14ac:dyDescent="0.25">
      <c r="B1987" s="116">
        <v>42832</v>
      </c>
      <c r="C1987" s="117">
        <v>9198.2999999999993</v>
      </c>
    </row>
    <row r="1988" spans="2:3" x14ac:dyDescent="0.25">
      <c r="B1988" s="116">
        <v>42831</v>
      </c>
      <c r="C1988" s="117">
        <v>9261.9500000000007</v>
      </c>
    </row>
    <row r="1989" spans="2:3" x14ac:dyDescent="0.25">
      <c r="B1989" s="116">
        <v>42830</v>
      </c>
      <c r="C1989" s="117">
        <v>9265.15</v>
      </c>
    </row>
    <row r="1990" spans="2:3" x14ac:dyDescent="0.25">
      <c r="B1990" s="116">
        <v>42828</v>
      </c>
      <c r="C1990" s="117">
        <v>9237.85</v>
      </c>
    </row>
    <row r="1991" spans="2:3" x14ac:dyDescent="0.25">
      <c r="B1991" s="116">
        <v>42825</v>
      </c>
      <c r="C1991" s="117">
        <v>9173.75</v>
      </c>
    </row>
    <row r="1992" spans="2:3" x14ac:dyDescent="0.25">
      <c r="B1992" s="116">
        <v>42824</v>
      </c>
      <c r="C1992" s="117">
        <v>9173.75</v>
      </c>
    </row>
    <row r="1993" spans="2:3" x14ac:dyDescent="0.25">
      <c r="B1993" s="116">
        <v>42823</v>
      </c>
      <c r="C1993" s="117">
        <v>9143.7999999999993</v>
      </c>
    </row>
    <row r="1994" spans="2:3" x14ac:dyDescent="0.25">
      <c r="B1994" s="116">
        <v>42822</v>
      </c>
      <c r="C1994" s="117">
        <v>9100.7999999999993</v>
      </c>
    </row>
    <row r="1995" spans="2:3" x14ac:dyDescent="0.25">
      <c r="B1995" s="116">
        <v>42821</v>
      </c>
      <c r="C1995" s="117">
        <v>9045.2000000000007</v>
      </c>
    </row>
    <row r="1996" spans="2:3" x14ac:dyDescent="0.25">
      <c r="B1996" s="116">
        <v>42818</v>
      </c>
      <c r="C1996" s="117">
        <v>9108</v>
      </c>
    </row>
    <row r="1997" spans="2:3" x14ac:dyDescent="0.25">
      <c r="B1997" s="116">
        <v>42817</v>
      </c>
      <c r="C1997" s="117">
        <v>9086.2999999999993</v>
      </c>
    </row>
    <row r="1998" spans="2:3" x14ac:dyDescent="0.25">
      <c r="B1998" s="116">
        <v>42816</v>
      </c>
      <c r="C1998" s="117">
        <v>9030.4500000000007</v>
      </c>
    </row>
    <row r="1999" spans="2:3" x14ac:dyDescent="0.25">
      <c r="B1999" s="116">
        <v>42815</v>
      </c>
      <c r="C1999" s="117">
        <v>9121.5</v>
      </c>
    </row>
    <row r="2000" spans="2:3" x14ac:dyDescent="0.25">
      <c r="B2000" s="116">
        <v>42814</v>
      </c>
      <c r="C2000" s="117">
        <v>9126.85</v>
      </c>
    </row>
    <row r="2001" spans="2:3" x14ac:dyDescent="0.25">
      <c r="B2001" s="116">
        <v>42811</v>
      </c>
      <c r="C2001" s="117">
        <v>9160.0499999999993</v>
      </c>
    </row>
    <row r="2002" spans="2:3" x14ac:dyDescent="0.25">
      <c r="B2002" s="116">
        <v>42810</v>
      </c>
      <c r="C2002" s="117">
        <v>9153.7000000000007</v>
      </c>
    </row>
    <row r="2003" spans="2:3" x14ac:dyDescent="0.25">
      <c r="B2003" s="116">
        <v>42809</v>
      </c>
      <c r="C2003" s="117">
        <v>9084.7999999999993</v>
      </c>
    </row>
    <row r="2004" spans="2:3" x14ac:dyDescent="0.25">
      <c r="B2004" s="116">
        <v>42808</v>
      </c>
      <c r="C2004" s="117">
        <v>9087</v>
      </c>
    </row>
    <row r="2005" spans="2:3" x14ac:dyDescent="0.25">
      <c r="B2005" s="116">
        <v>42804</v>
      </c>
      <c r="C2005" s="117">
        <v>8934.5499999999993</v>
      </c>
    </row>
    <row r="2006" spans="2:3" x14ac:dyDescent="0.25">
      <c r="B2006" s="116">
        <v>42803</v>
      </c>
      <c r="C2006" s="117">
        <v>8927</v>
      </c>
    </row>
    <row r="2007" spans="2:3" x14ac:dyDescent="0.25">
      <c r="B2007" s="116">
        <v>42802</v>
      </c>
      <c r="C2007" s="117">
        <v>8924.2999999999993</v>
      </c>
    </row>
    <row r="2008" spans="2:3" x14ac:dyDescent="0.25">
      <c r="B2008" s="116">
        <v>42801</v>
      </c>
      <c r="C2008" s="117">
        <v>8946.9</v>
      </c>
    </row>
    <row r="2009" spans="2:3" x14ac:dyDescent="0.25">
      <c r="B2009" s="116">
        <v>42800</v>
      </c>
      <c r="C2009" s="117">
        <v>8963.4500000000007</v>
      </c>
    </row>
    <row r="2010" spans="2:3" x14ac:dyDescent="0.25">
      <c r="B2010" s="116">
        <v>42797</v>
      </c>
      <c r="C2010" s="117">
        <v>8897.5499999999993</v>
      </c>
    </row>
    <row r="2011" spans="2:3" x14ac:dyDescent="0.25">
      <c r="B2011" s="116">
        <v>42796</v>
      </c>
      <c r="C2011" s="117">
        <v>8899.75</v>
      </c>
    </row>
    <row r="2012" spans="2:3" x14ac:dyDescent="0.25">
      <c r="B2012" s="116">
        <v>42795</v>
      </c>
      <c r="C2012" s="117">
        <v>8945.7999999999993</v>
      </c>
    </row>
    <row r="2013" spans="2:3" x14ac:dyDescent="0.25">
      <c r="B2013" s="116">
        <v>42794</v>
      </c>
      <c r="C2013" s="117">
        <v>8879.6</v>
      </c>
    </row>
    <row r="2014" spans="2:3" x14ac:dyDescent="0.25">
      <c r="B2014" s="116">
        <v>42793</v>
      </c>
      <c r="C2014" s="117">
        <v>8896.7000000000007</v>
      </c>
    </row>
    <row r="2015" spans="2:3" x14ac:dyDescent="0.25">
      <c r="B2015" s="116">
        <v>42789</v>
      </c>
      <c r="C2015" s="117">
        <v>8939.5</v>
      </c>
    </row>
    <row r="2016" spans="2:3" x14ac:dyDescent="0.25">
      <c r="B2016" s="116">
        <v>42788</v>
      </c>
      <c r="C2016" s="117">
        <v>8926.9</v>
      </c>
    </row>
    <row r="2017" spans="2:3" x14ac:dyDescent="0.25">
      <c r="B2017" s="116">
        <v>42787</v>
      </c>
      <c r="C2017" s="117">
        <v>8907.85</v>
      </c>
    </row>
    <row r="2018" spans="2:3" x14ac:dyDescent="0.25">
      <c r="B2018" s="116">
        <v>42786</v>
      </c>
      <c r="C2018" s="117">
        <v>8879.2000000000007</v>
      </c>
    </row>
    <row r="2019" spans="2:3" x14ac:dyDescent="0.25">
      <c r="B2019" s="116">
        <v>42783</v>
      </c>
      <c r="C2019" s="117">
        <v>8821.7000000000007</v>
      </c>
    </row>
    <row r="2020" spans="2:3" x14ac:dyDescent="0.25">
      <c r="B2020" s="116">
        <v>42782</v>
      </c>
      <c r="C2020" s="117">
        <v>8778</v>
      </c>
    </row>
    <row r="2021" spans="2:3" x14ac:dyDescent="0.25">
      <c r="B2021" s="116">
        <v>42781</v>
      </c>
      <c r="C2021" s="117">
        <v>8724.7000000000007</v>
      </c>
    </row>
    <row r="2022" spans="2:3" x14ac:dyDescent="0.25">
      <c r="B2022" s="116">
        <v>42780</v>
      </c>
      <c r="C2022" s="117">
        <v>8792.2999999999993</v>
      </c>
    </row>
    <row r="2023" spans="2:3" x14ac:dyDescent="0.25">
      <c r="B2023" s="116">
        <v>42779</v>
      </c>
      <c r="C2023" s="117">
        <v>8805.0499999999993</v>
      </c>
    </row>
    <row r="2024" spans="2:3" x14ac:dyDescent="0.25">
      <c r="B2024" s="116">
        <v>42776</v>
      </c>
      <c r="C2024" s="117">
        <v>8793.5499999999993</v>
      </c>
    </row>
    <row r="2025" spans="2:3" x14ac:dyDescent="0.25">
      <c r="B2025" s="116">
        <v>42775</v>
      </c>
      <c r="C2025" s="117">
        <v>8778.4</v>
      </c>
    </row>
    <row r="2026" spans="2:3" x14ac:dyDescent="0.25">
      <c r="B2026" s="116">
        <v>42774</v>
      </c>
      <c r="C2026" s="117">
        <v>8769.0499999999993</v>
      </c>
    </row>
    <row r="2027" spans="2:3" x14ac:dyDescent="0.25">
      <c r="B2027" s="116">
        <v>42773</v>
      </c>
      <c r="C2027" s="117">
        <v>8768.2999999999993</v>
      </c>
    </row>
    <row r="2028" spans="2:3" x14ac:dyDescent="0.25">
      <c r="B2028" s="116">
        <v>42772</v>
      </c>
      <c r="C2028" s="117">
        <v>8801.0499999999993</v>
      </c>
    </row>
    <row r="2029" spans="2:3" x14ac:dyDescent="0.25">
      <c r="B2029" s="116">
        <v>42769</v>
      </c>
      <c r="C2029" s="117">
        <v>8740.9500000000007</v>
      </c>
    </row>
    <row r="2030" spans="2:3" x14ac:dyDescent="0.25">
      <c r="B2030" s="116">
        <v>42768</v>
      </c>
      <c r="C2030" s="117">
        <v>8734.25</v>
      </c>
    </row>
    <row r="2031" spans="2:3" x14ac:dyDescent="0.25">
      <c r="B2031" s="116">
        <v>42767</v>
      </c>
      <c r="C2031" s="117">
        <v>8716.4</v>
      </c>
    </row>
    <row r="2032" spans="2:3" x14ac:dyDescent="0.25">
      <c r="B2032" s="116">
        <v>42766</v>
      </c>
      <c r="C2032" s="117">
        <v>8561.2999999999993</v>
      </c>
    </row>
    <row r="2033" spans="2:3" x14ac:dyDescent="0.25">
      <c r="B2033" s="116">
        <v>42765</v>
      </c>
      <c r="C2033" s="117">
        <v>8632.75</v>
      </c>
    </row>
    <row r="2034" spans="2:3" x14ac:dyDescent="0.25">
      <c r="B2034" s="116">
        <v>42762</v>
      </c>
      <c r="C2034" s="117">
        <v>8641.25</v>
      </c>
    </row>
    <row r="2035" spans="2:3" x14ac:dyDescent="0.25">
      <c r="B2035" s="116">
        <v>42760</v>
      </c>
      <c r="C2035" s="117">
        <v>8602.75</v>
      </c>
    </row>
    <row r="2036" spans="2:3" x14ac:dyDescent="0.25">
      <c r="B2036" s="116">
        <v>42759</v>
      </c>
      <c r="C2036" s="117">
        <v>8475.7999999999993</v>
      </c>
    </row>
    <row r="2037" spans="2:3" x14ac:dyDescent="0.25">
      <c r="B2037" s="116">
        <v>42758</v>
      </c>
      <c r="C2037" s="117">
        <v>8391.5</v>
      </c>
    </row>
    <row r="2038" spans="2:3" x14ac:dyDescent="0.25">
      <c r="B2038" s="116">
        <v>42755</v>
      </c>
      <c r="C2038" s="117">
        <v>8349.35</v>
      </c>
    </row>
    <row r="2039" spans="2:3" x14ac:dyDescent="0.25">
      <c r="B2039" s="116">
        <v>42754</v>
      </c>
      <c r="C2039" s="117">
        <v>8435.1</v>
      </c>
    </row>
    <row r="2040" spans="2:3" x14ac:dyDescent="0.25">
      <c r="B2040" s="116">
        <v>42753</v>
      </c>
      <c r="C2040" s="117">
        <v>8417</v>
      </c>
    </row>
    <row r="2041" spans="2:3" x14ac:dyDescent="0.25">
      <c r="B2041" s="116">
        <v>42752</v>
      </c>
      <c r="C2041" s="117">
        <v>8398</v>
      </c>
    </row>
    <row r="2042" spans="2:3" x14ac:dyDescent="0.25">
      <c r="B2042" s="116">
        <v>42751</v>
      </c>
      <c r="C2042" s="117">
        <v>8412.7999999999993</v>
      </c>
    </row>
    <row r="2043" spans="2:3" x14ac:dyDescent="0.25">
      <c r="B2043" s="116">
        <v>42748</v>
      </c>
      <c r="C2043" s="117">
        <v>8400.35</v>
      </c>
    </row>
    <row r="2044" spans="2:3" x14ac:dyDescent="0.25">
      <c r="B2044" s="116">
        <v>42747</v>
      </c>
      <c r="C2044" s="117">
        <v>8407.2000000000007</v>
      </c>
    </row>
    <row r="2045" spans="2:3" x14ac:dyDescent="0.25">
      <c r="B2045" s="116">
        <v>42746</v>
      </c>
      <c r="C2045" s="117">
        <v>8380.65</v>
      </c>
    </row>
    <row r="2046" spans="2:3" x14ac:dyDescent="0.25">
      <c r="B2046" s="116">
        <v>42745</v>
      </c>
      <c r="C2046" s="117">
        <v>8288.6</v>
      </c>
    </row>
    <row r="2047" spans="2:3" x14ac:dyDescent="0.25">
      <c r="B2047" s="116">
        <v>42744</v>
      </c>
      <c r="C2047" s="117">
        <v>8236.0499999999993</v>
      </c>
    </row>
    <row r="2048" spans="2:3" x14ac:dyDescent="0.25">
      <c r="B2048" s="116">
        <v>42741</v>
      </c>
      <c r="C2048" s="117">
        <v>8243.7999999999993</v>
      </c>
    </row>
    <row r="2049" spans="2:3" x14ac:dyDescent="0.25">
      <c r="B2049" s="116">
        <v>42740</v>
      </c>
      <c r="C2049" s="117">
        <v>8273.7999999999993</v>
      </c>
    </row>
    <row r="2050" spans="2:3" x14ac:dyDescent="0.25">
      <c r="B2050" s="116">
        <v>42739</v>
      </c>
      <c r="C2050" s="117">
        <v>8190.5</v>
      </c>
    </row>
    <row r="2051" spans="2:3" x14ac:dyDescent="0.25">
      <c r="B2051" s="116">
        <v>42738</v>
      </c>
      <c r="C2051" s="117">
        <v>8192.25</v>
      </c>
    </row>
    <row r="2052" spans="2:3" x14ac:dyDescent="0.25">
      <c r="B2052" s="116">
        <v>42737</v>
      </c>
      <c r="C2052" s="117">
        <v>8179.5</v>
      </c>
    </row>
    <row r="2053" spans="2:3" x14ac:dyDescent="0.25">
      <c r="B2053" s="116">
        <v>42734</v>
      </c>
      <c r="C2053" s="117">
        <v>8185.8</v>
      </c>
    </row>
    <row r="2054" spans="2:3" x14ac:dyDescent="0.25">
      <c r="B2054" s="116">
        <v>42733</v>
      </c>
      <c r="C2054" s="117">
        <v>8103.6</v>
      </c>
    </row>
    <row r="2055" spans="2:3" x14ac:dyDescent="0.25">
      <c r="B2055" s="116">
        <v>42732</v>
      </c>
      <c r="C2055" s="117">
        <v>8034.85</v>
      </c>
    </row>
    <row r="2056" spans="2:3" x14ac:dyDescent="0.25">
      <c r="B2056" s="116">
        <v>42731</v>
      </c>
      <c r="C2056" s="117">
        <v>8032.85</v>
      </c>
    </row>
    <row r="2057" spans="2:3" x14ac:dyDescent="0.25">
      <c r="B2057" s="116">
        <v>42730</v>
      </c>
      <c r="C2057" s="117">
        <v>7908.25</v>
      </c>
    </row>
    <row r="2058" spans="2:3" x14ac:dyDescent="0.25">
      <c r="B2058" s="116">
        <v>42727</v>
      </c>
      <c r="C2058" s="117">
        <v>7985.75</v>
      </c>
    </row>
    <row r="2059" spans="2:3" x14ac:dyDescent="0.25">
      <c r="B2059" s="116">
        <v>42726</v>
      </c>
      <c r="C2059" s="117">
        <v>7979.1</v>
      </c>
    </row>
    <row r="2060" spans="2:3" x14ac:dyDescent="0.25">
      <c r="B2060" s="116">
        <v>42725</v>
      </c>
      <c r="C2060" s="117">
        <v>8061.3</v>
      </c>
    </row>
    <row r="2061" spans="2:3" x14ac:dyDescent="0.25">
      <c r="B2061" s="116">
        <v>42724</v>
      </c>
      <c r="C2061" s="117">
        <v>8082.4</v>
      </c>
    </row>
    <row r="2062" spans="2:3" x14ac:dyDescent="0.25">
      <c r="B2062" s="116">
        <v>42723</v>
      </c>
      <c r="C2062" s="117">
        <v>8104.35</v>
      </c>
    </row>
    <row r="2063" spans="2:3" x14ac:dyDescent="0.25">
      <c r="B2063" s="116">
        <v>42720</v>
      </c>
      <c r="C2063" s="117">
        <v>8139.45</v>
      </c>
    </row>
    <row r="2064" spans="2:3" x14ac:dyDescent="0.25">
      <c r="B2064" s="116">
        <v>42719</v>
      </c>
      <c r="C2064" s="117">
        <v>8153.6</v>
      </c>
    </row>
    <row r="2065" spans="2:3" x14ac:dyDescent="0.25">
      <c r="B2065" s="116">
        <v>42718</v>
      </c>
      <c r="C2065" s="117">
        <v>8182.45</v>
      </c>
    </row>
    <row r="2066" spans="2:3" x14ac:dyDescent="0.25">
      <c r="B2066" s="116">
        <v>42717</v>
      </c>
      <c r="C2066" s="117">
        <v>8221.7999999999993</v>
      </c>
    </row>
    <row r="2067" spans="2:3" x14ac:dyDescent="0.25">
      <c r="B2067" s="116">
        <v>42716</v>
      </c>
      <c r="C2067" s="117">
        <v>8170.8</v>
      </c>
    </row>
    <row r="2068" spans="2:3" x14ac:dyDescent="0.25">
      <c r="B2068" s="116">
        <v>42713</v>
      </c>
      <c r="C2068" s="117">
        <v>8261.75</v>
      </c>
    </row>
    <row r="2069" spans="2:3" x14ac:dyDescent="0.25">
      <c r="B2069" s="116">
        <v>42712</v>
      </c>
      <c r="C2069" s="117">
        <v>8246.85</v>
      </c>
    </row>
    <row r="2070" spans="2:3" x14ac:dyDescent="0.25">
      <c r="B2070" s="116">
        <v>42711</v>
      </c>
      <c r="C2070" s="117">
        <v>8102.05</v>
      </c>
    </row>
    <row r="2071" spans="2:3" x14ac:dyDescent="0.25">
      <c r="B2071" s="116">
        <v>42710</v>
      </c>
      <c r="C2071" s="117">
        <v>8143.15</v>
      </c>
    </row>
    <row r="2072" spans="2:3" x14ac:dyDescent="0.25">
      <c r="B2072" s="116">
        <v>42709</v>
      </c>
      <c r="C2072" s="117">
        <v>8128.75</v>
      </c>
    </row>
    <row r="2073" spans="2:3" x14ac:dyDescent="0.25">
      <c r="B2073" s="116">
        <v>42706</v>
      </c>
      <c r="C2073" s="117">
        <v>8086.8</v>
      </c>
    </row>
    <row r="2074" spans="2:3" x14ac:dyDescent="0.25">
      <c r="B2074" s="116">
        <v>42705</v>
      </c>
      <c r="C2074" s="117">
        <v>8192.9</v>
      </c>
    </row>
    <row r="2075" spans="2:3" x14ac:dyDescent="0.25">
      <c r="B2075" s="116">
        <v>42704</v>
      </c>
      <c r="C2075" s="117">
        <v>8224.5</v>
      </c>
    </row>
    <row r="2076" spans="2:3" x14ac:dyDescent="0.25">
      <c r="B2076" s="116">
        <v>42703</v>
      </c>
      <c r="C2076" s="117">
        <v>8142.15</v>
      </c>
    </row>
    <row r="2077" spans="2:3" x14ac:dyDescent="0.25">
      <c r="B2077" s="116">
        <v>42702</v>
      </c>
      <c r="C2077" s="117">
        <v>8126.9</v>
      </c>
    </row>
    <row r="2078" spans="2:3" x14ac:dyDescent="0.25">
      <c r="B2078" s="116">
        <v>42699</v>
      </c>
      <c r="C2078" s="117">
        <v>8114.3</v>
      </c>
    </row>
    <row r="2079" spans="2:3" x14ac:dyDescent="0.25">
      <c r="B2079" s="116">
        <v>42698</v>
      </c>
      <c r="C2079" s="117">
        <v>7965.5</v>
      </c>
    </row>
    <row r="2080" spans="2:3" x14ac:dyDescent="0.25">
      <c r="B2080" s="116">
        <v>42697</v>
      </c>
      <c r="C2080" s="117">
        <v>8033.3</v>
      </c>
    </row>
    <row r="2081" spans="2:3" x14ac:dyDescent="0.25">
      <c r="B2081" s="116">
        <v>42696</v>
      </c>
      <c r="C2081" s="117">
        <v>8002.3</v>
      </c>
    </row>
    <row r="2082" spans="2:3" x14ac:dyDescent="0.25">
      <c r="B2082" s="116">
        <v>42695</v>
      </c>
      <c r="C2082" s="117">
        <v>7929.1</v>
      </c>
    </row>
    <row r="2083" spans="2:3" x14ac:dyDescent="0.25">
      <c r="B2083" s="116">
        <v>42692</v>
      </c>
      <c r="C2083" s="117">
        <v>8074.1</v>
      </c>
    </row>
    <row r="2084" spans="2:3" x14ac:dyDescent="0.25">
      <c r="B2084" s="116">
        <v>42691</v>
      </c>
      <c r="C2084" s="117">
        <v>8079.95</v>
      </c>
    </row>
    <row r="2085" spans="2:3" x14ac:dyDescent="0.25">
      <c r="B2085" s="116">
        <v>42690</v>
      </c>
      <c r="C2085" s="117">
        <v>8111.6</v>
      </c>
    </row>
    <row r="2086" spans="2:3" x14ac:dyDescent="0.25">
      <c r="B2086" s="116">
        <v>42689</v>
      </c>
      <c r="C2086" s="117">
        <v>8108.45</v>
      </c>
    </row>
    <row r="2087" spans="2:3" x14ac:dyDescent="0.25">
      <c r="B2087" s="116">
        <v>42685</v>
      </c>
      <c r="C2087" s="117">
        <v>8296.2999999999993</v>
      </c>
    </row>
    <row r="2088" spans="2:3" x14ac:dyDescent="0.25">
      <c r="B2088" s="116">
        <v>42684</v>
      </c>
      <c r="C2088" s="117">
        <v>8525.75</v>
      </c>
    </row>
    <row r="2089" spans="2:3" x14ac:dyDescent="0.25">
      <c r="B2089" s="116">
        <v>42683</v>
      </c>
      <c r="C2089" s="117">
        <v>8432</v>
      </c>
    </row>
    <row r="2090" spans="2:3" x14ac:dyDescent="0.25">
      <c r="B2090" s="116">
        <v>42682</v>
      </c>
      <c r="C2090" s="117">
        <v>8543.5499999999993</v>
      </c>
    </row>
    <row r="2091" spans="2:3" x14ac:dyDescent="0.25">
      <c r="B2091" s="116">
        <v>42681</v>
      </c>
      <c r="C2091" s="117">
        <v>8497.0499999999993</v>
      </c>
    </row>
    <row r="2092" spans="2:3" x14ac:dyDescent="0.25">
      <c r="B2092" s="116">
        <v>42678</v>
      </c>
      <c r="C2092" s="117">
        <v>8433.75</v>
      </c>
    </row>
    <row r="2093" spans="2:3" x14ac:dyDescent="0.25">
      <c r="B2093" s="116">
        <v>42677</v>
      </c>
      <c r="C2093" s="117">
        <v>8484.9500000000007</v>
      </c>
    </row>
    <row r="2094" spans="2:3" x14ac:dyDescent="0.25">
      <c r="B2094" s="116">
        <v>42676</v>
      </c>
      <c r="C2094" s="117">
        <v>8514</v>
      </c>
    </row>
    <row r="2095" spans="2:3" x14ac:dyDescent="0.25">
      <c r="B2095" s="116">
        <v>42675</v>
      </c>
      <c r="C2095" s="117">
        <v>8626.25</v>
      </c>
    </row>
    <row r="2096" spans="2:3" x14ac:dyDescent="0.25">
      <c r="B2096" s="116">
        <v>42673</v>
      </c>
      <c r="C2096" s="117">
        <v>8625.7000000000007</v>
      </c>
    </row>
    <row r="2097" spans="2:3" x14ac:dyDescent="0.25">
      <c r="B2097" s="116">
        <v>42671</v>
      </c>
      <c r="C2097" s="117">
        <v>8638</v>
      </c>
    </row>
    <row r="2098" spans="2:3" x14ac:dyDescent="0.25">
      <c r="B2098" s="116">
        <v>42670</v>
      </c>
      <c r="C2098" s="117">
        <v>8615.25</v>
      </c>
    </row>
    <row r="2099" spans="2:3" x14ac:dyDescent="0.25">
      <c r="B2099" s="116">
        <v>42669</v>
      </c>
      <c r="C2099" s="117">
        <v>8615.25</v>
      </c>
    </row>
    <row r="2100" spans="2:3" x14ac:dyDescent="0.25">
      <c r="B2100" s="116">
        <v>42668</v>
      </c>
      <c r="C2100" s="117">
        <v>8691.2999999999993</v>
      </c>
    </row>
    <row r="2101" spans="2:3" x14ac:dyDescent="0.25">
      <c r="B2101" s="116">
        <v>42667</v>
      </c>
      <c r="C2101" s="117">
        <v>8708.9500000000007</v>
      </c>
    </row>
    <row r="2102" spans="2:3" x14ac:dyDescent="0.25">
      <c r="B2102" s="116">
        <v>42664</v>
      </c>
      <c r="C2102" s="117">
        <v>8693.0499999999993</v>
      </c>
    </row>
    <row r="2103" spans="2:3" x14ac:dyDescent="0.25">
      <c r="B2103" s="116">
        <v>42663</v>
      </c>
      <c r="C2103" s="117">
        <v>8699.4</v>
      </c>
    </row>
    <row r="2104" spans="2:3" x14ac:dyDescent="0.25">
      <c r="B2104" s="116">
        <v>42662</v>
      </c>
      <c r="C2104" s="117">
        <v>8659.1</v>
      </c>
    </row>
    <row r="2105" spans="2:3" x14ac:dyDescent="0.25">
      <c r="B2105" s="116">
        <v>42661</v>
      </c>
      <c r="C2105" s="117">
        <v>8677.9</v>
      </c>
    </row>
    <row r="2106" spans="2:3" x14ac:dyDescent="0.25">
      <c r="B2106" s="116">
        <v>42660</v>
      </c>
      <c r="C2106" s="117">
        <v>8520.4</v>
      </c>
    </row>
    <row r="2107" spans="2:3" x14ac:dyDescent="0.25">
      <c r="B2107" s="116">
        <v>42657</v>
      </c>
      <c r="C2107" s="117">
        <v>8583.4</v>
      </c>
    </row>
    <row r="2108" spans="2:3" x14ac:dyDescent="0.25">
      <c r="B2108" s="116">
        <v>42656</v>
      </c>
      <c r="C2108" s="117">
        <v>8573.35</v>
      </c>
    </row>
    <row r="2109" spans="2:3" x14ac:dyDescent="0.25">
      <c r="B2109" s="116">
        <v>42653</v>
      </c>
      <c r="C2109" s="117">
        <v>8708.7999999999993</v>
      </c>
    </row>
    <row r="2110" spans="2:3" x14ac:dyDescent="0.25">
      <c r="B2110" s="116">
        <v>42650</v>
      </c>
      <c r="C2110" s="117">
        <v>8697.6</v>
      </c>
    </row>
    <row r="2111" spans="2:3" x14ac:dyDescent="0.25">
      <c r="B2111" s="116">
        <v>42649</v>
      </c>
      <c r="C2111" s="117">
        <v>8709.5499999999993</v>
      </c>
    </row>
    <row r="2112" spans="2:3" x14ac:dyDescent="0.25">
      <c r="B2112" s="116">
        <v>42648</v>
      </c>
      <c r="C2112" s="117">
        <v>8743.9500000000007</v>
      </c>
    </row>
    <row r="2113" spans="2:3" x14ac:dyDescent="0.25">
      <c r="B2113" s="116">
        <v>42647</v>
      </c>
      <c r="C2113" s="117">
        <v>8769.15</v>
      </c>
    </row>
    <row r="2114" spans="2:3" x14ac:dyDescent="0.25">
      <c r="B2114" s="116">
        <v>42646</v>
      </c>
      <c r="C2114" s="117">
        <v>8738.1</v>
      </c>
    </row>
    <row r="2115" spans="2:3" x14ac:dyDescent="0.25">
      <c r="B2115" s="116">
        <v>42643</v>
      </c>
      <c r="C2115" s="117">
        <v>8611.15</v>
      </c>
    </row>
    <row r="2116" spans="2:3" x14ac:dyDescent="0.25">
      <c r="B2116" s="116">
        <v>42642</v>
      </c>
      <c r="C2116" s="117">
        <v>8591.25</v>
      </c>
    </row>
    <row r="2117" spans="2:3" x14ac:dyDescent="0.25">
      <c r="B2117" s="116">
        <v>42641</v>
      </c>
      <c r="C2117" s="117">
        <v>8745.15</v>
      </c>
    </row>
    <row r="2118" spans="2:3" x14ac:dyDescent="0.25">
      <c r="B2118" s="116">
        <v>42640</v>
      </c>
      <c r="C2118" s="117">
        <v>8706.4</v>
      </c>
    </row>
    <row r="2119" spans="2:3" x14ac:dyDescent="0.25">
      <c r="B2119" s="116">
        <v>42639</v>
      </c>
      <c r="C2119" s="117">
        <v>8723.0499999999993</v>
      </c>
    </row>
    <row r="2120" spans="2:3" x14ac:dyDescent="0.25">
      <c r="B2120" s="116">
        <v>42636</v>
      </c>
      <c r="C2120" s="117">
        <v>8831.5499999999993</v>
      </c>
    </row>
    <row r="2121" spans="2:3" x14ac:dyDescent="0.25">
      <c r="B2121" s="116">
        <v>42635</v>
      </c>
      <c r="C2121" s="117">
        <v>8867.4500000000007</v>
      </c>
    </row>
    <row r="2122" spans="2:3" x14ac:dyDescent="0.25">
      <c r="B2122" s="116">
        <v>42634</v>
      </c>
      <c r="C2122" s="117">
        <v>8777.15</v>
      </c>
    </row>
    <row r="2123" spans="2:3" x14ac:dyDescent="0.25">
      <c r="B2123" s="116">
        <v>42633</v>
      </c>
      <c r="C2123" s="117">
        <v>8775.9</v>
      </c>
    </row>
    <row r="2124" spans="2:3" x14ac:dyDescent="0.25">
      <c r="B2124" s="116">
        <v>42632</v>
      </c>
      <c r="C2124" s="117">
        <v>8808.4</v>
      </c>
    </row>
    <row r="2125" spans="2:3" x14ac:dyDescent="0.25">
      <c r="B2125" s="116">
        <v>42629</v>
      </c>
      <c r="C2125" s="117">
        <v>8779.85</v>
      </c>
    </row>
    <row r="2126" spans="2:3" x14ac:dyDescent="0.25">
      <c r="B2126" s="116">
        <v>42628</v>
      </c>
      <c r="C2126" s="117">
        <v>8742.5499999999993</v>
      </c>
    </row>
    <row r="2127" spans="2:3" x14ac:dyDescent="0.25">
      <c r="B2127" s="116">
        <v>42627</v>
      </c>
      <c r="C2127" s="117">
        <v>8726.6</v>
      </c>
    </row>
    <row r="2128" spans="2:3" x14ac:dyDescent="0.25">
      <c r="B2128" s="116">
        <v>42625</v>
      </c>
      <c r="C2128" s="117">
        <v>8715.6</v>
      </c>
    </row>
    <row r="2129" spans="2:3" x14ac:dyDescent="0.25">
      <c r="B2129" s="116">
        <v>42622</v>
      </c>
      <c r="C2129" s="117">
        <v>8866.7000000000007</v>
      </c>
    </row>
    <row r="2130" spans="2:3" x14ac:dyDescent="0.25">
      <c r="B2130" s="116">
        <v>42621</v>
      </c>
      <c r="C2130" s="117">
        <v>8952.5</v>
      </c>
    </row>
    <row r="2131" spans="2:3" x14ac:dyDescent="0.25">
      <c r="B2131" s="116">
        <v>42620</v>
      </c>
      <c r="C2131" s="117">
        <v>8917.9500000000007</v>
      </c>
    </row>
    <row r="2132" spans="2:3" x14ac:dyDescent="0.25">
      <c r="B2132" s="116">
        <v>42619</v>
      </c>
      <c r="C2132" s="117">
        <v>8943</v>
      </c>
    </row>
    <row r="2133" spans="2:3" x14ac:dyDescent="0.25">
      <c r="B2133" s="116">
        <v>42615</v>
      </c>
      <c r="C2133" s="117">
        <v>8809.65</v>
      </c>
    </row>
    <row r="2134" spans="2:3" x14ac:dyDescent="0.25">
      <c r="B2134" s="116">
        <v>42614</v>
      </c>
      <c r="C2134" s="117">
        <v>8774.65</v>
      </c>
    </row>
    <row r="2135" spans="2:3" x14ac:dyDescent="0.25">
      <c r="B2135" s="116">
        <v>42613</v>
      </c>
      <c r="C2135" s="117">
        <v>8786.2000000000007</v>
      </c>
    </row>
    <row r="2136" spans="2:3" x14ac:dyDescent="0.25">
      <c r="B2136" s="116">
        <v>42612</v>
      </c>
      <c r="C2136" s="117">
        <v>8744.35</v>
      </c>
    </row>
    <row r="2137" spans="2:3" x14ac:dyDescent="0.25">
      <c r="B2137" s="116">
        <v>42611</v>
      </c>
      <c r="C2137" s="117">
        <v>8607.4500000000007</v>
      </c>
    </row>
    <row r="2138" spans="2:3" x14ac:dyDescent="0.25">
      <c r="B2138" s="116">
        <v>42608</v>
      </c>
      <c r="C2138" s="117">
        <v>8572.5499999999993</v>
      </c>
    </row>
    <row r="2139" spans="2:3" x14ac:dyDescent="0.25">
      <c r="B2139" s="116">
        <v>42607</v>
      </c>
      <c r="C2139" s="117">
        <v>8592.2000000000007</v>
      </c>
    </row>
    <row r="2140" spans="2:3" x14ac:dyDescent="0.25">
      <c r="B2140" s="116">
        <v>42606</v>
      </c>
      <c r="C2140" s="117">
        <v>8650.2999999999993</v>
      </c>
    </row>
    <row r="2141" spans="2:3" x14ac:dyDescent="0.25">
      <c r="B2141" s="116">
        <v>42605</v>
      </c>
      <c r="C2141" s="117">
        <v>8632.6</v>
      </c>
    </row>
    <row r="2142" spans="2:3" x14ac:dyDescent="0.25">
      <c r="B2142" s="116">
        <v>42604</v>
      </c>
      <c r="C2142" s="117">
        <v>8629.15</v>
      </c>
    </row>
    <row r="2143" spans="2:3" x14ac:dyDescent="0.25">
      <c r="B2143" s="116">
        <v>42601</v>
      </c>
      <c r="C2143" s="117">
        <v>8666.9</v>
      </c>
    </row>
    <row r="2144" spans="2:3" x14ac:dyDescent="0.25">
      <c r="B2144" s="116">
        <v>42600</v>
      </c>
      <c r="C2144" s="117">
        <v>8673.25</v>
      </c>
    </row>
    <row r="2145" spans="2:3" x14ac:dyDescent="0.25">
      <c r="B2145" s="116">
        <v>42599</v>
      </c>
      <c r="C2145" s="117">
        <v>8624.0499999999993</v>
      </c>
    </row>
    <row r="2146" spans="2:3" x14ac:dyDescent="0.25">
      <c r="B2146" s="116">
        <v>42598</v>
      </c>
      <c r="C2146" s="117">
        <v>8642.5499999999993</v>
      </c>
    </row>
    <row r="2147" spans="2:3" x14ac:dyDescent="0.25">
      <c r="B2147" s="116">
        <v>42594</v>
      </c>
      <c r="C2147" s="117">
        <v>8672.15</v>
      </c>
    </row>
    <row r="2148" spans="2:3" x14ac:dyDescent="0.25">
      <c r="B2148" s="116">
        <v>42593</v>
      </c>
      <c r="C2148" s="117">
        <v>8592.15</v>
      </c>
    </row>
    <row r="2149" spans="2:3" x14ac:dyDescent="0.25">
      <c r="B2149" s="116">
        <v>42592</v>
      </c>
      <c r="C2149" s="117">
        <v>8575.2999999999993</v>
      </c>
    </row>
    <row r="2150" spans="2:3" x14ac:dyDescent="0.25">
      <c r="B2150" s="116">
        <v>42591</v>
      </c>
      <c r="C2150" s="117">
        <v>8678.25</v>
      </c>
    </row>
    <row r="2151" spans="2:3" x14ac:dyDescent="0.25">
      <c r="B2151" s="116">
        <v>42590</v>
      </c>
      <c r="C2151" s="117">
        <v>8711.35</v>
      </c>
    </row>
    <row r="2152" spans="2:3" x14ac:dyDescent="0.25">
      <c r="B2152" s="116">
        <v>42587</v>
      </c>
      <c r="C2152" s="117">
        <v>8683.15</v>
      </c>
    </row>
    <row r="2153" spans="2:3" x14ac:dyDescent="0.25">
      <c r="B2153" s="116">
        <v>42586</v>
      </c>
      <c r="C2153" s="117">
        <v>8551.1</v>
      </c>
    </row>
    <row r="2154" spans="2:3" x14ac:dyDescent="0.25">
      <c r="B2154" s="116">
        <v>42585</v>
      </c>
      <c r="C2154" s="117">
        <v>8544.85</v>
      </c>
    </row>
    <row r="2155" spans="2:3" x14ac:dyDescent="0.25">
      <c r="B2155" s="116">
        <v>42584</v>
      </c>
      <c r="C2155" s="117">
        <v>8622.9</v>
      </c>
    </row>
    <row r="2156" spans="2:3" x14ac:dyDescent="0.25">
      <c r="B2156" s="116">
        <v>42583</v>
      </c>
      <c r="C2156" s="117">
        <v>8636.5499999999993</v>
      </c>
    </row>
    <row r="2157" spans="2:3" x14ac:dyDescent="0.25">
      <c r="B2157" s="116">
        <v>42580</v>
      </c>
      <c r="C2157" s="117">
        <v>8638.5</v>
      </c>
    </row>
    <row r="2158" spans="2:3" x14ac:dyDescent="0.25">
      <c r="B2158" s="116">
        <v>42579</v>
      </c>
      <c r="C2158" s="117">
        <v>8666.2999999999993</v>
      </c>
    </row>
    <row r="2159" spans="2:3" x14ac:dyDescent="0.25">
      <c r="B2159" s="116">
        <v>42578</v>
      </c>
      <c r="C2159" s="117">
        <v>8615.7999999999993</v>
      </c>
    </row>
    <row r="2160" spans="2:3" x14ac:dyDescent="0.25">
      <c r="B2160" s="116">
        <v>42577</v>
      </c>
      <c r="C2160" s="117">
        <v>8590.65</v>
      </c>
    </row>
    <row r="2161" spans="2:3" x14ac:dyDescent="0.25">
      <c r="B2161" s="116">
        <v>42576</v>
      </c>
      <c r="C2161" s="117">
        <v>8635.65</v>
      </c>
    </row>
    <row r="2162" spans="2:3" x14ac:dyDescent="0.25">
      <c r="B2162" s="116">
        <v>42573</v>
      </c>
      <c r="C2162" s="117">
        <v>8541.2000000000007</v>
      </c>
    </row>
    <row r="2163" spans="2:3" x14ac:dyDescent="0.25">
      <c r="B2163" s="116">
        <v>42572</v>
      </c>
      <c r="C2163" s="117">
        <v>8510.1</v>
      </c>
    </row>
    <row r="2164" spans="2:3" x14ac:dyDescent="0.25">
      <c r="B2164" s="116">
        <v>42571</v>
      </c>
      <c r="C2164" s="117">
        <v>8565.85</v>
      </c>
    </row>
    <row r="2165" spans="2:3" x14ac:dyDescent="0.25">
      <c r="B2165" s="116">
        <v>42570</v>
      </c>
      <c r="C2165" s="117">
        <v>8528.5499999999993</v>
      </c>
    </row>
    <row r="2166" spans="2:3" x14ac:dyDescent="0.25">
      <c r="B2166" s="116">
        <v>42569</v>
      </c>
      <c r="C2166" s="117">
        <v>8508.7000000000007</v>
      </c>
    </row>
    <row r="2167" spans="2:3" x14ac:dyDescent="0.25">
      <c r="B2167" s="116">
        <v>42566</v>
      </c>
      <c r="C2167" s="117">
        <v>8541.4</v>
      </c>
    </row>
    <row r="2168" spans="2:3" x14ac:dyDescent="0.25">
      <c r="B2168" s="116">
        <v>42565</v>
      </c>
      <c r="C2168" s="117">
        <v>8565</v>
      </c>
    </row>
    <row r="2169" spans="2:3" x14ac:dyDescent="0.25">
      <c r="B2169" s="116">
        <v>42564</v>
      </c>
      <c r="C2169" s="117">
        <v>8519.5</v>
      </c>
    </row>
    <row r="2170" spans="2:3" x14ac:dyDescent="0.25">
      <c r="B2170" s="116">
        <v>42563</v>
      </c>
      <c r="C2170" s="117">
        <v>8521.0499999999993</v>
      </c>
    </row>
    <row r="2171" spans="2:3" x14ac:dyDescent="0.25">
      <c r="B2171" s="116">
        <v>42562</v>
      </c>
      <c r="C2171" s="117">
        <v>8467.9</v>
      </c>
    </row>
    <row r="2172" spans="2:3" x14ac:dyDescent="0.25">
      <c r="B2172" s="116">
        <v>42559</v>
      </c>
      <c r="C2172" s="117">
        <v>8323.2000000000007</v>
      </c>
    </row>
    <row r="2173" spans="2:3" x14ac:dyDescent="0.25">
      <c r="B2173" s="116">
        <v>42558</v>
      </c>
      <c r="C2173" s="117">
        <v>8337.9</v>
      </c>
    </row>
    <row r="2174" spans="2:3" x14ac:dyDescent="0.25">
      <c r="B2174" s="116">
        <v>42556</v>
      </c>
      <c r="C2174" s="117">
        <v>8335.9500000000007</v>
      </c>
    </row>
    <row r="2175" spans="2:3" x14ac:dyDescent="0.25">
      <c r="B2175" s="116">
        <v>42555</v>
      </c>
      <c r="C2175" s="117">
        <v>8370.7000000000007</v>
      </c>
    </row>
    <row r="2176" spans="2:3" x14ac:dyDescent="0.25">
      <c r="B2176" s="116">
        <v>42552</v>
      </c>
      <c r="C2176" s="117">
        <v>8328.35</v>
      </c>
    </row>
    <row r="2177" spans="2:3" x14ac:dyDescent="0.25">
      <c r="B2177" s="116">
        <v>42551</v>
      </c>
      <c r="C2177" s="117">
        <v>8287.75</v>
      </c>
    </row>
    <row r="2178" spans="2:3" x14ac:dyDescent="0.25">
      <c r="B2178" s="116">
        <v>42550</v>
      </c>
      <c r="C2178" s="117">
        <v>8204</v>
      </c>
    </row>
    <row r="2179" spans="2:3" x14ac:dyDescent="0.25">
      <c r="B2179" s="116">
        <v>42549</v>
      </c>
      <c r="C2179" s="117">
        <v>8127.85</v>
      </c>
    </row>
    <row r="2180" spans="2:3" x14ac:dyDescent="0.25">
      <c r="B2180" s="116">
        <v>42548</v>
      </c>
      <c r="C2180" s="117">
        <v>8094.7</v>
      </c>
    </row>
    <row r="2181" spans="2:3" x14ac:dyDescent="0.25">
      <c r="B2181" s="116">
        <v>42545</v>
      </c>
      <c r="C2181" s="117">
        <v>8088.6</v>
      </c>
    </row>
    <row r="2182" spans="2:3" x14ac:dyDescent="0.25">
      <c r="B2182" s="116">
        <v>42544</v>
      </c>
      <c r="C2182" s="117">
        <v>8270.4500000000007</v>
      </c>
    </row>
    <row r="2183" spans="2:3" x14ac:dyDescent="0.25">
      <c r="B2183" s="116">
        <v>42543</v>
      </c>
      <c r="C2183" s="117">
        <v>8203.7000000000007</v>
      </c>
    </row>
    <row r="2184" spans="2:3" x14ac:dyDescent="0.25">
      <c r="B2184" s="116">
        <v>42542</v>
      </c>
      <c r="C2184" s="117">
        <v>8219.9</v>
      </c>
    </row>
    <row r="2185" spans="2:3" x14ac:dyDescent="0.25">
      <c r="B2185" s="116">
        <v>42541</v>
      </c>
      <c r="C2185" s="117">
        <v>8238.5</v>
      </c>
    </row>
    <row r="2186" spans="2:3" x14ac:dyDescent="0.25">
      <c r="B2186" s="116">
        <v>42538</v>
      </c>
      <c r="C2186" s="117">
        <v>8170.2</v>
      </c>
    </row>
    <row r="2187" spans="2:3" x14ac:dyDescent="0.25">
      <c r="B2187" s="116">
        <v>42537</v>
      </c>
      <c r="C2187" s="117">
        <v>8140.75</v>
      </c>
    </row>
    <row r="2188" spans="2:3" x14ac:dyDescent="0.25">
      <c r="B2188" s="116">
        <v>42536</v>
      </c>
      <c r="C2188" s="117">
        <v>8206.6</v>
      </c>
    </row>
    <row r="2189" spans="2:3" x14ac:dyDescent="0.25">
      <c r="B2189" s="116">
        <v>42535</v>
      </c>
      <c r="C2189" s="117">
        <v>8108.85</v>
      </c>
    </row>
    <row r="2190" spans="2:3" x14ac:dyDescent="0.25">
      <c r="B2190" s="116">
        <v>42534</v>
      </c>
      <c r="C2190" s="117">
        <v>8110.6</v>
      </c>
    </row>
    <row r="2191" spans="2:3" x14ac:dyDescent="0.25">
      <c r="B2191" s="116">
        <v>42531</v>
      </c>
      <c r="C2191" s="117">
        <v>8170.05</v>
      </c>
    </row>
    <row r="2192" spans="2:3" x14ac:dyDescent="0.25">
      <c r="B2192" s="116">
        <v>42530</v>
      </c>
      <c r="C2192" s="117">
        <v>8203.6</v>
      </c>
    </row>
    <row r="2193" spans="2:3" x14ac:dyDescent="0.25">
      <c r="B2193" s="116">
        <v>42529</v>
      </c>
      <c r="C2193" s="117">
        <v>8273.0499999999993</v>
      </c>
    </row>
    <row r="2194" spans="2:3" x14ac:dyDescent="0.25">
      <c r="B2194" s="116">
        <v>42528</v>
      </c>
      <c r="C2194" s="117">
        <v>8266.4500000000007</v>
      </c>
    </row>
    <row r="2195" spans="2:3" x14ac:dyDescent="0.25">
      <c r="B2195" s="116">
        <v>42527</v>
      </c>
      <c r="C2195" s="117">
        <v>8201.0499999999993</v>
      </c>
    </row>
    <row r="2196" spans="2:3" x14ac:dyDescent="0.25">
      <c r="B2196" s="116">
        <v>42524</v>
      </c>
      <c r="C2196" s="117">
        <v>8220.7999999999993</v>
      </c>
    </row>
    <row r="2197" spans="2:3" x14ac:dyDescent="0.25">
      <c r="B2197" s="116">
        <v>42523</v>
      </c>
      <c r="C2197" s="117">
        <v>8218.9500000000007</v>
      </c>
    </row>
    <row r="2198" spans="2:3" x14ac:dyDescent="0.25">
      <c r="B2198" s="116">
        <v>42522</v>
      </c>
      <c r="C2198" s="117">
        <v>8179.95</v>
      </c>
    </row>
    <row r="2199" spans="2:3" x14ac:dyDescent="0.25">
      <c r="B2199" s="116">
        <v>42521</v>
      </c>
      <c r="C2199" s="117">
        <v>8160.1</v>
      </c>
    </row>
    <row r="2200" spans="2:3" x14ac:dyDescent="0.25">
      <c r="B2200" s="116">
        <v>42520</v>
      </c>
      <c r="C2200" s="117">
        <v>8178.5</v>
      </c>
    </row>
    <row r="2201" spans="2:3" x14ac:dyDescent="0.25">
      <c r="B2201" s="116">
        <v>42517</v>
      </c>
      <c r="C2201" s="117">
        <v>8156.65</v>
      </c>
    </row>
    <row r="2202" spans="2:3" x14ac:dyDescent="0.25">
      <c r="B2202" s="116">
        <v>42516</v>
      </c>
      <c r="C2202" s="117">
        <v>8069.65</v>
      </c>
    </row>
    <row r="2203" spans="2:3" x14ac:dyDescent="0.25">
      <c r="B2203" s="116">
        <v>42515</v>
      </c>
      <c r="C2203" s="117">
        <v>7934.9</v>
      </c>
    </row>
    <row r="2204" spans="2:3" x14ac:dyDescent="0.25">
      <c r="B2204" s="116">
        <v>42514</v>
      </c>
      <c r="C2204" s="117">
        <v>7748.85</v>
      </c>
    </row>
    <row r="2205" spans="2:3" x14ac:dyDescent="0.25">
      <c r="B2205" s="116">
        <v>42513</v>
      </c>
      <c r="C2205" s="117">
        <v>7731.05</v>
      </c>
    </row>
    <row r="2206" spans="2:3" x14ac:dyDescent="0.25">
      <c r="B2206" s="116">
        <v>42510</v>
      </c>
      <c r="C2206" s="117">
        <v>7749.7</v>
      </c>
    </row>
    <row r="2207" spans="2:3" x14ac:dyDescent="0.25">
      <c r="B2207" s="116">
        <v>42509</v>
      </c>
      <c r="C2207" s="117">
        <v>7783.4</v>
      </c>
    </row>
    <row r="2208" spans="2:3" x14ac:dyDescent="0.25">
      <c r="B2208" s="116">
        <v>42508</v>
      </c>
      <c r="C2208" s="117">
        <v>7870.15</v>
      </c>
    </row>
    <row r="2209" spans="2:3" x14ac:dyDescent="0.25">
      <c r="B2209" s="116">
        <v>42507</v>
      </c>
      <c r="C2209" s="117">
        <v>7890.75</v>
      </c>
    </row>
    <row r="2210" spans="2:3" x14ac:dyDescent="0.25">
      <c r="B2210" s="116">
        <v>42506</v>
      </c>
      <c r="C2210" s="117">
        <v>7860.75</v>
      </c>
    </row>
    <row r="2211" spans="2:3" x14ac:dyDescent="0.25">
      <c r="B2211" s="116">
        <v>42503</v>
      </c>
      <c r="C2211" s="117">
        <v>7814.9</v>
      </c>
    </row>
    <row r="2212" spans="2:3" x14ac:dyDescent="0.25">
      <c r="B2212" s="116">
        <v>42502</v>
      </c>
      <c r="C2212" s="117">
        <v>7900.4</v>
      </c>
    </row>
    <row r="2213" spans="2:3" x14ac:dyDescent="0.25">
      <c r="B2213" s="116">
        <v>42501</v>
      </c>
      <c r="C2213" s="117">
        <v>7848.85</v>
      </c>
    </row>
    <row r="2214" spans="2:3" x14ac:dyDescent="0.25">
      <c r="B2214" s="116">
        <v>42500</v>
      </c>
      <c r="C2214" s="117">
        <v>7887.8</v>
      </c>
    </row>
    <row r="2215" spans="2:3" x14ac:dyDescent="0.25">
      <c r="B2215" s="116">
        <v>42499</v>
      </c>
      <c r="C2215" s="117">
        <v>7866.05</v>
      </c>
    </row>
    <row r="2216" spans="2:3" x14ac:dyDescent="0.25">
      <c r="B2216" s="116">
        <v>42496</v>
      </c>
      <c r="C2216" s="117">
        <v>7733.45</v>
      </c>
    </row>
    <row r="2217" spans="2:3" x14ac:dyDescent="0.25">
      <c r="B2217" s="116">
        <v>42495</v>
      </c>
      <c r="C2217" s="117">
        <v>7735.5</v>
      </c>
    </row>
    <row r="2218" spans="2:3" x14ac:dyDescent="0.25">
      <c r="B2218" s="116">
        <v>42494</v>
      </c>
      <c r="C2218" s="117">
        <v>7706.55</v>
      </c>
    </row>
    <row r="2219" spans="2:3" x14ac:dyDescent="0.25">
      <c r="B2219" s="116">
        <v>42493</v>
      </c>
      <c r="C2219" s="117">
        <v>7747</v>
      </c>
    </row>
    <row r="2220" spans="2:3" x14ac:dyDescent="0.25">
      <c r="B2220" s="116">
        <v>42492</v>
      </c>
      <c r="C2220" s="117">
        <v>7805.9</v>
      </c>
    </row>
    <row r="2221" spans="2:3" x14ac:dyDescent="0.25">
      <c r="B2221" s="116">
        <v>42489</v>
      </c>
      <c r="C2221" s="117">
        <v>7849.8</v>
      </c>
    </row>
    <row r="2222" spans="2:3" x14ac:dyDescent="0.25">
      <c r="B2222" s="116">
        <v>42488</v>
      </c>
      <c r="C2222" s="117">
        <v>7847.25</v>
      </c>
    </row>
    <row r="2223" spans="2:3" x14ac:dyDescent="0.25">
      <c r="B2223" s="116">
        <v>42487</v>
      </c>
      <c r="C2223" s="117">
        <v>7979.9</v>
      </c>
    </row>
    <row r="2224" spans="2:3" x14ac:dyDescent="0.25">
      <c r="B2224" s="116">
        <v>42486</v>
      </c>
      <c r="C2224" s="117">
        <v>7962.65</v>
      </c>
    </row>
    <row r="2225" spans="2:3" x14ac:dyDescent="0.25">
      <c r="B2225" s="116">
        <v>42485</v>
      </c>
      <c r="C2225" s="117">
        <v>7855.05</v>
      </c>
    </row>
    <row r="2226" spans="2:3" x14ac:dyDescent="0.25">
      <c r="B2226" s="116">
        <v>42482</v>
      </c>
      <c r="C2226" s="117">
        <v>7899.3</v>
      </c>
    </row>
    <row r="2227" spans="2:3" x14ac:dyDescent="0.25">
      <c r="B2227" s="116">
        <v>42481</v>
      </c>
      <c r="C2227" s="117">
        <v>7912.05</v>
      </c>
    </row>
    <row r="2228" spans="2:3" x14ac:dyDescent="0.25">
      <c r="B2228" s="116">
        <v>42480</v>
      </c>
      <c r="C2228" s="117">
        <v>7914.75</v>
      </c>
    </row>
    <row r="2229" spans="2:3" x14ac:dyDescent="0.25">
      <c r="B2229" s="116">
        <v>42478</v>
      </c>
      <c r="C2229" s="117">
        <v>7914.7</v>
      </c>
    </row>
    <row r="2230" spans="2:3" x14ac:dyDescent="0.25">
      <c r="B2230" s="116">
        <v>42473</v>
      </c>
      <c r="C2230" s="117">
        <v>7850.45</v>
      </c>
    </row>
    <row r="2231" spans="2:3" x14ac:dyDescent="0.25">
      <c r="B2231" s="116">
        <v>42472</v>
      </c>
      <c r="C2231" s="117">
        <v>7708.95</v>
      </c>
    </row>
    <row r="2232" spans="2:3" x14ac:dyDescent="0.25">
      <c r="B2232" s="116">
        <v>42471</v>
      </c>
      <c r="C2232" s="117">
        <v>7671.4</v>
      </c>
    </row>
    <row r="2233" spans="2:3" x14ac:dyDescent="0.25">
      <c r="B2233" s="116">
        <v>42468</v>
      </c>
      <c r="C2233" s="117">
        <v>7555.2</v>
      </c>
    </row>
    <row r="2234" spans="2:3" x14ac:dyDescent="0.25">
      <c r="B2234" s="116">
        <v>42467</v>
      </c>
      <c r="C2234" s="117">
        <v>7546.45</v>
      </c>
    </row>
    <row r="2235" spans="2:3" x14ac:dyDescent="0.25">
      <c r="B2235" s="116">
        <v>42466</v>
      </c>
      <c r="C2235" s="117">
        <v>7614.35</v>
      </c>
    </row>
    <row r="2236" spans="2:3" x14ac:dyDescent="0.25">
      <c r="B2236" s="116">
        <v>42465</v>
      </c>
      <c r="C2236" s="117">
        <v>7603.2</v>
      </c>
    </row>
    <row r="2237" spans="2:3" x14ac:dyDescent="0.25">
      <c r="B2237" s="116">
        <v>42464</v>
      </c>
      <c r="C2237" s="117">
        <v>7758.8</v>
      </c>
    </row>
    <row r="2238" spans="2:3" x14ac:dyDescent="0.25">
      <c r="B2238" s="116">
        <v>42461</v>
      </c>
      <c r="C2238" s="117">
        <v>7713.05</v>
      </c>
    </row>
    <row r="2239" spans="2:3" x14ac:dyDescent="0.25">
      <c r="B2239" s="116">
        <v>42460</v>
      </c>
      <c r="C2239" s="117">
        <v>7738.4</v>
      </c>
    </row>
    <row r="2240" spans="2:3" x14ac:dyDescent="0.25">
      <c r="B2240" s="116">
        <v>42459</v>
      </c>
      <c r="C2240" s="117">
        <v>7735.2</v>
      </c>
    </row>
    <row r="2241" spans="2:3" x14ac:dyDescent="0.25">
      <c r="B2241" s="116">
        <v>42458</v>
      </c>
      <c r="C2241" s="117">
        <v>7597</v>
      </c>
    </row>
    <row r="2242" spans="2:3" x14ac:dyDescent="0.25">
      <c r="B2242" s="116">
        <v>42457</v>
      </c>
      <c r="C2242" s="117">
        <v>7615.1</v>
      </c>
    </row>
    <row r="2243" spans="2:3" x14ac:dyDescent="0.25">
      <c r="B2243" s="116">
        <v>42452</v>
      </c>
      <c r="C2243" s="117">
        <v>7716.5</v>
      </c>
    </row>
    <row r="2244" spans="2:3" x14ac:dyDescent="0.25">
      <c r="B2244" s="116">
        <v>42451</v>
      </c>
      <c r="C2244" s="117">
        <v>7714.9</v>
      </c>
    </row>
    <row r="2245" spans="2:3" x14ac:dyDescent="0.25">
      <c r="B2245" s="116">
        <v>42450</v>
      </c>
      <c r="C2245" s="117">
        <v>7704.25</v>
      </c>
    </row>
    <row r="2246" spans="2:3" x14ac:dyDescent="0.25">
      <c r="B2246" s="116">
        <v>42447</v>
      </c>
      <c r="C2246" s="117">
        <v>7604.35</v>
      </c>
    </row>
    <row r="2247" spans="2:3" x14ac:dyDescent="0.25">
      <c r="B2247" s="116">
        <v>42446</v>
      </c>
      <c r="C2247" s="117">
        <v>7512.55</v>
      </c>
    </row>
    <row r="2248" spans="2:3" x14ac:dyDescent="0.25">
      <c r="B2248" s="116">
        <v>42445</v>
      </c>
      <c r="C2248" s="117">
        <v>7498.75</v>
      </c>
    </row>
    <row r="2249" spans="2:3" x14ac:dyDescent="0.25">
      <c r="B2249" s="116">
        <v>42444</v>
      </c>
      <c r="C2249" s="117">
        <v>7460.6</v>
      </c>
    </row>
    <row r="2250" spans="2:3" x14ac:dyDescent="0.25">
      <c r="B2250" s="116">
        <v>42443</v>
      </c>
      <c r="C2250" s="117">
        <v>7538.75</v>
      </c>
    </row>
    <row r="2251" spans="2:3" x14ac:dyDescent="0.25">
      <c r="B2251" s="116">
        <v>42440</v>
      </c>
      <c r="C2251" s="117">
        <v>7510.2</v>
      </c>
    </row>
    <row r="2252" spans="2:3" x14ac:dyDescent="0.25">
      <c r="B2252" s="116">
        <v>42439</v>
      </c>
      <c r="C2252" s="117">
        <v>7486.15</v>
      </c>
    </row>
    <row r="2253" spans="2:3" x14ac:dyDescent="0.25">
      <c r="B2253" s="116">
        <v>42438</v>
      </c>
      <c r="C2253" s="117">
        <v>7531.8</v>
      </c>
    </row>
    <row r="2254" spans="2:3" x14ac:dyDescent="0.25">
      <c r="B2254" s="116">
        <v>42437</v>
      </c>
      <c r="C2254" s="117">
        <v>7485.3</v>
      </c>
    </row>
    <row r="2255" spans="2:3" x14ac:dyDescent="0.25">
      <c r="B2255" s="116">
        <v>42433</v>
      </c>
      <c r="C2255" s="117">
        <v>7485.35</v>
      </c>
    </row>
    <row r="2256" spans="2:3" x14ac:dyDescent="0.25">
      <c r="B2256" s="116">
        <v>42432</v>
      </c>
      <c r="C2256" s="117">
        <v>7475.6</v>
      </c>
    </row>
    <row r="2257" spans="2:3" x14ac:dyDescent="0.25">
      <c r="B2257" s="116">
        <v>42431</v>
      </c>
      <c r="C2257" s="117">
        <v>7368.85</v>
      </c>
    </row>
    <row r="2258" spans="2:3" x14ac:dyDescent="0.25">
      <c r="B2258" s="116">
        <v>42430</v>
      </c>
      <c r="C2258" s="117">
        <v>7222.3</v>
      </c>
    </row>
    <row r="2259" spans="2:3" x14ac:dyDescent="0.25">
      <c r="B2259" s="116">
        <v>42429</v>
      </c>
      <c r="C2259" s="117">
        <v>6987.05</v>
      </c>
    </row>
    <row r="2260" spans="2:3" x14ac:dyDescent="0.25">
      <c r="B2260" s="116">
        <v>42426</v>
      </c>
      <c r="C2260" s="117">
        <v>7029.75</v>
      </c>
    </row>
    <row r="2261" spans="2:3" x14ac:dyDescent="0.25">
      <c r="B2261" s="116">
        <v>42425</v>
      </c>
      <c r="C2261" s="117">
        <v>6970.6</v>
      </c>
    </row>
    <row r="2262" spans="2:3" x14ac:dyDescent="0.25">
      <c r="B2262" s="116">
        <v>42424</v>
      </c>
      <c r="C2262" s="117">
        <v>7018.7</v>
      </c>
    </row>
    <row r="2263" spans="2:3" x14ac:dyDescent="0.25">
      <c r="B2263" s="116">
        <v>42423</v>
      </c>
      <c r="C2263" s="117">
        <v>7109.55</v>
      </c>
    </row>
    <row r="2264" spans="2:3" x14ac:dyDescent="0.25">
      <c r="B2264" s="116">
        <v>42422</v>
      </c>
      <c r="C2264" s="117">
        <v>7234.55</v>
      </c>
    </row>
    <row r="2265" spans="2:3" x14ac:dyDescent="0.25">
      <c r="B2265" s="116">
        <v>42419</v>
      </c>
      <c r="C2265" s="117">
        <v>7210.75</v>
      </c>
    </row>
    <row r="2266" spans="2:3" x14ac:dyDescent="0.25">
      <c r="B2266" s="116">
        <v>42418</v>
      </c>
      <c r="C2266" s="117">
        <v>7191.75</v>
      </c>
    </row>
    <row r="2267" spans="2:3" x14ac:dyDescent="0.25">
      <c r="B2267" s="116">
        <v>42417</v>
      </c>
      <c r="C2267" s="117">
        <v>7108.45</v>
      </c>
    </row>
    <row r="2268" spans="2:3" x14ac:dyDescent="0.25">
      <c r="B2268" s="116">
        <v>42416</v>
      </c>
      <c r="C2268" s="117">
        <v>7048.25</v>
      </c>
    </row>
    <row r="2269" spans="2:3" x14ac:dyDescent="0.25">
      <c r="B2269" s="116">
        <v>42415</v>
      </c>
      <c r="C2269" s="117">
        <v>7162.95</v>
      </c>
    </row>
    <row r="2270" spans="2:3" x14ac:dyDescent="0.25">
      <c r="B2270" s="116">
        <v>42412</v>
      </c>
      <c r="C2270" s="117">
        <v>6980.95</v>
      </c>
    </row>
    <row r="2271" spans="2:3" x14ac:dyDescent="0.25">
      <c r="B2271" s="116">
        <v>42411</v>
      </c>
      <c r="C2271" s="117">
        <v>6976.35</v>
      </c>
    </row>
    <row r="2272" spans="2:3" x14ac:dyDescent="0.25">
      <c r="B2272" s="116">
        <v>42410</v>
      </c>
      <c r="C2272" s="117">
        <v>7215.7</v>
      </c>
    </row>
    <row r="2273" spans="2:3" x14ac:dyDescent="0.25">
      <c r="B2273" s="116">
        <v>42409</v>
      </c>
      <c r="C2273" s="117">
        <v>7298.2</v>
      </c>
    </row>
    <row r="2274" spans="2:3" x14ac:dyDescent="0.25">
      <c r="B2274" s="116">
        <v>42408</v>
      </c>
      <c r="C2274" s="117">
        <v>7387.25</v>
      </c>
    </row>
    <row r="2275" spans="2:3" x14ac:dyDescent="0.25">
      <c r="B2275" s="116">
        <v>42405</v>
      </c>
      <c r="C2275" s="117">
        <v>7489.1</v>
      </c>
    </row>
    <row r="2276" spans="2:3" x14ac:dyDescent="0.25">
      <c r="B2276" s="116">
        <v>42404</v>
      </c>
      <c r="C2276" s="117">
        <v>7404</v>
      </c>
    </row>
    <row r="2277" spans="2:3" x14ac:dyDescent="0.25">
      <c r="B2277" s="116">
        <v>42403</v>
      </c>
      <c r="C2277" s="117">
        <v>7361.8</v>
      </c>
    </row>
    <row r="2278" spans="2:3" x14ac:dyDescent="0.25">
      <c r="B2278" s="116">
        <v>42402</v>
      </c>
      <c r="C2278" s="117">
        <v>7455.55</v>
      </c>
    </row>
    <row r="2279" spans="2:3" x14ac:dyDescent="0.25">
      <c r="B2279" s="116">
        <v>42401</v>
      </c>
      <c r="C2279" s="117">
        <v>7555.95</v>
      </c>
    </row>
    <row r="2280" spans="2:3" x14ac:dyDescent="0.25">
      <c r="B2280" s="116">
        <v>42398</v>
      </c>
      <c r="C2280" s="117">
        <v>7563.55</v>
      </c>
    </row>
    <row r="2281" spans="2:3" x14ac:dyDescent="0.25">
      <c r="B2281" s="116">
        <v>42397</v>
      </c>
      <c r="C2281" s="117">
        <v>7424.65</v>
      </c>
    </row>
    <row r="2282" spans="2:3" x14ac:dyDescent="0.25">
      <c r="B2282" s="116">
        <v>42396</v>
      </c>
      <c r="C2282" s="117">
        <v>7437.75</v>
      </c>
    </row>
    <row r="2283" spans="2:3" x14ac:dyDescent="0.25">
      <c r="B2283" s="116">
        <v>42394</v>
      </c>
      <c r="C2283" s="117">
        <v>7436.15</v>
      </c>
    </row>
    <row r="2284" spans="2:3" x14ac:dyDescent="0.25">
      <c r="B2284" s="116">
        <v>42391</v>
      </c>
      <c r="C2284" s="117">
        <v>7422.45</v>
      </c>
    </row>
    <row r="2285" spans="2:3" x14ac:dyDescent="0.25">
      <c r="B2285" s="116">
        <v>42390</v>
      </c>
      <c r="C2285" s="117">
        <v>7276.8</v>
      </c>
    </row>
    <row r="2286" spans="2:3" x14ac:dyDescent="0.25">
      <c r="B2286" s="116">
        <v>42389</v>
      </c>
      <c r="C2286" s="117">
        <v>7309.3</v>
      </c>
    </row>
    <row r="2287" spans="2:3" x14ac:dyDescent="0.25">
      <c r="B2287" s="116">
        <v>42388</v>
      </c>
      <c r="C2287" s="117">
        <v>7435.1</v>
      </c>
    </row>
    <row r="2288" spans="2:3" x14ac:dyDescent="0.25">
      <c r="B2288" s="116">
        <v>42387</v>
      </c>
      <c r="C2288" s="117">
        <v>7351</v>
      </c>
    </row>
    <row r="2289" spans="2:3" x14ac:dyDescent="0.25">
      <c r="B2289" s="116">
        <v>42384</v>
      </c>
      <c r="C2289" s="117">
        <v>7437.8</v>
      </c>
    </row>
    <row r="2290" spans="2:3" x14ac:dyDescent="0.25">
      <c r="B2290" s="116">
        <v>42383</v>
      </c>
      <c r="C2290" s="117">
        <v>7536.8</v>
      </c>
    </row>
    <row r="2291" spans="2:3" x14ac:dyDescent="0.25">
      <c r="B2291" s="116">
        <v>42382</v>
      </c>
      <c r="C2291" s="117">
        <v>7562.4</v>
      </c>
    </row>
    <row r="2292" spans="2:3" x14ac:dyDescent="0.25">
      <c r="B2292" s="116">
        <v>42381</v>
      </c>
      <c r="C2292" s="117">
        <v>7510.3</v>
      </c>
    </row>
    <row r="2293" spans="2:3" x14ac:dyDescent="0.25">
      <c r="B2293" s="116">
        <v>42380</v>
      </c>
      <c r="C2293" s="117">
        <v>7563.85</v>
      </c>
    </row>
    <row r="2294" spans="2:3" x14ac:dyDescent="0.25">
      <c r="B2294" s="116">
        <v>42377</v>
      </c>
      <c r="C2294" s="117">
        <v>7601.35</v>
      </c>
    </row>
    <row r="2295" spans="2:3" x14ac:dyDescent="0.25">
      <c r="B2295" s="116">
        <v>42376</v>
      </c>
      <c r="C2295" s="117">
        <v>7568.3</v>
      </c>
    </row>
    <row r="2296" spans="2:3" x14ac:dyDescent="0.25">
      <c r="B2296" s="116">
        <v>42375</v>
      </c>
      <c r="C2296" s="117">
        <v>7741</v>
      </c>
    </row>
    <row r="2297" spans="2:3" x14ac:dyDescent="0.25">
      <c r="B2297" s="116">
        <v>42374</v>
      </c>
      <c r="C2297" s="117">
        <v>7784.65</v>
      </c>
    </row>
    <row r="2298" spans="2:3" x14ac:dyDescent="0.25">
      <c r="B2298" s="116">
        <v>42373</v>
      </c>
      <c r="C2298" s="117">
        <v>7791.3</v>
      </c>
    </row>
    <row r="2299" spans="2:3" x14ac:dyDescent="0.25">
      <c r="B2299" s="116">
        <v>42370</v>
      </c>
      <c r="C2299" s="117">
        <v>7963.2</v>
      </c>
    </row>
    <row r="2300" spans="2:3" x14ac:dyDescent="0.25">
      <c r="B2300" s="116">
        <v>42369</v>
      </c>
      <c r="C2300" s="117">
        <v>7946.35</v>
      </c>
    </row>
    <row r="2301" spans="2:3" x14ac:dyDescent="0.25">
      <c r="B2301" s="116">
        <v>42368</v>
      </c>
      <c r="C2301" s="117">
        <v>7896.25</v>
      </c>
    </row>
    <row r="2302" spans="2:3" x14ac:dyDescent="0.25">
      <c r="B2302" s="116">
        <v>42367</v>
      </c>
      <c r="C2302" s="117">
        <v>7928.95</v>
      </c>
    </row>
    <row r="2303" spans="2:3" x14ac:dyDescent="0.25">
      <c r="B2303" s="116">
        <v>42366</v>
      </c>
      <c r="C2303" s="117">
        <v>7925.15</v>
      </c>
    </row>
    <row r="2304" spans="2:3" x14ac:dyDescent="0.25">
      <c r="B2304" s="116">
        <v>42362</v>
      </c>
      <c r="C2304" s="117">
        <v>7861.05</v>
      </c>
    </row>
    <row r="2305" spans="2:3" x14ac:dyDescent="0.25">
      <c r="B2305" s="116">
        <v>42361</v>
      </c>
      <c r="C2305" s="117">
        <v>7865.95</v>
      </c>
    </row>
    <row r="2306" spans="2:3" x14ac:dyDescent="0.25">
      <c r="B2306" s="116">
        <v>42360</v>
      </c>
      <c r="C2306" s="117">
        <v>7786.1</v>
      </c>
    </row>
    <row r="2307" spans="2:3" x14ac:dyDescent="0.25">
      <c r="B2307" s="116">
        <v>42359</v>
      </c>
      <c r="C2307" s="117">
        <v>7834.45</v>
      </c>
    </row>
    <row r="2308" spans="2:3" x14ac:dyDescent="0.25">
      <c r="B2308" s="116">
        <v>42356</v>
      </c>
      <c r="C2308" s="117">
        <v>7761.95</v>
      </c>
    </row>
    <row r="2309" spans="2:3" x14ac:dyDescent="0.25">
      <c r="B2309" s="116">
        <v>42355</v>
      </c>
      <c r="C2309" s="117">
        <v>7844.35</v>
      </c>
    </row>
    <row r="2310" spans="2:3" x14ac:dyDescent="0.25">
      <c r="B2310" s="116">
        <v>42354</v>
      </c>
      <c r="C2310" s="117">
        <v>7750.9</v>
      </c>
    </row>
    <row r="2311" spans="2:3" x14ac:dyDescent="0.25">
      <c r="B2311" s="116">
        <v>42353</v>
      </c>
      <c r="C2311" s="117">
        <v>7700.9</v>
      </c>
    </row>
    <row r="2312" spans="2:3" x14ac:dyDescent="0.25">
      <c r="B2312" s="116">
        <v>42352</v>
      </c>
      <c r="C2312" s="117">
        <v>7650.05</v>
      </c>
    </row>
    <row r="2313" spans="2:3" x14ac:dyDescent="0.25">
      <c r="B2313" s="116">
        <v>42349</v>
      </c>
      <c r="C2313" s="117">
        <v>7610.45</v>
      </c>
    </row>
    <row r="2314" spans="2:3" x14ac:dyDescent="0.25">
      <c r="B2314" s="116">
        <v>42348</v>
      </c>
      <c r="C2314" s="117">
        <v>7683.3</v>
      </c>
    </row>
    <row r="2315" spans="2:3" x14ac:dyDescent="0.25">
      <c r="B2315" s="116">
        <v>42347</v>
      </c>
      <c r="C2315" s="117">
        <v>7612.5</v>
      </c>
    </row>
    <row r="2316" spans="2:3" x14ac:dyDescent="0.25">
      <c r="B2316" s="116">
        <v>42346</v>
      </c>
      <c r="C2316" s="117">
        <v>7701.7</v>
      </c>
    </row>
    <row r="2317" spans="2:3" x14ac:dyDescent="0.25">
      <c r="B2317" s="116">
        <v>42345</v>
      </c>
      <c r="C2317" s="117">
        <v>7765.4</v>
      </c>
    </row>
    <row r="2318" spans="2:3" x14ac:dyDescent="0.25">
      <c r="B2318" s="116">
        <v>42342</v>
      </c>
      <c r="C2318" s="117">
        <v>7781.9</v>
      </c>
    </row>
    <row r="2319" spans="2:3" x14ac:dyDescent="0.25">
      <c r="B2319" s="116">
        <v>42341</v>
      </c>
      <c r="C2319" s="117">
        <v>7864.15</v>
      </c>
    </row>
    <row r="2320" spans="2:3" x14ac:dyDescent="0.25">
      <c r="B2320" s="116">
        <v>42340</v>
      </c>
      <c r="C2320" s="117">
        <v>7931.35</v>
      </c>
    </row>
    <row r="2321" spans="2:3" x14ac:dyDescent="0.25">
      <c r="B2321" s="116">
        <v>42339</v>
      </c>
      <c r="C2321" s="117">
        <v>7954.9</v>
      </c>
    </row>
    <row r="2322" spans="2:3" x14ac:dyDescent="0.25">
      <c r="B2322" s="116">
        <v>42338</v>
      </c>
      <c r="C2322" s="117">
        <v>7935.25</v>
      </c>
    </row>
    <row r="2323" spans="2:3" x14ac:dyDescent="0.25">
      <c r="B2323" s="116">
        <v>42335</v>
      </c>
      <c r="C2323" s="117">
        <v>7942.7</v>
      </c>
    </row>
    <row r="2324" spans="2:3" x14ac:dyDescent="0.25">
      <c r="B2324" s="116">
        <v>42334</v>
      </c>
      <c r="C2324" s="117">
        <v>7883.8</v>
      </c>
    </row>
    <row r="2325" spans="2:3" x14ac:dyDescent="0.25">
      <c r="B2325" s="116">
        <v>42332</v>
      </c>
      <c r="C2325" s="117">
        <v>7831.6</v>
      </c>
    </row>
    <row r="2326" spans="2:3" x14ac:dyDescent="0.25">
      <c r="B2326" s="116">
        <v>42331</v>
      </c>
      <c r="C2326" s="117">
        <v>7849.25</v>
      </c>
    </row>
    <row r="2327" spans="2:3" x14ac:dyDescent="0.25">
      <c r="B2327" s="116">
        <v>42328</v>
      </c>
      <c r="C2327" s="117">
        <v>7856.55</v>
      </c>
    </row>
    <row r="2328" spans="2:3" x14ac:dyDescent="0.25">
      <c r="B2328" s="116">
        <v>42327</v>
      </c>
      <c r="C2328" s="117">
        <v>7842.75</v>
      </c>
    </row>
    <row r="2329" spans="2:3" x14ac:dyDescent="0.25">
      <c r="B2329" s="116">
        <v>42326</v>
      </c>
      <c r="C2329" s="117">
        <v>7731.8</v>
      </c>
    </row>
    <row r="2330" spans="2:3" x14ac:dyDescent="0.25">
      <c r="B2330" s="116">
        <v>42325</v>
      </c>
      <c r="C2330" s="117">
        <v>7837.55</v>
      </c>
    </row>
    <row r="2331" spans="2:3" x14ac:dyDescent="0.25">
      <c r="B2331" s="116">
        <v>42324</v>
      </c>
      <c r="C2331" s="117">
        <v>7806.6</v>
      </c>
    </row>
    <row r="2332" spans="2:3" x14ac:dyDescent="0.25">
      <c r="B2332" s="116">
        <v>42321</v>
      </c>
      <c r="C2332" s="117">
        <v>7762.25</v>
      </c>
    </row>
    <row r="2333" spans="2:3" x14ac:dyDescent="0.25">
      <c r="B2333" s="116">
        <v>42319</v>
      </c>
      <c r="C2333" s="117">
        <v>7825</v>
      </c>
    </row>
    <row r="2334" spans="2:3" x14ac:dyDescent="0.25">
      <c r="B2334" s="116">
        <v>42318</v>
      </c>
      <c r="C2334" s="117">
        <v>7783.35</v>
      </c>
    </row>
    <row r="2335" spans="2:3" x14ac:dyDescent="0.25">
      <c r="B2335" s="116">
        <v>42317</v>
      </c>
      <c r="C2335" s="117">
        <v>7915.2</v>
      </c>
    </row>
    <row r="2336" spans="2:3" x14ac:dyDescent="0.25">
      <c r="B2336" s="116">
        <v>42314</v>
      </c>
      <c r="C2336" s="117">
        <v>7954.3</v>
      </c>
    </row>
    <row r="2337" spans="2:3" x14ac:dyDescent="0.25">
      <c r="B2337" s="116">
        <v>42313</v>
      </c>
      <c r="C2337" s="117">
        <v>7955.45</v>
      </c>
    </row>
    <row r="2338" spans="2:3" x14ac:dyDescent="0.25">
      <c r="B2338" s="116">
        <v>42312</v>
      </c>
      <c r="C2338" s="117">
        <v>8040.2</v>
      </c>
    </row>
    <row r="2339" spans="2:3" x14ac:dyDescent="0.25">
      <c r="B2339" s="116">
        <v>42311</v>
      </c>
      <c r="C2339" s="117">
        <v>8060.7</v>
      </c>
    </row>
    <row r="2340" spans="2:3" x14ac:dyDescent="0.25">
      <c r="B2340" s="116">
        <v>42310</v>
      </c>
      <c r="C2340" s="117">
        <v>8050.8</v>
      </c>
    </row>
    <row r="2341" spans="2:3" x14ac:dyDescent="0.25">
      <c r="B2341" s="116">
        <v>42307</v>
      </c>
      <c r="C2341" s="117">
        <v>8065.8</v>
      </c>
    </row>
    <row r="2342" spans="2:3" x14ac:dyDescent="0.25">
      <c r="B2342" s="116">
        <v>42306</v>
      </c>
      <c r="C2342" s="117">
        <v>8111.75</v>
      </c>
    </row>
    <row r="2343" spans="2:3" x14ac:dyDescent="0.25">
      <c r="B2343" s="116">
        <v>42305</v>
      </c>
      <c r="C2343" s="117">
        <v>8171.2</v>
      </c>
    </row>
    <row r="2344" spans="2:3" x14ac:dyDescent="0.25">
      <c r="B2344" s="116">
        <v>42304</v>
      </c>
      <c r="C2344" s="117">
        <v>8232.9</v>
      </c>
    </row>
    <row r="2345" spans="2:3" x14ac:dyDescent="0.25">
      <c r="B2345" s="116">
        <v>42303</v>
      </c>
      <c r="C2345" s="117">
        <v>8260.5499999999993</v>
      </c>
    </row>
    <row r="2346" spans="2:3" x14ac:dyDescent="0.25">
      <c r="B2346" s="116">
        <v>42300</v>
      </c>
      <c r="C2346" s="117">
        <v>8295.4500000000007</v>
      </c>
    </row>
    <row r="2347" spans="2:3" x14ac:dyDescent="0.25">
      <c r="B2347" s="116">
        <v>42298</v>
      </c>
      <c r="C2347" s="117">
        <v>8251.7000000000007</v>
      </c>
    </row>
    <row r="2348" spans="2:3" x14ac:dyDescent="0.25">
      <c r="B2348" s="116">
        <v>42297</v>
      </c>
      <c r="C2348" s="117">
        <v>8261.65</v>
      </c>
    </row>
    <row r="2349" spans="2:3" x14ac:dyDescent="0.25">
      <c r="B2349" s="116">
        <v>42296</v>
      </c>
      <c r="C2349" s="117">
        <v>8275.0499999999993</v>
      </c>
    </row>
    <row r="2350" spans="2:3" x14ac:dyDescent="0.25">
      <c r="B2350" s="116">
        <v>42293</v>
      </c>
      <c r="C2350" s="117">
        <v>8238.15</v>
      </c>
    </row>
    <row r="2351" spans="2:3" x14ac:dyDescent="0.25">
      <c r="B2351" s="116">
        <v>42292</v>
      </c>
      <c r="C2351" s="117">
        <v>8179.5</v>
      </c>
    </row>
    <row r="2352" spans="2:3" x14ac:dyDescent="0.25">
      <c r="B2352" s="116">
        <v>42291</v>
      </c>
      <c r="C2352" s="117">
        <v>8107.9</v>
      </c>
    </row>
    <row r="2353" spans="2:3" x14ac:dyDescent="0.25">
      <c r="B2353" s="116">
        <v>42290</v>
      </c>
      <c r="C2353" s="117">
        <v>8131.7</v>
      </c>
    </row>
    <row r="2354" spans="2:3" x14ac:dyDescent="0.25">
      <c r="B2354" s="116">
        <v>42289</v>
      </c>
      <c r="C2354" s="117">
        <v>8143.6</v>
      </c>
    </row>
    <row r="2355" spans="2:3" x14ac:dyDescent="0.25">
      <c r="B2355" s="116">
        <v>42286</v>
      </c>
      <c r="C2355" s="117">
        <v>8189.7</v>
      </c>
    </row>
    <row r="2356" spans="2:3" x14ac:dyDescent="0.25">
      <c r="B2356" s="116">
        <v>42285</v>
      </c>
      <c r="C2356" s="117">
        <v>8129.35</v>
      </c>
    </row>
    <row r="2357" spans="2:3" x14ac:dyDescent="0.25">
      <c r="B2357" s="116">
        <v>42284</v>
      </c>
      <c r="C2357" s="117">
        <v>8177.4</v>
      </c>
    </row>
    <row r="2358" spans="2:3" x14ac:dyDescent="0.25">
      <c r="B2358" s="116">
        <v>42283</v>
      </c>
      <c r="C2358" s="117">
        <v>8152.9</v>
      </c>
    </row>
    <row r="2359" spans="2:3" x14ac:dyDescent="0.25">
      <c r="B2359" s="116">
        <v>42282</v>
      </c>
      <c r="C2359" s="117">
        <v>8119.3</v>
      </c>
    </row>
    <row r="2360" spans="2:3" x14ac:dyDescent="0.25">
      <c r="B2360" s="116">
        <v>42278</v>
      </c>
      <c r="C2360" s="117">
        <v>7950.9</v>
      </c>
    </row>
    <row r="2361" spans="2:3" x14ac:dyDescent="0.25">
      <c r="B2361" s="116">
        <v>42277</v>
      </c>
      <c r="C2361" s="117">
        <v>7948.9</v>
      </c>
    </row>
    <row r="2362" spans="2:3" x14ac:dyDescent="0.25">
      <c r="B2362" s="116">
        <v>42276</v>
      </c>
      <c r="C2362" s="117">
        <v>7843.3</v>
      </c>
    </row>
    <row r="2363" spans="2:3" x14ac:dyDescent="0.25">
      <c r="B2363" s="116">
        <v>42275</v>
      </c>
      <c r="C2363" s="117">
        <v>7795.7</v>
      </c>
    </row>
    <row r="2364" spans="2:3" x14ac:dyDescent="0.25">
      <c r="B2364" s="116">
        <v>42271</v>
      </c>
      <c r="C2364" s="117">
        <v>7868.5</v>
      </c>
    </row>
    <row r="2365" spans="2:3" x14ac:dyDescent="0.25">
      <c r="B2365" s="116">
        <v>42270</v>
      </c>
      <c r="C2365" s="117">
        <v>7845.95</v>
      </c>
    </row>
    <row r="2366" spans="2:3" x14ac:dyDescent="0.25">
      <c r="B2366" s="116">
        <v>42269</v>
      </c>
      <c r="C2366" s="117">
        <v>7812</v>
      </c>
    </row>
    <row r="2367" spans="2:3" x14ac:dyDescent="0.25">
      <c r="B2367" s="116">
        <v>42268</v>
      </c>
      <c r="C2367" s="117">
        <v>7977.1</v>
      </c>
    </row>
    <row r="2368" spans="2:3" x14ac:dyDescent="0.25">
      <c r="B2368" s="116">
        <v>42265</v>
      </c>
      <c r="C2368" s="117">
        <v>7981.9</v>
      </c>
    </row>
    <row r="2369" spans="2:3" x14ac:dyDescent="0.25">
      <c r="B2369" s="116">
        <v>42263</v>
      </c>
      <c r="C2369" s="117">
        <v>7899.15</v>
      </c>
    </row>
    <row r="2370" spans="2:3" x14ac:dyDescent="0.25">
      <c r="B2370" s="116">
        <v>42262</v>
      </c>
      <c r="C2370" s="117">
        <v>7829.1</v>
      </c>
    </row>
    <row r="2371" spans="2:3" x14ac:dyDescent="0.25">
      <c r="B2371" s="116">
        <v>42261</v>
      </c>
      <c r="C2371" s="117">
        <v>7872.25</v>
      </c>
    </row>
    <row r="2372" spans="2:3" x14ac:dyDescent="0.25">
      <c r="B2372" s="116">
        <v>42258</v>
      </c>
      <c r="C2372" s="117">
        <v>7789.3</v>
      </c>
    </row>
    <row r="2373" spans="2:3" x14ac:dyDescent="0.25">
      <c r="B2373" s="116">
        <v>42257</v>
      </c>
      <c r="C2373" s="117">
        <v>7788.1</v>
      </c>
    </row>
    <row r="2374" spans="2:3" x14ac:dyDescent="0.25">
      <c r="B2374" s="116">
        <v>42256</v>
      </c>
      <c r="C2374" s="117">
        <v>7818.6</v>
      </c>
    </row>
    <row r="2375" spans="2:3" x14ac:dyDescent="0.25">
      <c r="B2375" s="116">
        <v>42255</v>
      </c>
      <c r="C2375" s="117">
        <v>7688.25</v>
      </c>
    </row>
    <row r="2376" spans="2:3" x14ac:dyDescent="0.25">
      <c r="B2376" s="116">
        <v>42254</v>
      </c>
      <c r="C2376" s="117">
        <v>7558.8</v>
      </c>
    </row>
    <row r="2377" spans="2:3" x14ac:dyDescent="0.25">
      <c r="B2377" s="116">
        <v>42251</v>
      </c>
      <c r="C2377" s="117">
        <v>7655.05</v>
      </c>
    </row>
    <row r="2378" spans="2:3" x14ac:dyDescent="0.25">
      <c r="B2378" s="116">
        <v>42250</v>
      </c>
      <c r="C2378" s="117">
        <v>7823</v>
      </c>
    </row>
    <row r="2379" spans="2:3" x14ac:dyDescent="0.25">
      <c r="B2379" s="116">
        <v>42249</v>
      </c>
      <c r="C2379" s="117">
        <v>7717</v>
      </c>
    </row>
    <row r="2380" spans="2:3" x14ac:dyDescent="0.25">
      <c r="B2380" s="116">
        <v>42248</v>
      </c>
      <c r="C2380" s="117">
        <v>7785.85</v>
      </c>
    </row>
    <row r="2381" spans="2:3" x14ac:dyDescent="0.25">
      <c r="B2381" s="116">
        <v>42247</v>
      </c>
      <c r="C2381" s="117">
        <v>7971.3</v>
      </c>
    </row>
    <row r="2382" spans="2:3" x14ac:dyDescent="0.25">
      <c r="B2382" s="116">
        <v>42244</v>
      </c>
      <c r="C2382" s="117">
        <v>8001.95</v>
      </c>
    </row>
    <row r="2383" spans="2:3" x14ac:dyDescent="0.25">
      <c r="B2383" s="116">
        <v>42243</v>
      </c>
      <c r="C2383" s="117">
        <v>7948.95</v>
      </c>
    </row>
    <row r="2384" spans="2:3" x14ac:dyDescent="0.25">
      <c r="B2384" s="116">
        <v>42242</v>
      </c>
      <c r="C2384" s="117">
        <v>7791.85</v>
      </c>
    </row>
    <row r="2385" spans="2:3" x14ac:dyDescent="0.25">
      <c r="B2385" s="116">
        <v>42241</v>
      </c>
      <c r="C2385" s="117">
        <v>7880.7</v>
      </c>
    </row>
    <row r="2386" spans="2:3" x14ac:dyDescent="0.25">
      <c r="B2386" s="116">
        <v>42240</v>
      </c>
      <c r="C2386" s="117">
        <v>7809</v>
      </c>
    </row>
    <row r="2387" spans="2:3" x14ac:dyDescent="0.25">
      <c r="B2387" s="116">
        <v>42237</v>
      </c>
      <c r="C2387" s="117">
        <v>8299.9500000000007</v>
      </c>
    </row>
    <row r="2388" spans="2:3" x14ac:dyDescent="0.25">
      <c r="B2388" s="116">
        <v>42236</v>
      </c>
      <c r="C2388" s="117">
        <v>8372.75</v>
      </c>
    </row>
    <row r="2389" spans="2:3" x14ac:dyDescent="0.25">
      <c r="B2389" s="116">
        <v>42235</v>
      </c>
      <c r="C2389" s="117">
        <v>8495.15</v>
      </c>
    </row>
    <row r="2390" spans="2:3" x14ac:dyDescent="0.25">
      <c r="B2390" s="116">
        <v>42234</v>
      </c>
      <c r="C2390" s="117">
        <v>8466.5499999999993</v>
      </c>
    </row>
    <row r="2391" spans="2:3" x14ac:dyDescent="0.25">
      <c r="B2391" s="116">
        <v>42233</v>
      </c>
      <c r="C2391" s="117">
        <v>8477.2999999999993</v>
      </c>
    </row>
    <row r="2392" spans="2:3" x14ac:dyDescent="0.25">
      <c r="B2392" s="116">
        <v>42230</v>
      </c>
      <c r="C2392" s="117">
        <v>8518.5499999999993</v>
      </c>
    </row>
    <row r="2393" spans="2:3" x14ac:dyDescent="0.25">
      <c r="B2393" s="116">
        <v>42229</v>
      </c>
      <c r="C2393" s="117">
        <v>8355.85</v>
      </c>
    </row>
    <row r="2394" spans="2:3" x14ac:dyDescent="0.25">
      <c r="B2394" s="116">
        <v>42228</v>
      </c>
      <c r="C2394" s="117">
        <v>8349.4500000000007</v>
      </c>
    </row>
    <row r="2395" spans="2:3" x14ac:dyDescent="0.25">
      <c r="B2395" s="116">
        <v>42227</v>
      </c>
      <c r="C2395" s="117">
        <v>8462.35</v>
      </c>
    </row>
    <row r="2396" spans="2:3" x14ac:dyDescent="0.25">
      <c r="B2396" s="116">
        <v>42226</v>
      </c>
      <c r="C2396" s="117">
        <v>8525.6</v>
      </c>
    </row>
    <row r="2397" spans="2:3" x14ac:dyDescent="0.25">
      <c r="B2397" s="116">
        <v>42223</v>
      </c>
      <c r="C2397" s="117">
        <v>8564.6</v>
      </c>
    </row>
    <row r="2398" spans="2:3" x14ac:dyDescent="0.25">
      <c r="B2398" s="116">
        <v>42222</v>
      </c>
      <c r="C2398" s="117">
        <v>8588.65</v>
      </c>
    </row>
    <row r="2399" spans="2:3" x14ac:dyDescent="0.25">
      <c r="B2399" s="116">
        <v>42221</v>
      </c>
      <c r="C2399" s="117">
        <v>8567.9500000000007</v>
      </c>
    </row>
    <row r="2400" spans="2:3" x14ac:dyDescent="0.25">
      <c r="B2400" s="116">
        <v>42220</v>
      </c>
      <c r="C2400" s="117">
        <v>8516.9</v>
      </c>
    </row>
    <row r="2401" spans="2:3" x14ac:dyDescent="0.25">
      <c r="B2401" s="116">
        <v>42219</v>
      </c>
      <c r="C2401" s="117">
        <v>8543.0499999999993</v>
      </c>
    </row>
    <row r="2402" spans="2:3" x14ac:dyDescent="0.25">
      <c r="B2402" s="116">
        <v>42216</v>
      </c>
      <c r="C2402" s="117">
        <v>8532.85</v>
      </c>
    </row>
    <row r="2403" spans="2:3" x14ac:dyDescent="0.25">
      <c r="B2403" s="116">
        <v>42215</v>
      </c>
      <c r="C2403" s="117">
        <v>8421.7999999999993</v>
      </c>
    </row>
    <row r="2404" spans="2:3" x14ac:dyDescent="0.25">
      <c r="B2404" s="116">
        <v>42214</v>
      </c>
      <c r="C2404" s="117">
        <v>8375.0499999999993</v>
      </c>
    </row>
    <row r="2405" spans="2:3" x14ac:dyDescent="0.25">
      <c r="B2405" s="116">
        <v>42213</v>
      </c>
      <c r="C2405" s="117">
        <v>8337</v>
      </c>
    </row>
    <row r="2406" spans="2:3" x14ac:dyDescent="0.25">
      <c r="B2406" s="116">
        <v>42212</v>
      </c>
      <c r="C2406" s="117">
        <v>8361</v>
      </c>
    </row>
    <row r="2407" spans="2:3" x14ac:dyDescent="0.25">
      <c r="B2407" s="116">
        <v>42209</v>
      </c>
      <c r="C2407" s="117">
        <v>8521.5499999999993</v>
      </c>
    </row>
    <row r="2408" spans="2:3" x14ac:dyDescent="0.25">
      <c r="B2408" s="116">
        <v>42208</v>
      </c>
      <c r="C2408" s="117">
        <v>8589.7999999999993</v>
      </c>
    </row>
    <row r="2409" spans="2:3" x14ac:dyDescent="0.25">
      <c r="B2409" s="116">
        <v>42207</v>
      </c>
      <c r="C2409" s="117">
        <v>8633.5</v>
      </c>
    </row>
    <row r="2410" spans="2:3" x14ac:dyDescent="0.25">
      <c r="B2410" s="116">
        <v>42206</v>
      </c>
      <c r="C2410" s="117">
        <v>8529.4500000000007</v>
      </c>
    </row>
    <row r="2411" spans="2:3" x14ac:dyDescent="0.25">
      <c r="B2411" s="116">
        <v>42205</v>
      </c>
      <c r="C2411" s="117">
        <v>8603.4500000000007</v>
      </c>
    </row>
    <row r="2412" spans="2:3" x14ac:dyDescent="0.25">
      <c r="B2412" s="116">
        <v>42202</v>
      </c>
      <c r="C2412" s="117">
        <v>8609.85</v>
      </c>
    </row>
    <row r="2413" spans="2:3" x14ac:dyDescent="0.25">
      <c r="B2413" s="116">
        <v>42201</v>
      </c>
      <c r="C2413" s="117">
        <v>8608.0499999999993</v>
      </c>
    </row>
    <row r="2414" spans="2:3" x14ac:dyDescent="0.25">
      <c r="B2414" s="116">
        <v>42200</v>
      </c>
      <c r="C2414" s="117">
        <v>8523.7999999999993</v>
      </c>
    </row>
    <row r="2415" spans="2:3" x14ac:dyDescent="0.25">
      <c r="B2415" s="116">
        <v>42199</v>
      </c>
      <c r="C2415" s="117">
        <v>8454.1</v>
      </c>
    </row>
    <row r="2416" spans="2:3" x14ac:dyDescent="0.25">
      <c r="B2416" s="116">
        <v>42198</v>
      </c>
      <c r="C2416" s="117">
        <v>8459.65</v>
      </c>
    </row>
    <row r="2417" spans="2:3" x14ac:dyDescent="0.25">
      <c r="B2417" s="116">
        <v>42195</v>
      </c>
      <c r="C2417" s="117">
        <v>8360.5499999999993</v>
      </c>
    </row>
    <row r="2418" spans="2:3" x14ac:dyDescent="0.25">
      <c r="B2418" s="116">
        <v>42194</v>
      </c>
      <c r="C2418" s="117">
        <v>8328.5499999999993</v>
      </c>
    </row>
    <row r="2419" spans="2:3" x14ac:dyDescent="0.25">
      <c r="B2419" s="116">
        <v>42193</v>
      </c>
      <c r="C2419" s="117">
        <v>8363.0499999999993</v>
      </c>
    </row>
    <row r="2420" spans="2:3" x14ac:dyDescent="0.25">
      <c r="B2420" s="116">
        <v>42192</v>
      </c>
      <c r="C2420" s="117">
        <v>8510.7999999999993</v>
      </c>
    </row>
    <row r="2421" spans="2:3" x14ac:dyDescent="0.25">
      <c r="B2421" s="116">
        <v>42191</v>
      </c>
      <c r="C2421" s="117">
        <v>8522.15</v>
      </c>
    </row>
    <row r="2422" spans="2:3" x14ac:dyDescent="0.25">
      <c r="B2422" s="116">
        <v>42188</v>
      </c>
      <c r="C2422" s="117">
        <v>8484.9</v>
      </c>
    </row>
    <row r="2423" spans="2:3" x14ac:dyDescent="0.25">
      <c r="B2423" s="116">
        <v>42187</v>
      </c>
      <c r="C2423" s="117">
        <v>8444.9</v>
      </c>
    </row>
    <row r="2424" spans="2:3" x14ac:dyDescent="0.25">
      <c r="B2424" s="116">
        <v>42186</v>
      </c>
      <c r="C2424" s="117">
        <v>8453.0499999999993</v>
      </c>
    </row>
    <row r="2425" spans="2:3" x14ac:dyDescent="0.25">
      <c r="B2425" s="116">
        <v>42185</v>
      </c>
      <c r="C2425" s="117">
        <v>8368.5</v>
      </c>
    </row>
    <row r="2426" spans="2:3" x14ac:dyDescent="0.25">
      <c r="B2426" s="116">
        <v>42184</v>
      </c>
      <c r="C2426" s="117">
        <v>8318.4</v>
      </c>
    </row>
    <row r="2427" spans="2:3" x14ac:dyDescent="0.25">
      <c r="B2427" s="116">
        <v>42181</v>
      </c>
      <c r="C2427" s="117">
        <v>8381.1</v>
      </c>
    </row>
    <row r="2428" spans="2:3" x14ac:dyDescent="0.25">
      <c r="B2428" s="116">
        <v>42180</v>
      </c>
      <c r="C2428" s="117">
        <v>8398</v>
      </c>
    </row>
    <row r="2429" spans="2:3" x14ac:dyDescent="0.25">
      <c r="B2429" s="116">
        <v>42179</v>
      </c>
      <c r="C2429" s="117">
        <v>8360.85</v>
      </c>
    </row>
    <row r="2430" spans="2:3" x14ac:dyDescent="0.25">
      <c r="B2430" s="116">
        <v>42178</v>
      </c>
      <c r="C2430" s="117">
        <v>8381.5499999999993</v>
      </c>
    </row>
    <row r="2431" spans="2:3" x14ac:dyDescent="0.25">
      <c r="B2431" s="116">
        <v>42177</v>
      </c>
      <c r="C2431" s="117">
        <v>8353.1</v>
      </c>
    </row>
    <row r="2432" spans="2:3" x14ac:dyDescent="0.25">
      <c r="B2432" s="116">
        <v>42174</v>
      </c>
      <c r="C2432" s="117">
        <v>8224.9500000000007</v>
      </c>
    </row>
    <row r="2433" spans="2:3" x14ac:dyDescent="0.25">
      <c r="B2433" s="116">
        <v>42173</v>
      </c>
      <c r="C2433" s="117">
        <v>8174.6</v>
      </c>
    </row>
    <row r="2434" spans="2:3" x14ac:dyDescent="0.25">
      <c r="B2434" s="116">
        <v>42172</v>
      </c>
      <c r="C2434" s="117">
        <v>8091.55</v>
      </c>
    </row>
    <row r="2435" spans="2:3" x14ac:dyDescent="0.25">
      <c r="B2435" s="116">
        <v>42171</v>
      </c>
      <c r="C2435" s="117">
        <v>8047.3</v>
      </c>
    </row>
    <row r="2436" spans="2:3" x14ac:dyDescent="0.25">
      <c r="B2436" s="116">
        <v>42170</v>
      </c>
      <c r="C2436" s="117">
        <v>8013.9</v>
      </c>
    </row>
    <row r="2437" spans="2:3" x14ac:dyDescent="0.25">
      <c r="B2437" s="116">
        <v>42167</v>
      </c>
      <c r="C2437" s="117">
        <v>7982.9</v>
      </c>
    </row>
    <row r="2438" spans="2:3" x14ac:dyDescent="0.25">
      <c r="B2438" s="116">
        <v>42166</v>
      </c>
      <c r="C2438" s="117">
        <v>7965.35</v>
      </c>
    </row>
    <row r="2439" spans="2:3" x14ac:dyDescent="0.25">
      <c r="B2439" s="116">
        <v>42165</v>
      </c>
      <c r="C2439" s="117">
        <v>8124.45</v>
      </c>
    </row>
    <row r="2440" spans="2:3" x14ac:dyDescent="0.25">
      <c r="B2440" s="116">
        <v>42164</v>
      </c>
      <c r="C2440" s="117">
        <v>8022.4</v>
      </c>
    </row>
    <row r="2441" spans="2:3" x14ac:dyDescent="0.25">
      <c r="B2441" s="116">
        <v>42163</v>
      </c>
      <c r="C2441" s="117">
        <v>8044.15</v>
      </c>
    </row>
    <row r="2442" spans="2:3" x14ac:dyDescent="0.25">
      <c r="B2442" s="116">
        <v>42160</v>
      </c>
      <c r="C2442" s="117">
        <v>8114.7</v>
      </c>
    </row>
    <row r="2443" spans="2:3" x14ac:dyDescent="0.25">
      <c r="B2443" s="116">
        <v>42159</v>
      </c>
      <c r="C2443" s="117">
        <v>8130.65</v>
      </c>
    </row>
    <row r="2444" spans="2:3" x14ac:dyDescent="0.25">
      <c r="B2444" s="116">
        <v>42158</v>
      </c>
      <c r="C2444" s="117">
        <v>8135.1</v>
      </c>
    </row>
    <row r="2445" spans="2:3" x14ac:dyDescent="0.25">
      <c r="B2445" s="116">
        <v>42157</v>
      </c>
      <c r="C2445" s="117">
        <v>8236.4500000000007</v>
      </c>
    </row>
    <row r="2446" spans="2:3" x14ac:dyDescent="0.25">
      <c r="B2446" s="116">
        <v>42156</v>
      </c>
      <c r="C2446" s="117">
        <v>8433.4</v>
      </c>
    </row>
    <row r="2447" spans="2:3" x14ac:dyDescent="0.25">
      <c r="B2447" s="116">
        <v>42153</v>
      </c>
      <c r="C2447" s="117">
        <v>8433.65</v>
      </c>
    </row>
    <row r="2448" spans="2:3" x14ac:dyDescent="0.25">
      <c r="B2448" s="116">
        <v>42152</v>
      </c>
      <c r="C2448" s="117">
        <v>8319</v>
      </c>
    </row>
    <row r="2449" spans="2:3" x14ac:dyDescent="0.25">
      <c r="B2449" s="116">
        <v>42151</v>
      </c>
      <c r="C2449" s="117">
        <v>8334.6</v>
      </c>
    </row>
    <row r="2450" spans="2:3" x14ac:dyDescent="0.25">
      <c r="B2450" s="116">
        <v>42150</v>
      </c>
      <c r="C2450" s="117">
        <v>8339.35</v>
      </c>
    </row>
    <row r="2451" spans="2:3" x14ac:dyDescent="0.25">
      <c r="B2451" s="116">
        <v>42149</v>
      </c>
      <c r="C2451" s="117">
        <v>8370.25</v>
      </c>
    </row>
    <row r="2452" spans="2:3" x14ac:dyDescent="0.25">
      <c r="B2452" s="116">
        <v>42146</v>
      </c>
      <c r="C2452" s="117">
        <v>8458.9500000000007</v>
      </c>
    </row>
    <row r="2453" spans="2:3" x14ac:dyDescent="0.25">
      <c r="B2453" s="116">
        <v>42145</v>
      </c>
      <c r="C2453" s="117">
        <v>8421</v>
      </c>
    </row>
    <row r="2454" spans="2:3" x14ac:dyDescent="0.25">
      <c r="B2454" s="116">
        <v>42144</v>
      </c>
      <c r="C2454" s="117">
        <v>8423.25</v>
      </c>
    </row>
    <row r="2455" spans="2:3" x14ac:dyDescent="0.25">
      <c r="B2455" s="116">
        <v>42143</v>
      </c>
      <c r="C2455" s="117">
        <v>8365.65</v>
      </c>
    </row>
    <row r="2456" spans="2:3" x14ac:dyDescent="0.25">
      <c r="B2456" s="116">
        <v>42142</v>
      </c>
      <c r="C2456" s="117">
        <v>8373.65</v>
      </c>
    </row>
    <row r="2457" spans="2:3" x14ac:dyDescent="0.25">
      <c r="B2457" s="116">
        <v>42139</v>
      </c>
      <c r="C2457" s="117">
        <v>8262.35</v>
      </c>
    </row>
    <row r="2458" spans="2:3" x14ac:dyDescent="0.25">
      <c r="B2458" s="116">
        <v>42138</v>
      </c>
      <c r="C2458" s="117">
        <v>8224.2000000000007</v>
      </c>
    </row>
    <row r="2459" spans="2:3" x14ac:dyDescent="0.25">
      <c r="B2459" s="116">
        <v>42137</v>
      </c>
      <c r="C2459" s="117">
        <v>8235.4500000000007</v>
      </c>
    </row>
    <row r="2460" spans="2:3" x14ac:dyDescent="0.25">
      <c r="B2460" s="116">
        <v>42136</v>
      </c>
      <c r="C2460" s="117">
        <v>8126.95</v>
      </c>
    </row>
    <row r="2461" spans="2:3" x14ac:dyDescent="0.25">
      <c r="B2461" s="116">
        <v>42135</v>
      </c>
      <c r="C2461" s="117">
        <v>8325.25</v>
      </c>
    </row>
    <row r="2462" spans="2:3" x14ac:dyDescent="0.25">
      <c r="B2462" s="116">
        <v>42132</v>
      </c>
      <c r="C2462" s="117">
        <v>8191.5</v>
      </c>
    </row>
    <row r="2463" spans="2:3" x14ac:dyDescent="0.25">
      <c r="B2463" s="116">
        <v>42131</v>
      </c>
      <c r="C2463" s="117">
        <v>8057.3</v>
      </c>
    </row>
    <row r="2464" spans="2:3" x14ac:dyDescent="0.25">
      <c r="B2464" s="116">
        <v>42130</v>
      </c>
      <c r="C2464" s="117">
        <v>8097</v>
      </c>
    </row>
    <row r="2465" spans="2:3" x14ac:dyDescent="0.25">
      <c r="B2465" s="116">
        <v>42129</v>
      </c>
      <c r="C2465" s="117">
        <v>8324.7999999999993</v>
      </c>
    </row>
    <row r="2466" spans="2:3" x14ac:dyDescent="0.25">
      <c r="B2466" s="116">
        <v>42128</v>
      </c>
      <c r="C2466" s="117">
        <v>8331.9500000000007</v>
      </c>
    </row>
    <row r="2467" spans="2:3" x14ac:dyDescent="0.25">
      <c r="B2467" s="116">
        <v>42124</v>
      </c>
      <c r="C2467" s="117">
        <v>8181.5</v>
      </c>
    </row>
    <row r="2468" spans="2:3" x14ac:dyDescent="0.25">
      <c r="B2468" s="116">
        <v>42123</v>
      </c>
      <c r="C2468" s="117">
        <v>8239.75</v>
      </c>
    </row>
    <row r="2469" spans="2:3" x14ac:dyDescent="0.25">
      <c r="B2469" s="116">
        <v>42122</v>
      </c>
      <c r="C2469" s="117">
        <v>8285.6</v>
      </c>
    </row>
    <row r="2470" spans="2:3" x14ac:dyDescent="0.25">
      <c r="B2470" s="116">
        <v>42121</v>
      </c>
      <c r="C2470" s="117">
        <v>8213.7999999999993</v>
      </c>
    </row>
    <row r="2471" spans="2:3" x14ac:dyDescent="0.25">
      <c r="B2471" s="116">
        <v>42118</v>
      </c>
      <c r="C2471" s="117">
        <v>8305.25</v>
      </c>
    </row>
    <row r="2472" spans="2:3" x14ac:dyDescent="0.25">
      <c r="B2472" s="116">
        <v>42117</v>
      </c>
      <c r="C2472" s="117">
        <v>8398.2999999999993</v>
      </c>
    </row>
    <row r="2473" spans="2:3" x14ac:dyDescent="0.25">
      <c r="B2473" s="116">
        <v>42116</v>
      </c>
      <c r="C2473" s="117">
        <v>8429.7000000000007</v>
      </c>
    </row>
    <row r="2474" spans="2:3" x14ac:dyDescent="0.25">
      <c r="B2474" s="116">
        <v>42115</v>
      </c>
      <c r="C2474" s="117">
        <v>8377.75</v>
      </c>
    </row>
    <row r="2475" spans="2:3" x14ac:dyDescent="0.25">
      <c r="B2475" s="116">
        <v>42114</v>
      </c>
      <c r="C2475" s="117">
        <v>8448.1</v>
      </c>
    </row>
    <row r="2476" spans="2:3" x14ac:dyDescent="0.25">
      <c r="B2476" s="116">
        <v>42111</v>
      </c>
      <c r="C2476" s="117">
        <v>8606</v>
      </c>
    </row>
    <row r="2477" spans="2:3" x14ac:dyDescent="0.25">
      <c r="B2477" s="116">
        <v>42110</v>
      </c>
      <c r="C2477" s="117">
        <v>8706.7000000000007</v>
      </c>
    </row>
    <row r="2478" spans="2:3" x14ac:dyDescent="0.25">
      <c r="B2478" s="116">
        <v>42109</v>
      </c>
      <c r="C2478" s="117">
        <v>8750.2000000000007</v>
      </c>
    </row>
    <row r="2479" spans="2:3" x14ac:dyDescent="0.25">
      <c r="B2479" s="116">
        <v>42107</v>
      </c>
      <c r="C2479" s="117">
        <v>8834</v>
      </c>
    </row>
    <row r="2480" spans="2:3" x14ac:dyDescent="0.25">
      <c r="B2480" s="116">
        <v>42104</v>
      </c>
      <c r="C2480" s="117">
        <v>8780.35</v>
      </c>
    </row>
    <row r="2481" spans="2:3" x14ac:dyDescent="0.25">
      <c r="B2481" s="116">
        <v>42103</v>
      </c>
      <c r="C2481" s="117">
        <v>8778.2999999999993</v>
      </c>
    </row>
    <row r="2482" spans="2:3" x14ac:dyDescent="0.25">
      <c r="B2482" s="116">
        <v>42102</v>
      </c>
      <c r="C2482" s="117">
        <v>8714.4</v>
      </c>
    </row>
    <row r="2483" spans="2:3" x14ac:dyDescent="0.25">
      <c r="B2483" s="116">
        <v>42101</v>
      </c>
      <c r="C2483" s="117">
        <v>8660.2999999999993</v>
      </c>
    </row>
    <row r="2484" spans="2:3" x14ac:dyDescent="0.25">
      <c r="B2484" s="116">
        <v>42100</v>
      </c>
      <c r="C2484" s="117">
        <v>8659.9</v>
      </c>
    </row>
    <row r="2485" spans="2:3" x14ac:dyDescent="0.25">
      <c r="B2485" s="116">
        <v>42095</v>
      </c>
      <c r="C2485" s="117">
        <v>8586.25</v>
      </c>
    </row>
    <row r="2486" spans="2:3" x14ac:dyDescent="0.25">
      <c r="B2486" s="116">
        <v>42094</v>
      </c>
      <c r="C2486" s="117">
        <v>8491</v>
      </c>
    </row>
    <row r="2487" spans="2:3" x14ac:dyDescent="0.25">
      <c r="B2487" s="116">
        <v>42093</v>
      </c>
      <c r="C2487" s="117">
        <v>8492.2999999999993</v>
      </c>
    </row>
    <row r="2488" spans="2:3" x14ac:dyDescent="0.25">
      <c r="B2488" s="116">
        <v>42090</v>
      </c>
      <c r="C2488" s="117">
        <v>8341.4</v>
      </c>
    </row>
    <row r="2489" spans="2:3" s="166" customFormat="1" x14ac:dyDescent="0.25">
      <c r="B2489" s="116"/>
      <c r="C2489" s="117"/>
    </row>
    <row r="2490" spans="2:3" s="166" customFormat="1" x14ac:dyDescent="0.25">
      <c r="B2490" s="116"/>
      <c r="C2490" s="117"/>
    </row>
    <row r="2491" spans="2:3" x14ac:dyDescent="0.25">
      <c r="B2491" s="116"/>
      <c r="C2491" s="117"/>
    </row>
    <row r="2492" spans="2:3" x14ac:dyDescent="0.25">
      <c r="B2492" s="116"/>
      <c r="C2492" s="117"/>
    </row>
    <row r="2493" spans="2:3" x14ac:dyDescent="0.25">
      <c r="B2493" s="116"/>
      <c r="C2493" s="117"/>
    </row>
    <row r="2494" spans="2:3" x14ac:dyDescent="0.25">
      <c r="B2494" s="116"/>
      <c r="C2494" s="117"/>
    </row>
    <row r="2495" spans="2:3" s="162" customFormat="1" x14ac:dyDescent="0.25">
      <c r="B2495" s="116"/>
      <c r="C2495" s="117"/>
    </row>
    <row r="2496" spans="2:3" x14ac:dyDescent="0.25">
      <c r="B2496" s="116"/>
      <c r="C2496" s="117"/>
    </row>
    <row r="2497" spans="2:3" x14ac:dyDescent="0.25">
      <c r="B2497" s="116"/>
      <c r="C2497" s="117"/>
    </row>
    <row r="2498" spans="2:3" x14ac:dyDescent="0.25">
      <c r="B2498" s="116"/>
      <c r="C2498" s="117"/>
    </row>
    <row r="2499" spans="2:3" x14ac:dyDescent="0.25">
      <c r="B2499" s="116"/>
      <c r="C2499" s="117"/>
    </row>
    <row r="2500" spans="2:3" x14ac:dyDescent="0.25">
      <c r="B2500" s="116"/>
      <c r="C2500" s="117"/>
    </row>
    <row r="2501" spans="2:3" x14ac:dyDescent="0.25">
      <c r="B2501" s="116"/>
      <c r="C2501" s="117"/>
    </row>
    <row r="2502" spans="2:3" x14ac:dyDescent="0.25">
      <c r="B2502" s="116"/>
      <c r="C2502" s="117"/>
    </row>
    <row r="2503" spans="2:3" x14ac:dyDescent="0.25">
      <c r="B2503" s="116"/>
      <c r="C2503" s="117"/>
    </row>
    <row r="2504" spans="2:3" x14ac:dyDescent="0.25">
      <c r="B2504" s="116"/>
      <c r="C2504" s="117"/>
    </row>
    <row r="2505" spans="2:3" x14ac:dyDescent="0.25">
      <c r="B2505" s="116"/>
      <c r="C2505" s="117"/>
    </row>
    <row r="2506" spans="2:3" x14ac:dyDescent="0.25">
      <c r="B2506" s="116"/>
      <c r="C2506" s="117"/>
    </row>
    <row r="2507" spans="2:3" x14ac:dyDescent="0.25">
      <c r="B2507" s="116"/>
      <c r="C2507" s="117"/>
    </row>
    <row r="2508" spans="2:3" x14ac:dyDescent="0.25">
      <c r="B2508" s="116"/>
      <c r="C2508" s="117"/>
    </row>
    <row r="2509" spans="2:3" x14ac:dyDescent="0.25">
      <c r="B2509" s="116"/>
      <c r="C2509" s="117"/>
    </row>
    <row r="2510" spans="2:3" x14ac:dyDescent="0.25">
      <c r="B2510" s="116"/>
      <c r="C2510" s="117"/>
    </row>
    <row r="2511" spans="2:3" x14ac:dyDescent="0.25">
      <c r="B2511" s="116"/>
      <c r="C2511" s="117"/>
    </row>
    <row r="2512" spans="2:3" x14ac:dyDescent="0.25">
      <c r="B2512" s="116"/>
      <c r="C2512" s="117"/>
    </row>
    <row r="2513" spans="2:3" x14ac:dyDescent="0.25">
      <c r="B2513" s="116"/>
      <c r="C2513" s="117"/>
    </row>
    <row r="2514" spans="2:3" x14ac:dyDescent="0.25">
      <c r="B2514" s="116"/>
      <c r="C2514" s="117"/>
    </row>
    <row r="2515" spans="2:3" x14ac:dyDescent="0.25">
      <c r="B2515" s="116"/>
      <c r="C2515" s="117"/>
    </row>
    <row r="2516" spans="2:3" x14ac:dyDescent="0.25">
      <c r="B2516" s="116"/>
      <c r="C2516" s="117"/>
    </row>
    <row r="2517" spans="2:3" x14ac:dyDescent="0.25">
      <c r="B2517" s="116"/>
      <c r="C2517" s="117"/>
    </row>
    <row r="2518" spans="2:3" x14ac:dyDescent="0.25">
      <c r="B2518" s="116"/>
      <c r="C2518" s="117"/>
    </row>
    <row r="2519" spans="2:3" x14ac:dyDescent="0.25">
      <c r="B2519" s="116"/>
      <c r="C2519" s="117"/>
    </row>
  </sheetData>
  <mergeCells count="1">
    <mergeCell ref="B7:G7"/>
  </mergeCells>
  <pageMargins left="0.7" right="0.7" top="0.75" bottom="0.75" header="0.3" footer="0.3"/>
  <pageSetup orientation="portrait" horizontalDpi="300" verticalDpi="0" copies="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4F47B-8AAD-40BD-82CC-7FB661E622AA}">
  <dimension ref="B7:S62"/>
  <sheetViews>
    <sheetView showGridLines="0" topLeftCell="E1" workbookViewId="0">
      <selection activeCell="K19" sqref="K19"/>
    </sheetView>
  </sheetViews>
  <sheetFormatPr defaultRowHeight="15" x14ac:dyDescent="0.25"/>
  <cols>
    <col min="1" max="1" width="0.85546875" customWidth="1"/>
    <col min="2" max="2" width="32.7109375" customWidth="1"/>
    <col min="3" max="3" width="19.5703125" bestFit="1" customWidth="1"/>
    <col min="4" max="4" width="12" customWidth="1"/>
    <col min="5" max="5" width="19.42578125" customWidth="1"/>
    <col min="6" max="6" width="12.85546875" bestFit="1" customWidth="1"/>
    <col min="7" max="7" width="13.140625" customWidth="1"/>
    <col min="8" max="8" width="15.5703125" bestFit="1" customWidth="1"/>
    <col min="9" max="9" width="12.7109375" bestFit="1" customWidth="1"/>
    <col min="10" max="11" width="12.5703125" customWidth="1"/>
    <col min="12" max="12" width="12.7109375" bestFit="1" customWidth="1"/>
    <col min="13" max="16" width="12.85546875" bestFit="1" customWidth="1"/>
    <col min="17" max="17" width="12.7109375" customWidth="1"/>
  </cols>
  <sheetData>
    <row r="7" spans="2:17" ht="15.75" x14ac:dyDescent="0.25">
      <c r="B7" s="235" t="s">
        <v>230</v>
      </c>
      <c r="C7" s="235"/>
      <c r="D7" s="235"/>
      <c r="E7" s="235"/>
      <c r="F7" s="235"/>
      <c r="G7" s="235"/>
      <c r="H7" s="235"/>
      <c r="I7" s="235"/>
      <c r="J7" s="235"/>
      <c r="K7" s="235"/>
      <c r="L7" s="235"/>
      <c r="M7" s="235"/>
      <c r="N7" s="235"/>
      <c r="O7" s="235"/>
      <c r="P7" s="235"/>
      <c r="Q7" s="235"/>
    </row>
    <row r="8" spans="2:17" x14ac:dyDescent="0.25">
      <c r="B8" s="238" t="s">
        <v>0</v>
      </c>
      <c r="C8" s="13">
        <v>2020</v>
      </c>
      <c r="D8" s="13">
        <v>2021</v>
      </c>
      <c r="E8" s="13">
        <v>2022</v>
      </c>
      <c r="F8" s="13">
        <v>2023</v>
      </c>
      <c r="G8" s="13">
        <v>2024</v>
      </c>
      <c r="H8" s="88">
        <f>G8+1</f>
        <v>2025</v>
      </c>
      <c r="I8" s="88">
        <f t="shared" ref="I8:Q8" si="0">H8+1</f>
        <v>2026</v>
      </c>
      <c r="J8" s="88">
        <f t="shared" si="0"/>
        <v>2027</v>
      </c>
      <c r="K8" s="88">
        <f t="shared" si="0"/>
        <v>2028</v>
      </c>
      <c r="L8" s="88">
        <f t="shared" si="0"/>
        <v>2029</v>
      </c>
      <c r="M8" s="88">
        <f t="shared" si="0"/>
        <v>2030</v>
      </c>
      <c r="N8" s="88">
        <f t="shared" si="0"/>
        <v>2031</v>
      </c>
      <c r="O8" s="88">
        <f t="shared" si="0"/>
        <v>2032</v>
      </c>
      <c r="P8" s="88">
        <f t="shared" si="0"/>
        <v>2033</v>
      </c>
      <c r="Q8" s="88">
        <f t="shared" si="0"/>
        <v>2034</v>
      </c>
    </row>
    <row r="9" spans="2:17" x14ac:dyDescent="0.25">
      <c r="B9" s="239"/>
      <c r="C9" s="13" t="s">
        <v>1</v>
      </c>
      <c r="D9" s="13" t="s">
        <v>1</v>
      </c>
      <c r="E9" s="13" t="s">
        <v>1</v>
      </c>
      <c r="F9" s="13" t="s">
        <v>1</v>
      </c>
      <c r="G9" s="13" t="s">
        <v>1</v>
      </c>
      <c r="H9" s="42" t="s">
        <v>315</v>
      </c>
      <c r="I9" s="42" t="s">
        <v>315</v>
      </c>
      <c r="J9" s="42" t="s">
        <v>315</v>
      </c>
      <c r="K9" s="42" t="s">
        <v>315</v>
      </c>
      <c r="L9" s="42" t="s">
        <v>315</v>
      </c>
      <c r="M9" s="42" t="s">
        <v>315</v>
      </c>
      <c r="N9" s="42" t="s">
        <v>315</v>
      </c>
      <c r="O9" s="42" t="s">
        <v>315</v>
      </c>
      <c r="P9" s="42" t="s">
        <v>315</v>
      </c>
      <c r="Q9" s="42" t="s">
        <v>315</v>
      </c>
    </row>
    <row r="10" spans="2:17" x14ac:dyDescent="0.25">
      <c r="E10" s="155"/>
      <c r="H10" s="60"/>
      <c r="I10" s="60"/>
      <c r="J10" s="60"/>
      <c r="K10" s="60"/>
      <c r="L10" s="60"/>
      <c r="M10" s="60"/>
      <c r="N10" s="60"/>
      <c r="O10" s="60"/>
      <c r="P10" s="60"/>
      <c r="Q10" s="60"/>
    </row>
    <row r="11" spans="2:17" x14ac:dyDescent="0.25">
      <c r="B11" s="11" t="s">
        <v>11</v>
      </c>
      <c r="C11" s="1"/>
      <c r="D11" s="31">
        <f>'Income Statement'!D26</f>
        <v>1626.8199999999988</v>
      </c>
      <c r="E11" s="156">
        <f>'Income Statement'!E26</f>
        <v>1899.2800000000052</v>
      </c>
      <c r="F11" s="31">
        <f>'Income Statement'!F26</f>
        <v>4192.6800000000012</v>
      </c>
      <c r="G11" s="31">
        <f>'Income Statement'!G26</f>
        <v>7015.5799999999954</v>
      </c>
      <c r="H11" s="19">
        <f>'Income Statement'!H26</f>
        <v>6714.1762493850247</v>
      </c>
      <c r="I11" s="19">
        <f>'Income Statement'!I26</f>
        <v>8529.0890399368182</v>
      </c>
      <c r="J11" s="19">
        <f>'Income Statement'!J26</f>
        <v>10785.510872904277</v>
      </c>
      <c r="K11" s="19">
        <f>'Income Statement'!K26</f>
        <v>13591.724222727515</v>
      </c>
      <c r="L11" s="19">
        <f>'Income Statement'!L26</f>
        <v>17082.71705932674</v>
      </c>
      <c r="M11" s="19">
        <f>'Income Statement'!M26</f>
        <v>21426.788661703562</v>
      </c>
      <c r="N11" s="19">
        <f>'Income Statement'!N26</f>
        <v>26833.791951386298</v>
      </c>
      <c r="O11" s="19">
        <f>'Income Statement'!O26</f>
        <v>33565.418100845607</v>
      </c>
      <c r="P11" s="19">
        <f>'Income Statement'!P26</f>
        <v>41948.029815833252</v>
      </c>
      <c r="Q11" s="19">
        <f>'Income Statement'!Q26</f>
        <v>52388.675303574368</v>
      </c>
    </row>
    <row r="12" spans="2:17" x14ac:dyDescent="0.25">
      <c r="B12" s="11" t="s">
        <v>227</v>
      </c>
      <c r="D12" s="31">
        <f>-D11*Cost_Buildup!D35</f>
        <v>61.114883720928994</v>
      </c>
      <c r="E12" s="156">
        <f>-E11*Cost_Buildup!E35</f>
        <v>817.03582744628852</v>
      </c>
      <c r="F12" s="31">
        <f>-F11*Cost_Buildup!F35</f>
        <v>-1676.1368393583675</v>
      </c>
      <c r="G12" s="31">
        <f>-G11*Cost_Buildup!G35</f>
        <v>-2408.6470989047934</v>
      </c>
      <c r="H12" s="19">
        <f>-H11*Cost_Buildup!H35</f>
        <v>-2014.2528748155073</v>
      </c>
      <c r="I12" s="19">
        <f>-I11*Cost_Buildup!I35</f>
        <v>-2558.7267119810454</v>
      </c>
      <c r="J12" s="19">
        <f>-J11*Cost_Buildup!J35</f>
        <v>-3235.6532618712831</v>
      </c>
      <c r="K12" s="19">
        <f>-K11*Cost_Buildup!K35</f>
        <v>-4077.517266818254</v>
      </c>
      <c r="L12" s="19">
        <f>-L11*Cost_Buildup!L35</f>
        <v>-5124.8151177980217</v>
      </c>
      <c r="M12" s="19">
        <f>-M11*Cost_Buildup!M35</f>
        <v>-6428.0365985110684</v>
      </c>
      <c r="N12" s="19">
        <f>-N11*Cost_Buildup!N35</f>
        <v>-8050.1375854158887</v>
      </c>
      <c r="O12" s="19">
        <f>-O11*Cost_Buildup!O35</f>
        <v>-10069.625430253682</v>
      </c>
      <c r="P12" s="19">
        <f>-P11*Cost_Buildup!P35</f>
        <v>-12584.408944749975</v>
      </c>
      <c r="Q12" s="19">
        <f>-Q11*Cost_Buildup!Q35</f>
        <v>-15716.602591072309</v>
      </c>
    </row>
    <row r="13" spans="2:17" x14ac:dyDescent="0.25">
      <c r="B13" s="11" t="s">
        <v>318</v>
      </c>
      <c r="C13" s="3"/>
      <c r="D13" s="31">
        <f>'Income Statement'!D24</f>
        <v>835.62</v>
      </c>
      <c r="E13" s="156">
        <f>'Income Statement'!E24</f>
        <v>865.96</v>
      </c>
      <c r="F13" s="31">
        <f>'Income Statement'!F24</f>
        <v>900.22</v>
      </c>
      <c r="G13" s="31">
        <f>'Income Statement'!G24</f>
        <v>927.29</v>
      </c>
      <c r="H13" s="19">
        <f>'Income Statement'!H24</f>
        <v>931.92644999999993</v>
      </c>
      <c r="I13" s="19">
        <f>'Income Statement'!I24</f>
        <v>936.58608224999978</v>
      </c>
      <c r="J13" s="19">
        <f>'Income Statement'!J24</f>
        <v>941.26901266124969</v>
      </c>
      <c r="K13" s="19">
        <f>'Income Statement'!K24</f>
        <v>945.97535772455581</v>
      </c>
      <c r="L13" s="19">
        <f>'Income Statement'!L24</f>
        <v>950.70523451317854</v>
      </c>
      <c r="M13" s="19">
        <f>'Income Statement'!M24</f>
        <v>955.45876068574444</v>
      </c>
      <c r="N13" s="19">
        <f>'Income Statement'!N24</f>
        <v>960.23605448917306</v>
      </c>
      <c r="O13" s="19">
        <f>'Income Statement'!O24</f>
        <v>965.03723476161872</v>
      </c>
      <c r="P13" s="19">
        <f>'Income Statement'!P24</f>
        <v>969.86242093542683</v>
      </c>
      <c r="Q13" s="19">
        <f>'Income Statement'!Q24</f>
        <v>974.71173304010381</v>
      </c>
    </row>
    <row r="14" spans="2:17" x14ac:dyDescent="0.25">
      <c r="B14" s="11" t="s">
        <v>228</v>
      </c>
      <c r="C14" s="3"/>
      <c r="D14" s="31">
        <f>-SUM('Cash_ Flow_Statement'!D54:D55)</f>
        <v>-1080.0600000000018</v>
      </c>
      <c r="E14" s="156">
        <f>-SUM('Cash_ Flow_Statement'!E54:E55)</f>
        <v>-182.42999999999878</v>
      </c>
      <c r="F14" s="31">
        <f>-SUM('Cash_ Flow_Statement'!F54:F55)</f>
        <v>-1134.24</v>
      </c>
      <c r="G14" s="31">
        <f>-SUM('Cash_ Flow_Statement'!G54:G55)</f>
        <v>-985.99999999999932</v>
      </c>
      <c r="H14" s="19">
        <f>-SUM('Cash_ Flow_Statement'!H54:H55)</f>
        <v>-982.81865000000357</v>
      </c>
      <c r="I14" s="19">
        <f>-SUM('Cash_ Flow_Statement'!I54:I55)</f>
        <v>-987.73274324999988</v>
      </c>
      <c r="J14" s="19">
        <f>-SUM('Cash_ Flow_Statement'!J54:J55)</f>
        <v>-992.67140696624938</v>
      </c>
      <c r="K14" s="19">
        <f>-SUM('Cash_ Flow_Statement'!K54:K55)</f>
        <v>-997.63476400107845</v>
      </c>
      <c r="L14" s="19">
        <f>-SUM('Cash_ Flow_Statement'!L54:L55)</f>
        <v>-1002.6229378210863</v>
      </c>
      <c r="M14" s="19">
        <f>-SUM('Cash_ Flow_Statement'!M54:M55)</f>
        <v>-1007.6360525101907</v>
      </c>
      <c r="N14" s="19">
        <f>-SUM('Cash_ Flow_Statement'!N54:N55)</f>
        <v>-1012.6742327727443</v>
      </c>
      <c r="O14" s="19">
        <f>-SUM('Cash_ Flow_Statement'!O54:O55)</f>
        <v>-1017.7376039366054</v>
      </c>
      <c r="P14" s="19">
        <f>-SUM('Cash_ Flow_Statement'!P54:P55)</f>
        <v>-1022.8262919562881</v>
      </c>
      <c r="Q14" s="19">
        <f>-SUM('Cash_ Flow_Statement'!Q54:Q55)</f>
        <v>-1027.9404234160709</v>
      </c>
    </row>
    <row r="15" spans="2:17" x14ac:dyDescent="0.25">
      <c r="B15" s="11" t="s">
        <v>229</v>
      </c>
      <c r="C15" s="1"/>
      <c r="D15" s="31">
        <f>SUM('Cash_ Flow_Statement'!D19:D27)-SUM('Cash_ Flow_Statement'!D34,'Cash_ Flow_Statement'!D36,'Cash_ Flow_Statement'!D39:D44)</f>
        <v>424.27999999999906</v>
      </c>
      <c r="E15" s="31">
        <f>SUM('Cash_ Flow_Statement'!E19:E27)-SUM('Cash_ Flow_Statement'!E34,'Cash_ Flow_Statement'!E36,'Cash_ Flow_Statement'!E39:E44)</f>
        <v>1426.7299999999991</v>
      </c>
      <c r="F15" s="31">
        <f>SUM('Cash_ Flow_Statement'!F19:F27)-SUM('Cash_ Flow_Statement'!F34,'Cash_ Flow_Statement'!F36,'Cash_ Flow_Statement'!F39:F44)</f>
        <v>154.85000000000082</v>
      </c>
      <c r="G15" s="31">
        <f>SUM('Cash_ Flow_Statement'!G19:G27)-SUM('Cash_ Flow_Statement'!G34,'Cash_ Flow_Statement'!G36,'Cash_ Flow_Statement'!G39:G44)</f>
        <v>1747.0599999999995</v>
      </c>
      <c r="H15" s="19">
        <f>SUM('Cash_ Flow_Statement'!H19:H27)-SUM('Cash_ Flow_Statement'!H34,'Cash_ Flow_Statement'!H36,'Cash_ Flow_Statement'!H39:H44)</f>
        <v>354.51836899912632</v>
      </c>
      <c r="I15" s="19">
        <f>SUM('Cash_ Flow_Statement'!I19:I27)-SUM('Cash_ Flow_Statement'!I34,'Cash_ Flow_Statement'!I36,'Cash_ Flow_Statement'!I39:I44)</f>
        <v>1310.1645897087928</v>
      </c>
      <c r="J15" s="19">
        <f>SUM('Cash_ Flow_Statement'!J19:J27)-SUM('Cash_ Flow_Statement'!J34,'Cash_ Flow_Statement'!J36,'Cash_ Flow_Statement'!J39:J44)</f>
        <v>1628.0854542954148</v>
      </c>
      <c r="K15" s="19">
        <f>SUM('Cash_ Flow_Statement'!K19:K27)-SUM('Cash_ Flow_Statement'!K34,'Cash_ Flow_Statement'!K36,'Cash_ Flow_Statement'!K39:K44)</f>
        <v>2023.9740955650723</v>
      </c>
      <c r="L15" s="19">
        <f>SUM('Cash_ Flow_Statement'!L19:L27)-SUM('Cash_ Flow_Statement'!L34,'Cash_ Flow_Statement'!L36,'Cash_ Flow_Statement'!L39:L44)</f>
        <v>2517.0595339476695</v>
      </c>
      <c r="M15" s="19">
        <f>SUM('Cash_ Flow_Statement'!M19:M27)-SUM('Cash_ Flow_Statement'!M34,'Cash_ Flow_Statement'!M36,'Cash_ Flow_Statement'!M39:M44)</f>
        <v>3131.3272386750177</v>
      </c>
      <c r="N15" s="19">
        <f>SUM('Cash_ Flow_Statement'!N19:N27)-SUM('Cash_ Flow_Statement'!N34,'Cash_ Flow_Statement'!N36,'Cash_ Flow_Statement'!N39:N44)</f>
        <v>3896.697487225807</v>
      </c>
      <c r="O15" s="19">
        <f>SUM('Cash_ Flow_Statement'!O19:O27)-SUM('Cash_ Flow_Statement'!O34,'Cash_ Flow_Statement'!O36,'Cash_ Flow_Statement'!O39:O44)</f>
        <v>4850.4958846161571</v>
      </c>
      <c r="P15" s="19">
        <f>SUM('Cash_ Flow_Statement'!P19:P27)-SUM('Cash_ Flow_Statement'!P34,'Cash_ Flow_Statement'!P36,'Cash_ Flow_Statement'!P39:P44)</f>
        <v>6039.2885100983112</v>
      </c>
      <c r="Q15" s="19">
        <f>SUM('Cash_ Flow_Statement'!Q19:Q27)-SUM('Cash_ Flow_Statement'!Q34,'Cash_ Flow_Statement'!Q36,'Cash_ Flow_Statement'!Q39:Q44)</f>
        <v>7521.1721376127462</v>
      </c>
    </row>
    <row r="16" spans="2:17" x14ac:dyDescent="0.25">
      <c r="B16" s="11"/>
      <c r="D16" s="31"/>
      <c r="E16" s="156"/>
      <c r="F16" s="31"/>
      <c r="G16" s="31"/>
      <c r="H16" s="19"/>
      <c r="I16" s="19"/>
      <c r="J16" s="19"/>
      <c r="K16" s="19"/>
      <c r="L16" s="19"/>
      <c r="M16" s="19"/>
      <c r="N16" s="19"/>
      <c r="O16" s="19"/>
      <c r="P16" s="19"/>
      <c r="Q16" s="19"/>
    </row>
    <row r="17" spans="2:19" x14ac:dyDescent="0.25">
      <c r="B17" s="12" t="s">
        <v>230</v>
      </c>
      <c r="C17" s="125"/>
      <c r="D17" s="34">
        <f>SUM(D11:D15)</f>
        <v>1867.7748837209249</v>
      </c>
      <c r="E17" s="157">
        <f t="shared" ref="E17:Q17" si="1">SUM(E11:E15)</f>
        <v>4826.5758274462942</v>
      </c>
      <c r="F17" s="34">
        <f t="shared" si="1"/>
        <v>2437.3731606416345</v>
      </c>
      <c r="G17" s="34">
        <f t="shared" si="1"/>
        <v>6295.2829010952028</v>
      </c>
      <c r="H17" s="23">
        <f t="shared" si="1"/>
        <v>5003.5495435686398</v>
      </c>
      <c r="I17" s="23">
        <f t="shared" si="1"/>
        <v>7229.3802566645654</v>
      </c>
      <c r="J17" s="23">
        <f t="shared" si="1"/>
        <v>9126.5406710234092</v>
      </c>
      <c r="K17" s="23">
        <f t="shared" si="1"/>
        <v>11486.521645197809</v>
      </c>
      <c r="L17" s="23">
        <f t="shared" si="1"/>
        <v>14423.043772168479</v>
      </c>
      <c r="M17" s="23">
        <f t="shared" si="1"/>
        <v>18077.902010043064</v>
      </c>
      <c r="N17" s="23">
        <f t="shared" si="1"/>
        <v>22627.913674912648</v>
      </c>
      <c r="O17" s="23">
        <f t="shared" si="1"/>
        <v>28293.588186033092</v>
      </c>
      <c r="P17" s="23">
        <f t="shared" si="1"/>
        <v>35349.945510160731</v>
      </c>
      <c r="Q17" s="23">
        <f t="shared" si="1"/>
        <v>44140.016159738836</v>
      </c>
    </row>
    <row r="18" spans="2:19" x14ac:dyDescent="0.25">
      <c r="B18" s="11"/>
      <c r="E18" s="160"/>
      <c r="F18" s="160"/>
      <c r="G18" s="160"/>
      <c r="H18" s="160"/>
      <c r="I18" s="160"/>
      <c r="J18" s="160"/>
      <c r="K18" s="160"/>
      <c r="L18" s="160"/>
      <c r="M18" s="160"/>
      <c r="N18" s="160"/>
      <c r="O18" s="160"/>
      <c r="P18" s="160"/>
      <c r="Q18" s="160"/>
      <c r="S18" s="2"/>
    </row>
    <row r="19" spans="2:19" x14ac:dyDescent="0.25">
      <c r="B19" s="11"/>
      <c r="E19" s="160"/>
      <c r="F19" s="160"/>
      <c r="G19" s="160"/>
      <c r="H19" s="160"/>
      <c r="I19" s="160"/>
      <c r="J19" s="160"/>
      <c r="K19" s="160"/>
      <c r="L19" s="160"/>
      <c r="M19" s="160"/>
      <c r="N19" s="160"/>
      <c r="O19" s="160"/>
      <c r="P19" s="160"/>
      <c r="Q19" s="160"/>
    </row>
    <row r="20" spans="2:19" x14ac:dyDescent="0.25">
      <c r="B20" s="234" t="s">
        <v>294</v>
      </c>
      <c r="C20" s="234"/>
      <c r="E20" s="160"/>
      <c r="F20" s="160"/>
      <c r="G20" s="160"/>
      <c r="H20" s="7"/>
      <c r="I20" s="7"/>
      <c r="J20" s="7"/>
      <c r="K20" s="7"/>
      <c r="L20" s="7"/>
      <c r="M20" s="7"/>
      <c r="N20" s="7"/>
      <c r="O20" s="7"/>
      <c r="P20" s="7"/>
      <c r="Q20" s="7"/>
    </row>
    <row r="21" spans="2:19" x14ac:dyDescent="0.25">
      <c r="B21" s="11" t="s">
        <v>231</v>
      </c>
      <c r="C21" s="16">
        <v>7.0099999999999996E-2</v>
      </c>
      <c r="D21" s="11"/>
      <c r="E21" s="11"/>
      <c r="F21" s="11"/>
      <c r="G21" s="11"/>
      <c r="H21" s="11"/>
      <c r="I21" s="112"/>
      <c r="J21" s="112"/>
      <c r="K21" s="112"/>
      <c r="L21" s="112"/>
      <c r="M21" s="112"/>
      <c r="N21" s="112"/>
      <c r="O21" s="112"/>
      <c r="P21" s="112"/>
      <c r="Q21" s="112"/>
    </row>
    <row r="22" spans="2:19" x14ac:dyDescent="0.25">
      <c r="B22" s="11" t="s">
        <v>232</v>
      </c>
      <c r="C22" s="16">
        <f>'Market Data'!G10</f>
        <v>0.10919048406231568</v>
      </c>
      <c r="D22" s="11"/>
      <c r="E22" s="11"/>
      <c r="F22" s="11"/>
      <c r="G22" s="11"/>
      <c r="H22" s="123"/>
      <c r="I22" s="11"/>
      <c r="J22" s="11"/>
      <c r="K22" s="11"/>
      <c r="L22" s="11"/>
      <c r="M22" s="11"/>
      <c r="N22" s="11"/>
    </row>
    <row r="23" spans="2:19" x14ac:dyDescent="0.25">
      <c r="B23" s="11" t="s">
        <v>226</v>
      </c>
      <c r="C23" s="114">
        <f>'Equity Beta'!I10</f>
        <v>1.6048128156002162</v>
      </c>
      <c r="D23" s="11"/>
      <c r="E23" s="11"/>
      <c r="F23" s="11"/>
      <c r="G23" s="11"/>
      <c r="H23" s="11"/>
      <c r="I23" s="11"/>
      <c r="J23" s="11"/>
      <c r="K23" s="11"/>
      <c r="L23" s="11"/>
      <c r="M23" s="11"/>
      <c r="N23" s="11"/>
    </row>
    <row r="24" spans="2:19" x14ac:dyDescent="0.25">
      <c r="B24" s="11" t="s">
        <v>233</v>
      </c>
      <c r="C24" s="16">
        <f>C22-C21</f>
        <v>3.9090484062315689E-2</v>
      </c>
      <c r="D24" s="11"/>
      <c r="E24" s="11"/>
      <c r="F24" s="11"/>
      <c r="G24" s="11"/>
      <c r="H24" s="11"/>
      <c r="I24" s="11"/>
      <c r="J24" s="11"/>
      <c r="K24" s="11"/>
      <c r="L24" s="11"/>
      <c r="M24" s="11"/>
      <c r="N24" s="11"/>
    </row>
    <row r="25" spans="2:19" x14ac:dyDescent="0.25">
      <c r="B25" s="11"/>
      <c r="C25" s="11"/>
      <c r="D25" s="11"/>
      <c r="E25" s="11"/>
      <c r="F25" s="11"/>
      <c r="G25" s="11"/>
      <c r="H25" s="11"/>
      <c r="I25" s="11"/>
      <c r="J25" s="11"/>
      <c r="K25" s="11"/>
      <c r="L25" s="11"/>
      <c r="M25" s="11"/>
      <c r="N25" s="11"/>
    </row>
    <row r="26" spans="2:19" x14ac:dyDescent="0.25">
      <c r="B26" s="12" t="s">
        <v>234</v>
      </c>
      <c r="C26" s="126">
        <f>C21+C23*C24</f>
        <v>0.1328329097912202</v>
      </c>
      <c r="D26" s="11"/>
      <c r="E26" s="11"/>
      <c r="F26" s="11"/>
      <c r="G26" s="11"/>
      <c r="H26" s="11"/>
      <c r="I26" s="11"/>
      <c r="J26" s="11"/>
      <c r="K26" s="11"/>
      <c r="L26" s="11"/>
      <c r="M26" s="11"/>
      <c r="N26" s="11"/>
    </row>
    <row r="27" spans="2:19" x14ac:dyDescent="0.25">
      <c r="B27" s="11"/>
      <c r="C27" s="11"/>
      <c r="D27" s="11"/>
      <c r="E27" s="11"/>
      <c r="F27" s="11"/>
      <c r="G27" s="11"/>
      <c r="H27" s="11"/>
      <c r="I27" s="11"/>
      <c r="J27" s="11"/>
      <c r="K27" s="11"/>
      <c r="L27" s="11"/>
      <c r="M27" s="11"/>
      <c r="N27" s="11"/>
    </row>
    <row r="28" spans="2:19" x14ac:dyDescent="0.25">
      <c r="B28" s="234" t="s">
        <v>237</v>
      </c>
      <c r="C28" s="234"/>
      <c r="D28" s="234"/>
      <c r="E28" s="234"/>
      <c r="F28" s="11"/>
      <c r="G28" s="11"/>
      <c r="H28" s="11"/>
      <c r="I28" s="11"/>
      <c r="J28" s="11"/>
      <c r="K28" s="11"/>
      <c r="L28" s="11"/>
      <c r="M28" s="11"/>
      <c r="N28" s="11"/>
    </row>
    <row r="29" spans="2:19" x14ac:dyDescent="0.25">
      <c r="B29" s="11" t="s">
        <v>0</v>
      </c>
      <c r="C29" s="16"/>
      <c r="D29" s="11" t="s">
        <v>249</v>
      </c>
      <c r="E29" s="217" t="s">
        <v>235</v>
      </c>
      <c r="F29" s="11"/>
      <c r="G29" s="11"/>
      <c r="H29" s="124"/>
      <c r="I29" s="11"/>
      <c r="J29" s="11"/>
      <c r="K29" s="11"/>
      <c r="L29" s="11"/>
      <c r="M29" s="11"/>
      <c r="N29" s="11"/>
    </row>
    <row r="30" spans="2:19" x14ac:dyDescent="0.25">
      <c r="B30" s="11" t="s">
        <v>49</v>
      </c>
      <c r="C30" s="16">
        <f>C26</f>
        <v>0.1328329097912202</v>
      </c>
      <c r="D30" s="115">
        <f>C34/C36</f>
        <v>0.93343993094035582</v>
      </c>
      <c r="E30" s="16">
        <f>C30*D30</f>
        <v>0.1239915421421231</v>
      </c>
      <c r="F30" s="11"/>
      <c r="G30" s="11"/>
      <c r="H30" s="124"/>
      <c r="I30" s="11"/>
      <c r="J30" s="11"/>
      <c r="K30" s="11"/>
      <c r="L30" s="11"/>
      <c r="M30" s="11"/>
      <c r="N30" s="11"/>
    </row>
    <row r="31" spans="2:19" x14ac:dyDescent="0.25">
      <c r="B31" s="11" t="s">
        <v>236</v>
      </c>
      <c r="C31" s="115">
        <f>Cost_Buildup!H35-Cost_Buildup!H33</f>
        <v>0.21368521625893891</v>
      </c>
      <c r="D31" s="115">
        <f>C35/C36</f>
        <v>6.6560069059644192E-2</v>
      </c>
      <c r="E31" s="16">
        <f>C31*D31</f>
        <v>1.4222902751219978E-2</v>
      </c>
      <c r="F31" s="11"/>
      <c r="G31" s="11"/>
      <c r="H31" s="11"/>
      <c r="I31" s="11"/>
      <c r="J31" s="11"/>
      <c r="K31" s="11"/>
      <c r="L31" s="11"/>
      <c r="M31" s="11"/>
      <c r="N31" s="11"/>
    </row>
    <row r="32" spans="2:19" x14ac:dyDescent="0.25">
      <c r="B32" s="129" t="s">
        <v>237</v>
      </c>
      <c r="C32" s="128"/>
      <c r="D32" s="127"/>
      <c r="E32" s="126">
        <f>SUM(E30:E31)</f>
        <v>0.13821444489334309</v>
      </c>
      <c r="F32" s="11"/>
      <c r="G32" s="11"/>
      <c r="H32" s="114"/>
      <c r="I32" s="11"/>
      <c r="J32" s="11"/>
      <c r="K32" s="11"/>
      <c r="L32" s="11"/>
      <c r="M32" s="11"/>
      <c r="N32" s="11"/>
    </row>
    <row r="33" spans="2:14" x14ac:dyDescent="0.25">
      <c r="B33" s="11"/>
      <c r="C33" s="11"/>
      <c r="D33" s="11"/>
      <c r="E33" s="11"/>
      <c r="F33" s="11"/>
      <c r="G33" s="11"/>
      <c r="H33" s="114"/>
      <c r="I33" s="11"/>
      <c r="J33" s="11"/>
      <c r="K33" s="11"/>
      <c r="L33" s="11"/>
      <c r="M33" s="11"/>
      <c r="N33" s="11"/>
    </row>
    <row r="34" spans="2:14" x14ac:dyDescent="0.25">
      <c r="B34" s="11" t="s">
        <v>238</v>
      </c>
      <c r="C34" s="31">
        <f>Assumption_Sheet!D28</f>
        <v>568875.23199999996</v>
      </c>
      <c r="D34" s="11"/>
      <c r="E34" s="11"/>
      <c r="F34" s="11"/>
      <c r="G34" s="11"/>
      <c r="H34" s="11"/>
      <c r="I34" s="11"/>
      <c r="J34" s="11"/>
      <c r="K34" s="11"/>
      <c r="L34" s="11"/>
      <c r="M34" s="11"/>
      <c r="N34" s="11"/>
    </row>
    <row r="35" spans="2:14" x14ac:dyDescent="0.25">
      <c r="B35" s="11" t="s">
        <v>239</v>
      </c>
      <c r="C35" s="31">
        <f>Balance_Sheet!G58+Balance_Sheet!G70</f>
        <v>40564.339999999997</v>
      </c>
      <c r="D35" s="11"/>
      <c r="E35" s="11"/>
      <c r="F35" s="11"/>
      <c r="G35" s="11"/>
      <c r="H35" s="114"/>
      <c r="I35" s="11"/>
      <c r="J35" s="11"/>
      <c r="K35" s="11"/>
      <c r="L35" s="11"/>
      <c r="M35" s="11"/>
      <c r="N35" s="11"/>
    </row>
    <row r="36" spans="2:14" x14ac:dyDescent="0.25">
      <c r="B36" s="12" t="s">
        <v>240</v>
      </c>
      <c r="C36" s="34">
        <f>SUM(C34:C35)</f>
        <v>609439.57199999993</v>
      </c>
      <c r="D36" s="11"/>
      <c r="E36" s="11"/>
      <c r="F36" s="11"/>
      <c r="G36" s="11"/>
      <c r="H36" s="11"/>
      <c r="I36" s="11"/>
      <c r="J36" s="11"/>
      <c r="K36" s="11"/>
      <c r="L36" s="11"/>
      <c r="M36" s="11"/>
      <c r="N36" s="11"/>
    </row>
    <row r="37" spans="2:14" x14ac:dyDescent="0.25">
      <c r="B37" s="11"/>
      <c r="C37" s="11"/>
      <c r="D37" s="11"/>
      <c r="E37" s="11"/>
      <c r="F37" s="11"/>
      <c r="G37" s="11"/>
      <c r="H37" s="11"/>
      <c r="I37" s="11"/>
      <c r="J37" s="11"/>
      <c r="K37" s="11"/>
      <c r="L37" s="11"/>
      <c r="M37" s="11"/>
      <c r="N37" s="11"/>
    </row>
    <row r="38" spans="2:14" x14ac:dyDescent="0.25">
      <c r="B38" s="234" t="s">
        <v>251</v>
      </c>
      <c r="C38" s="234"/>
      <c r="D38" s="11"/>
      <c r="E38" s="11"/>
      <c r="F38" s="11"/>
      <c r="G38" s="11"/>
      <c r="H38" s="115"/>
      <c r="I38" s="11"/>
      <c r="J38" s="11"/>
      <c r="K38" s="11"/>
      <c r="L38" s="11"/>
      <c r="M38" s="11"/>
      <c r="N38" s="11"/>
    </row>
    <row r="39" spans="2:14" x14ac:dyDescent="0.25">
      <c r="B39" s="11" t="s">
        <v>250</v>
      </c>
      <c r="C39" s="123">
        <v>0.06</v>
      </c>
      <c r="D39" s="11"/>
      <c r="E39" s="11"/>
      <c r="F39" s="11"/>
      <c r="G39" s="11"/>
      <c r="H39" s="11"/>
      <c r="I39" s="11"/>
      <c r="J39" s="11"/>
      <c r="K39" s="11"/>
      <c r="L39" s="11"/>
      <c r="M39" s="11"/>
      <c r="N39" s="11"/>
    </row>
    <row r="40" spans="2:14" x14ac:dyDescent="0.25">
      <c r="B40" s="11" t="s">
        <v>251</v>
      </c>
      <c r="C40" s="31">
        <f>Q17*(1+C39)/(E32-C39)</f>
        <v>598206.85543605231</v>
      </c>
      <c r="D40" s="11"/>
      <c r="E40" s="11"/>
      <c r="F40" s="11"/>
      <c r="G40" s="11"/>
      <c r="H40" s="11"/>
      <c r="I40" s="11"/>
      <c r="J40" s="11"/>
      <c r="K40" s="11"/>
      <c r="L40" s="11"/>
      <c r="M40" s="11"/>
      <c r="N40" s="11"/>
    </row>
    <row r="41" spans="2:14" x14ac:dyDescent="0.25">
      <c r="B41" s="11"/>
      <c r="C41" s="11"/>
      <c r="D41" s="11"/>
      <c r="E41" s="11"/>
      <c r="F41" s="11"/>
      <c r="G41" s="11"/>
      <c r="H41" s="11"/>
      <c r="I41" s="11"/>
      <c r="J41" s="11"/>
      <c r="K41" s="11"/>
      <c r="L41" s="11"/>
      <c r="M41" s="11"/>
      <c r="N41" s="11"/>
    </row>
    <row r="42" spans="2:14" x14ac:dyDescent="0.25">
      <c r="B42" s="11"/>
      <c r="C42" s="11"/>
      <c r="D42" s="11"/>
      <c r="E42" s="11"/>
      <c r="F42" s="11"/>
      <c r="G42" s="11"/>
      <c r="H42" s="11"/>
      <c r="I42" s="11"/>
      <c r="J42" s="11"/>
      <c r="K42" s="11"/>
      <c r="L42" s="11"/>
      <c r="M42" s="11"/>
      <c r="N42" s="11"/>
    </row>
    <row r="43" spans="2:14" x14ac:dyDescent="0.25">
      <c r="B43" s="234" t="s">
        <v>252</v>
      </c>
      <c r="C43" s="234"/>
      <c r="D43" s="11"/>
      <c r="E43" s="11"/>
      <c r="F43" s="11"/>
      <c r="G43" s="11"/>
      <c r="H43" s="11"/>
      <c r="I43" s="11"/>
      <c r="J43" s="11"/>
      <c r="K43" s="11"/>
      <c r="L43" s="11"/>
      <c r="M43" s="11"/>
      <c r="N43" s="11"/>
    </row>
    <row r="44" spans="2:14" x14ac:dyDescent="0.25">
      <c r="B44" s="11" t="s">
        <v>253</v>
      </c>
      <c r="C44" s="31">
        <f>NPV(E32,H17:Q17)</f>
        <v>81178.703349326257</v>
      </c>
      <c r="D44" s="11"/>
      <c r="E44" s="11"/>
      <c r="F44" s="11"/>
      <c r="G44" s="11"/>
      <c r="H44" s="11"/>
      <c r="I44" s="11"/>
      <c r="J44" s="11"/>
      <c r="K44" s="11"/>
      <c r="L44" s="11"/>
      <c r="M44" s="11"/>
      <c r="N44" s="11"/>
    </row>
    <row r="45" spans="2:14" x14ac:dyDescent="0.25">
      <c r="B45" s="11" t="s">
        <v>254</v>
      </c>
      <c r="C45" s="31">
        <f>PV(E32,COUNT(H8:Q8),0,-C40)</f>
        <v>163911.88964692139</v>
      </c>
      <c r="D45" s="11"/>
      <c r="E45" s="11"/>
      <c r="F45" s="11"/>
      <c r="G45" s="11"/>
      <c r="H45" s="11"/>
      <c r="I45" s="11"/>
      <c r="J45" s="11"/>
      <c r="K45" s="11"/>
      <c r="L45" s="11"/>
      <c r="M45" s="11"/>
      <c r="N45" s="11"/>
    </row>
    <row r="46" spans="2:14" x14ac:dyDescent="0.25">
      <c r="B46" s="11"/>
      <c r="C46" s="31"/>
      <c r="D46" s="11"/>
      <c r="E46" s="11"/>
      <c r="F46" s="11"/>
      <c r="G46" s="11"/>
      <c r="H46" s="11"/>
      <c r="I46" s="11"/>
      <c r="J46" s="11"/>
      <c r="K46" s="11"/>
      <c r="L46" s="11"/>
      <c r="M46" s="11"/>
      <c r="N46" s="11"/>
    </row>
    <row r="47" spans="2:14" x14ac:dyDescent="0.25">
      <c r="B47" s="12" t="s">
        <v>255</v>
      </c>
      <c r="C47" s="34">
        <f>SUM(C44:C45)</f>
        <v>245090.59299624764</v>
      </c>
      <c r="D47" s="11"/>
      <c r="E47" s="11"/>
      <c r="F47" s="11"/>
      <c r="G47" s="11"/>
      <c r="H47" s="11"/>
      <c r="I47" s="11"/>
      <c r="J47" s="11"/>
      <c r="K47" s="11"/>
      <c r="L47" s="11"/>
      <c r="M47" s="11"/>
      <c r="N47" s="11"/>
    </row>
    <row r="48" spans="2:14" x14ac:dyDescent="0.25">
      <c r="B48" s="11"/>
      <c r="C48" s="31"/>
      <c r="D48" s="11"/>
      <c r="E48" s="11"/>
      <c r="F48" s="11"/>
      <c r="G48" s="11"/>
      <c r="H48" s="11"/>
      <c r="I48" s="11"/>
      <c r="J48" s="11"/>
      <c r="K48" s="11"/>
      <c r="L48" s="11"/>
      <c r="M48" s="11"/>
      <c r="N48" s="11"/>
    </row>
    <row r="49" spans="2:14" x14ac:dyDescent="0.25">
      <c r="B49" s="11" t="s">
        <v>256</v>
      </c>
      <c r="C49" s="31">
        <f>Balance_Sheet!H35</f>
        <v>5595.3472123059182</v>
      </c>
      <c r="D49" s="11"/>
      <c r="E49" s="11"/>
      <c r="F49" s="11"/>
      <c r="G49" s="11"/>
      <c r="H49" s="11"/>
      <c r="I49" s="11"/>
      <c r="J49" s="11"/>
      <c r="K49" s="11"/>
      <c r="L49" s="11"/>
      <c r="M49" s="11"/>
      <c r="N49" s="11"/>
    </row>
    <row r="50" spans="2:14" x14ac:dyDescent="0.25">
      <c r="B50" s="11" t="s">
        <v>257</v>
      </c>
      <c r="C50" s="31">
        <f>C35</f>
        <v>40564.339999999997</v>
      </c>
      <c r="D50" s="11"/>
      <c r="E50" s="11"/>
      <c r="F50" s="11"/>
      <c r="G50" s="11"/>
      <c r="H50" s="11"/>
      <c r="I50" s="11"/>
      <c r="J50" s="11"/>
      <c r="K50" s="11"/>
      <c r="L50" s="11"/>
      <c r="M50" s="11"/>
      <c r="N50" s="11"/>
    </row>
    <row r="51" spans="2:14" x14ac:dyDescent="0.25">
      <c r="B51" s="11" t="s">
        <v>258</v>
      </c>
      <c r="C51" s="31">
        <f>Balance_Sheet!H52</f>
        <v>2809.97</v>
      </c>
      <c r="D51" s="11"/>
      <c r="E51" s="11"/>
      <c r="F51" s="11"/>
      <c r="G51" s="11"/>
      <c r="H51" s="11"/>
      <c r="I51" s="11"/>
      <c r="J51" s="11"/>
      <c r="K51" s="11"/>
      <c r="L51" s="11"/>
      <c r="M51" s="11"/>
      <c r="N51" s="11"/>
    </row>
    <row r="52" spans="2:14" x14ac:dyDescent="0.25">
      <c r="B52" s="11" t="s">
        <v>259</v>
      </c>
      <c r="C52" s="31">
        <v>0</v>
      </c>
      <c r="D52" s="11"/>
      <c r="E52" s="11"/>
      <c r="F52" s="11"/>
      <c r="G52" s="11"/>
      <c r="H52" s="11"/>
      <c r="I52" s="11"/>
      <c r="J52" s="11"/>
      <c r="K52" s="11"/>
      <c r="L52" s="11"/>
      <c r="M52" s="11"/>
      <c r="N52" s="11"/>
    </row>
    <row r="53" spans="2:14" ht="15.75" x14ac:dyDescent="0.25">
      <c r="B53" s="11"/>
      <c r="C53" s="31"/>
      <c r="D53" s="11"/>
      <c r="E53" s="11"/>
      <c r="F53" s="11"/>
      <c r="G53" s="235" t="s">
        <v>295</v>
      </c>
      <c r="H53" s="235"/>
      <c r="I53" s="235"/>
      <c r="J53" s="235"/>
      <c r="K53" s="235"/>
      <c r="L53" s="235"/>
      <c r="M53" s="235"/>
      <c r="N53" s="11"/>
    </row>
    <row r="54" spans="2:14" x14ac:dyDescent="0.25">
      <c r="B54" s="12" t="s">
        <v>238</v>
      </c>
      <c r="C54" s="34">
        <f>C47+C49-C50-C51-C52</f>
        <v>207311.63020855357</v>
      </c>
      <c r="D54" s="11"/>
      <c r="E54" s="11"/>
      <c r="F54" s="11"/>
      <c r="G54" s="11"/>
      <c r="H54" s="11"/>
      <c r="I54" s="11"/>
      <c r="J54" s="11"/>
      <c r="K54" s="11"/>
      <c r="L54" s="11"/>
      <c r="M54" s="11"/>
      <c r="N54" s="11"/>
    </row>
    <row r="55" spans="2:14" x14ac:dyDescent="0.25">
      <c r="B55" s="11"/>
      <c r="C55" s="31"/>
      <c r="D55" s="11"/>
      <c r="E55" s="11"/>
      <c r="F55" s="11"/>
      <c r="G55" s="132"/>
      <c r="H55" s="132"/>
      <c r="I55" s="234" t="s">
        <v>296</v>
      </c>
      <c r="J55" s="234"/>
      <c r="K55" s="234"/>
      <c r="L55" s="234"/>
      <c r="M55" s="234"/>
      <c r="N55" s="11"/>
    </row>
    <row r="56" spans="2:14" x14ac:dyDescent="0.25">
      <c r="B56" s="11" t="s">
        <v>260</v>
      </c>
      <c r="C56" s="31">
        <f>Assumption_Sheet!D25</f>
        <v>27856000000</v>
      </c>
      <c r="D56" s="11"/>
      <c r="E56" s="11"/>
      <c r="F56" s="11"/>
      <c r="G56" s="132"/>
      <c r="H56" s="133">
        <f>C57</f>
        <v>74.422612797441687</v>
      </c>
      <c r="I56" s="134">
        <v>0.08</v>
      </c>
      <c r="J56" s="134">
        <v>0.09</v>
      </c>
      <c r="K56" s="134">
        <v>0.13821444489334309</v>
      </c>
      <c r="L56" s="134">
        <v>0.11</v>
      </c>
      <c r="M56" s="134">
        <v>0.12</v>
      </c>
      <c r="N56" s="11"/>
    </row>
    <row r="57" spans="2:14" x14ac:dyDescent="0.25">
      <c r="B57" s="130" t="s">
        <v>261</v>
      </c>
      <c r="C57" s="131">
        <f>C54*10^7/C56</f>
        <v>74.422612797441687</v>
      </c>
      <c r="D57" s="11"/>
      <c r="E57" s="11"/>
      <c r="F57" s="11"/>
      <c r="G57" s="254" t="s">
        <v>297</v>
      </c>
      <c r="H57" s="134">
        <v>0.04</v>
      </c>
      <c r="I57" s="135">
        <f t="dataTable" ref="I57:M61" dt2D="1" dtr="1" r1="E32" r2="C39"/>
        <v>218.31781771580117</v>
      </c>
      <c r="J57" s="135">
        <v>164.25687893246908</v>
      </c>
      <c r="K57" s="135">
        <v>61.555990267459272</v>
      </c>
      <c r="L57" s="135">
        <v>103.59065014196482</v>
      </c>
      <c r="M57" s="135">
        <v>85.068842299271793</v>
      </c>
      <c r="N57" s="11"/>
    </row>
    <row r="58" spans="2:14" x14ac:dyDescent="0.25">
      <c r="B58" s="11"/>
      <c r="C58" s="31"/>
      <c r="D58" s="11"/>
      <c r="E58" s="11"/>
      <c r="F58" s="11"/>
      <c r="G58" s="254"/>
      <c r="H58" s="134">
        <v>4.4999999999999998E-2</v>
      </c>
      <c r="I58" s="135">
        <v>246.62795030210629</v>
      </c>
      <c r="J58" s="135">
        <v>180.46985489475298</v>
      </c>
      <c r="K58" s="135">
        <v>64.255024038422135</v>
      </c>
      <c r="L58" s="135">
        <v>110.39780346446355</v>
      </c>
      <c r="M58" s="135">
        <v>89.830632796247542</v>
      </c>
      <c r="N58" s="11"/>
    </row>
    <row r="59" spans="2:14" x14ac:dyDescent="0.25">
      <c r="B59" s="11" t="s">
        <v>262</v>
      </c>
      <c r="C59" s="31">
        <f>Assumption_Sheet!D27</f>
        <v>204.22</v>
      </c>
      <c r="D59" s="11"/>
      <c r="E59" s="11"/>
      <c r="F59" s="11"/>
      <c r="G59" s="254"/>
      <c r="H59" s="134">
        <v>0.06</v>
      </c>
      <c r="I59" s="135">
        <v>416.48874581993726</v>
      </c>
      <c r="J59" s="135">
        <v>261.53473470617286</v>
      </c>
      <c r="K59" s="136">
        <v>74.422612797441687</v>
      </c>
      <c r="L59" s="135">
        <v>138.98784741895821</v>
      </c>
      <c r="M59" s="135">
        <v>108.8777947841505</v>
      </c>
      <c r="N59" s="11"/>
    </row>
    <row r="60" spans="2:14" x14ac:dyDescent="0.25">
      <c r="B60" s="11"/>
      <c r="C60" s="11"/>
      <c r="D60" s="11"/>
      <c r="E60" s="11"/>
      <c r="F60" s="11"/>
      <c r="G60" s="254"/>
      <c r="H60" s="134">
        <v>6.5000000000000002E-2</v>
      </c>
      <c r="I60" s="135">
        <v>548.60269788936137</v>
      </c>
      <c r="J60" s="135">
        <v>310.17366259302474</v>
      </c>
      <c r="K60" s="135">
        <v>78.737636257891737</v>
      </c>
      <c r="L60" s="135">
        <v>152.75342413778895</v>
      </c>
      <c r="M60" s="135">
        <v>117.53559568774277</v>
      </c>
      <c r="N60" s="11"/>
    </row>
    <row r="61" spans="2:14" x14ac:dyDescent="0.25">
      <c r="B61" s="11" t="s">
        <v>263</v>
      </c>
      <c r="C61" s="115">
        <f>(C57-C59)/C59</f>
        <v>-0.63557627657701643</v>
      </c>
      <c r="D61" s="11"/>
      <c r="E61" s="11"/>
      <c r="F61" s="11"/>
      <c r="G61" s="254"/>
      <c r="H61" s="134">
        <v>7.0000000000000007E-2</v>
      </c>
      <c r="I61" s="135">
        <v>812.83060202820991</v>
      </c>
      <c r="J61" s="135">
        <v>383.13205442330275</v>
      </c>
      <c r="K61" s="135">
        <v>83.685227126490716</v>
      </c>
      <c r="L61" s="135">
        <v>169.96039503632741</v>
      </c>
      <c r="M61" s="135">
        <v>127.92495677205351</v>
      </c>
      <c r="N61" s="11"/>
    </row>
    <row r="62" spans="2:14" x14ac:dyDescent="0.25">
      <c r="C62" s="11"/>
      <c r="D62" s="11"/>
      <c r="E62" s="11"/>
      <c r="F62" s="11"/>
      <c r="G62" s="11"/>
      <c r="H62" s="11"/>
      <c r="I62" s="11"/>
      <c r="J62" s="11"/>
      <c r="K62" s="11"/>
      <c r="L62" s="11"/>
      <c r="M62" s="11"/>
      <c r="N62" s="11"/>
    </row>
  </sheetData>
  <mergeCells count="9">
    <mergeCell ref="G57:G61"/>
    <mergeCell ref="I55:M55"/>
    <mergeCell ref="G53:M53"/>
    <mergeCell ref="B8:B9"/>
    <mergeCell ref="B7:Q7"/>
    <mergeCell ref="B20:C20"/>
    <mergeCell ref="B28:E28"/>
    <mergeCell ref="B38:C38"/>
    <mergeCell ref="B43:C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Assumption_Sheet</vt:lpstr>
      <vt:lpstr>P&amp;L_Input</vt:lpstr>
      <vt:lpstr>BS_Input</vt:lpstr>
      <vt:lpstr>Common_Sizing</vt:lpstr>
      <vt:lpstr>Revenue Build Up</vt:lpstr>
      <vt:lpstr>Cost_Buildup</vt:lpstr>
      <vt:lpstr>FAS</vt:lpstr>
      <vt:lpstr>BS_Item</vt:lpstr>
      <vt:lpstr>Working_Capital</vt:lpstr>
      <vt:lpstr>Income Statement</vt:lpstr>
      <vt:lpstr>Balance_Sheet</vt:lpstr>
      <vt:lpstr>Cash_ Flow_Statement</vt:lpstr>
      <vt:lpstr>Ratio_Analysis</vt:lpstr>
      <vt:lpstr>chart</vt:lpstr>
      <vt:lpstr>Equity Beta</vt:lpstr>
      <vt:lpstr>Market Data</vt:lpstr>
      <vt:lpstr>DCF_Analysis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chaudhari</dc:creator>
  <cp:lastModifiedBy>Suresh chaudhari</cp:lastModifiedBy>
  <dcterms:created xsi:type="dcterms:W3CDTF">2025-01-14T16:57:10Z</dcterms:created>
  <dcterms:modified xsi:type="dcterms:W3CDTF">2025-03-31T06:48:29Z</dcterms:modified>
</cp:coreProperties>
</file>