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REE\Documents\"/>
    </mc:Choice>
  </mc:AlternateContent>
  <xr:revisionPtr revIDLastSave="0" documentId="13_ncr:1_{DD4D9BF5-0A61-43F2-B400-2CE0A92B3494}" xr6:coauthVersionLast="47" xr6:coauthVersionMax="47" xr10:uidLastSave="{00000000-0000-0000-0000-000000000000}"/>
  <bookViews>
    <workbookView xWindow="-120" yWindow="-120" windowWidth="20730" windowHeight="11160" tabRatio="573" firstSheet="5" activeTab="10" xr2:uid="{00000000-000D-0000-FFFF-FFFF00000000}"/>
  </bookViews>
  <sheets>
    <sheet name="Assumption" sheetId="17" r:id="rId1"/>
    <sheet name="historical" sheetId="1" r:id="rId2"/>
    <sheet name="Model" sheetId="2" r:id="rId3"/>
    <sheet name="scenario" sheetId="18" r:id="rId4"/>
    <sheet name="working capital" sheetId="14" r:id="rId5"/>
    <sheet name="comps" sheetId="4" r:id="rId6"/>
    <sheet name="comps data" sheetId="10" r:id="rId7"/>
    <sheet name="market data" sheetId="12" r:id="rId8"/>
    <sheet name="Equity Beta" sheetId="16" r:id="rId9"/>
    <sheet name="Wacc" sheetId="13" r:id="rId10"/>
    <sheet name="Ratio analysis" sheetId="15" r:id="rId11"/>
    <sheet name="Summary" sheetId="1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9" i="2" l="1"/>
  <c r="E151" i="2"/>
  <c r="L13" i="16"/>
  <c r="I14" i="12"/>
  <c r="I13" i="12"/>
  <c r="L9" i="16" l="1"/>
  <c r="L8"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H10" i="16"/>
  <c r="F10" i="16"/>
  <c r="L15" i="14"/>
  <c r="M15" i="14" s="1"/>
  <c r="N15" i="14" s="1"/>
  <c r="O15" i="14" s="1"/>
  <c r="P15" i="14" s="1"/>
  <c r="Q15" i="14" s="1"/>
  <c r="R15" i="14" s="1"/>
  <c r="S15" i="14" s="1"/>
  <c r="L16" i="14"/>
  <c r="M16" i="14" s="1"/>
  <c r="N16" i="14" s="1"/>
  <c r="O16" i="14" s="1"/>
  <c r="P16" i="14" s="1"/>
  <c r="Q16" i="14" s="1"/>
  <c r="R16" i="14" s="1"/>
  <c r="S16" i="14" s="1"/>
  <c r="L17" i="14"/>
  <c r="M17" i="14" s="1"/>
  <c r="N17" i="14" s="1"/>
  <c r="O17" i="14" s="1"/>
  <c r="P17" i="14" s="1"/>
  <c r="Q17" i="14" s="1"/>
  <c r="R17" i="14" s="1"/>
  <c r="S17" i="14" s="1"/>
  <c r="K17" i="14"/>
  <c r="K16" i="14"/>
  <c r="K15" i="14"/>
  <c r="J16" i="14"/>
  <c r="J17" i="14"/>
  <c r="J15" i="14"/>
  <c r="F9" i="14"/>
  <c r="G9" i="14"/>
  <c r="H9" i="14"/>
  <c r="I9" i="14"/>
  <c r="F10" i="14"/>
  <c r="G10" i="14"/>
  <c r="H10" i="14"/>
  <c r="I10" i="14"/>
  <c r="F11" i="14"/>
  <c r="G11" i="14"/>
  <c r="H11" i="14"/>
  <c r="I11" i="14"/>
  <c r="E11" i="14"/>
  <c r="E10" i="14"/>
  <c r="E9" i="14"/>
  <c r="O22" i="2"/>
  <c r="P22" i="2"/>
  <c r="Q22" i="2" s="1"/>
  <c r="R22" i="2" s="1"/>
  <c r="S22" i="2" s="1"/>
  <c r="T22" i="2" s="1"/>
  <c r="U22" i="2" s="1"/>
  <c r="V22" i="2" s="1"/>
  <c r="O23" i="2"/>
  <c r="P23" i="2"/>
  <c r="Q23" i="2" s="1"/>
  <c r="R23" i="2" s="1"/>
  <c r="S23" i="2" s="1"/>
  <c r="T23" i="2" s="1"/>
  <c r="U23" i="2" s="1"/>
  <c r="V23" i="2" s="1"/>
  <c r="O24" i="2"/>
  <c r="P24" i="2"/>
  <c r="Q24" i="2" s="1"/>
  <c r="R24" i="2" s="1"/>
  <c r="S24" i="2" s="1"/>
  <c r="T24" i="2" s="1"/>
  <c r="U24" i="2" s="1"/>
  <c r="V24" i="2" s="1"/>
  <c r="N24" i="2"/>
  <c r="N23" i="2"/>
  <c r="N22" i="2"/>
  <c r="N132" i="2"/>
  <c r="M132" i="2"/>
  <c r="N131" i="2"/>
  <c r="O131" i="2" s="1"/>
  <c r="P131" i="2" s="1"/>
  <c r="Q131" i="2" s="1"/>
  <c r="R131" i="2" s="1"/>
  <c r="S131" i="2" s="1"/>
  <c r="T131" i="2" s="1"/>
  <c r="U131" i="2" s="1"/>
  <c r="V131" i="2" s="1"/>
  <c r="M131" i="2"/>
  <c r="N17" i="2"/>
  <c r="O17" i="2" s="1"/>
  <c r="P17" i="2" s="1"/>
  <c r="Q17" i="2" s="1"/>
  <c r="R17" i="2" s="1"/>
  <c r="S17" i="2" s="1"/>
  <c r="T17" i="2" s="1"/>
  <c r="U17" i="2" s="1"/>
  <c r="V17" i="2" s="1"/>
  <c r="M17" i="2"/>
  <c r="N20" i="2"/>
  <c r="O20" i="2" s="1"/>
  <c r="M20" i="2"/>
  <c r="K14" i="19"/>
  <c r="I16" i="19"/>
  <c r="I14" i="19"/>
  <c r="H15" i="19"/>
  <c r="H16" i="19" s="1"/>
  <c r="H13" i="19"/>
  <c r="H14" i="19" s="1"/>
  <c r="F8" i="14" l="1"/>
  <c r="G8" i="14" s="1"/>
  <c r="H8" i="14" s="1"/>
  <c r="I8" i="14" s="1"/>
  <c r="K8" i="14"/>
  <c r="L8" i="14" s="1"/>
  <c r="M8" i="14" s="1"/>
  <c r="N8" i="14" s="1"/>
  <c r="O8" i="14" s="1"/>
  <c r="P8" i="14" s="1"/>
  <c r="Q8" i="14" s="1"/>
  <c r="R8" i="14" s="1"/>
  <c r="S8" i="14" s="1"/>
  <c r="K9" i="15"/>
  <c r="L9" i="15" s="1"/>
  <c r="M9" i="15" s="1"/>
  <c r="N9" i="15" s="1"/>
  <c r="O9" i="15" s="1"/>
  <c r="P9" i="15" s="1"/>
  <c r="Q9" i="15" s="1"/>
  <c r="R9" i="15" s="1"/>
  <c r="S9" i="15" s="1"/>
  <c r="F9" i="15"/>
  <c r="G9" i="15" s="1"/>
  <c r="H9" i="15" s="1"/>
  <c r="I9" i="15" s="1"/>
  <c r="N8" i="2"/>
  <c r="O8" i="2" s="1"/>
  <c r="P8" i="2" s="1"/>
  <c r="Q8" i="2" s="1"/>
  <c r="R8" i="2" s="1"/>
  <c r="S8" i="2" s="1"/>
  <c r="T8" i="2" s="1"/>
  <c r="U8" i="2" s="1"/>
  <c r="V8" i="2" s="1"/>
  <c r="I8" i="2"/>
  <c r="J8" i="2" s="1"/>
  <c r="K8" i="2" s="1"/>
  <c r="L8" i="2" s="1"/>
  <c r="G20" i="1"/>
  <c r="H20" i="1"/>
  <c r="I20" i="1"/>
  <c r="J20" i="1"/>
  <c r="K20" i="1"/>
  <c r="H143" i="1"/>
  <c r="I143" i="1"/>
  <c r="J143" i="1"/>
  <c r="K143" i="1"/>
  <c r="H34" i="1" l="1"/>
  <c r="H35" i="1" s="1"/>
  <c r="I34" i="1"/>
  <c r="I35" i="1" s="1"/>
  <c r="J34" i="1"/>
  <c r="J35" i="1" s="1"/>
  <c r="K34" i="1"/>
  <c r="K35" i="1" s="1"/>
  <c r="G34" i="1"/>
  <c r="G35" i="1" s="1"/>
  <c r="H165" i="1"/>
  <c r="I165" i="1"/>
  <c r="J165" i="1"/>
  <c r="K165" i="1"/>
  <c r="G165" i="1"/>
  <c r="H154" i="1" l="1"/>
  <c r="H167" i="1" s="1"/>
  <c r="I154" i="1"/>
  <c r="I167" i="1" s="1"/>
  <c r="J154" i="1"/>
  <c r="K154" i="1"/>
  <c r="K167" i="1" s="1"/>
  <c r="G154" i="1"/>
  <c r="G140" i="1"/>
  <c r="G132" i="1"/>
  <c r="G133" i="1" s="1"/>
  <c r="H109" i="1"/>
  <c r="I109" i="1"/>
  <c r="J109" i="1"/>
  <c r="K109" i="1"/>
  <c r="G109" i="1"/>
  <c r="H81" i="1"/>
  <c r="I81" i="1"/>
  <c r="J81" i="1"/>
  <c r="K81" i="1"/>
  <c r="G81" i="1"/>
  <c r="H70" i="1"/>
  <c r="I70" i="1"/>
  <c r="J70" i="1"/>
  <c r="K70" i="1"/>
  <c r="G70" i="1"/>
  <c r="H11" i="1"/>
  <c r="I11" i="1"/>
  <c r="J11" i="1"/>
  <c r="K11" i="1"/>
  <c r="G11" i="1"/>
  <c r="G141" i="1" l="1"/>
  <c r="G143" i="1" s="1"/>
  <c r="G167" i="1" s="1"/>
  <c r="J167" i="1"/>
  <c r="J13" i="19"/>
  <c r="J14" i="19" s="1"/>
  <c r="J15" i="19"/>
  <c r="J16" i="19" s="1"/>
  <c r="E8" i="15"/>
  <c r="E7" i="14"/>
  <c r="Q108" i="2" l="1"/>
  <c r="R108" i="2"/>
  <c r="S108" i="2"/>
  <c r="T108" i="2"/>
  <c r="U108" i="2"/>
  <c r="V108" i="2"/>
  <c r="G11" i="2"/>
  <c r="I7" i="2" l="1"/>
  <c r="J7" i="2" l="1"/>
  <c r="F8" i="15"/>
  <c r="H56" i="1"/>
  <c r="H73" i="1" s="1"/>
  <c r="I56" i="1"/>
  <c r="I73" i="1" s="1"/>
  <c r="J56" i="1"/>
  <c r="J73" i="1" s="1"/>
  <c r="K56" i="1"/>
  <c r="K73" i="1" s="1"/>
  <c r="G56" i="1"/>
  <c r="G73" i="1" s="1"/>
  <c r="H126" i="2"/>
  <c r="H125" i="2"/>
  <c r="H124" i="2"/>
  <c r="H123" i="2"/>
  <c r="H116" i="2"/>
  <c r="H111" i="2"/>
  <c r="H110" i="2"/>
  <c r="H109" i="2"/>
  <c r="H108" i="2"/>
  <c r="H103" i="2"/>
  <c r="H102" i="2"/>
  <c r="H101" i="2"/>
  <c r="H100" i="2"/>
  <c r="H99" i="2"/>
  <c r="H98" i="2"/>
  <c r="H90" i="2"/>
  <c r="H132" i="2" s="1"/>
  <c r="H89" i="2"/>
  <c r="H82" i="2"/>
  <c r="H81" i="2"/>
  <c r="H79" i="2"/>
  <c r="H78" i="2"/>
  <c r="H74" i="2"/>
  <c r="H73" i="2"/>
  <c r="H72" i="2"/>
  <c r="H69" i="2"/>
  <c r="H68" i="2"/>
  <c r="H63" i="2"/>
  <c r="H62" i="2"/>
  <c r="H61" i="2"/>
  <c r="H60" i="2"/>
  <c r="H133" i="2" s="1"/>
  <c r="I130" i="2" s="1"/>
  <c r="H57" i="2"/>
  <c r="H56" i="2"/>
  <c r="H55" i="2"/>
  <c r="H54" i="2"/>
  <c r="H53" i="2"/>
  <c r="H48" i="2"/>
  <c r="H46" i="2"/>
  <c r="H45" i="2"/>
  <c r="H44" i="2"/>
  <c r="H139" i="2" s="1"/>
  <c r="H42" i="2"/>
  <c r="H40" i="2"/>
  <c r="H39" i="2"/>
  <c r="H36" i="2"/>
  <c r="H35" i="2"/>
  <c r="H91" i="2"/>
  <c r="H96" i="1"/>
  <c r="H111" i="1" s="1"/>
  <c r="I96" i="1"/>
  <c r="I111" i="1" s="1"/>
  <c r="J96" i="1"/>
  <c r="J111" i="1" s="1"/>
  <c r="K96" i="1"/>
  <c r="K111" i="1" s="1"/>
  <c r="G96" i="1"/>
  <c r="G111" i="1" s="1"/>
  <c r="A6" i="16"/>
  <c r="A6" i="19" s="1"/>
  <c r="F7" i="14"/>
  <c r="A6" i="13"/>
  <c r="A6" i="12"/>
  <c r="A6" i="10"/>
  <c r="A6" i="4"/>
  <c r="E152" i="2"/>
  <c r="K7" i="2" l="1"/>
  <c r="G8" i="15"/>
  <c r="H37" i="2"/>
  <c r="E11" i="15" s="1"/>
  <c r="K113" i="1"/>
  <c r="J113" i="1"/>
  <c r="I113" i="1"/>
  <c r="H113" i="1"/>
  <c r="G113" i="1"/>
  <c r="E38" i="15"/>
  <c r="H138" i="2"/>
  <c r="I136" i="2" s="1"/>
  <c r="E40" i="15"/>
  <c r="E13" i="14"/>
  <c r="H15" i="2"/>
  <c r="H24" i="2"/>
  <c r="E17" i="14" s="1"/>
  <c r="E61" i="15" s="1"/>
  <c r="H104" i="2"/>
  <c r="H16" i="2"/>
  <c r="H19" i="2"/>
  <c r="H22" i="2"/>
  <c r="E15" i="14" s="1"/>
  <c r="H75" i="2"/>
  <c r="H80" i="2"/>
  <c r="E47" i="15" s="1"/>
  <c r="H23" i="2"/>
  <c r="E16" i="14" s="1"/>
  <c r="E57" i="15" s="1"/>
  <c r="H64" i="2"/>
  <c r="H112" i="2"/>
  <c r="H127" i="2"/>
  <c r="H92" i="2" s="1"/>
  <c r="H93" i="2" s="1"/>
  <c r="H14" i="2"/>
  <c r="H25" i="2"/>
  <c r="J21" i="13"/>
  <c r="I30" i="13" s="1"/>
  <c r="N19" i="13"/>
  <c r="N18" i="13"/>
  <c r="M13" i="13"/>
  <c r="M14" i="13"/>
  <c r="M15" i="13"/>
  <c r="M16" i="13"/>
  <c r="J13" i="13"/>
  <c r="J14" i="13"/>
  <c r="J15" i="13"/>
  <c r="J16" i="13"/>
  <c r="I40" i="13"/>
  <c r="I41" i="13" s="1"/>
  <c r="M25" i="4"/>
  <c r="M24" i="4"/>
  <c r="M23" i="4"/>
  <c r="K23" i="4"/>
  <c r="K25" i="4" s="1"/>
  <c r="J23" i="4"/>
  <c r="K19" i="4"/>
  <c r="V19" i="4" l="1"/>
  <c r="K171" i="2"/>
  <c r="K177" i="2" s="1"/>
  <c r="N171" i="2" s="1"/>
  <c r="I21" i="13"/>
  <c r="I29" i="13" s="1"/>
  <c r="I31" i="13" s="1"/>
  <c r="L7" i="2"/>
  <c r="H8" i="15"/>
  <c r="H41" i="2"/>
  <c r="E13" i="15" s="1"/>
  <c r="E45" i="15"/>
  <c r="E19" i="14"/>
  <c r="E42" i="15" s="1"/>
  <c r="E53" i="15"/>
  <c r="H83" i="2"/>
  <c r="H85" i="2" s="1"/>
  <c r="H115" i="2"/>
  <c r="H117" i="2" s="1"/>
  <c r="M19" i="13"/>
  <c r="M18" i="13"/>
  <c r="K24" i="4"/>
  <c r="N19" i="4"/>
  <c r="U19" i="4" s="1"/>
  <c r="L23" i="4"/>
  <c r="N23" i="4" s="1"/>
  <c r="H43" i="2" l="1"/>
  <c r="H47" i="2" s="1"/>
  <c r="M7" i="2"/>
  <c r="I8" i="15"/>
  <c r="T19" i="4"/>
  <c r="K11" i="4"/>
  <c r="K12" i="4"/>
  <c r="K13" i="4"/>
  <c r="K14" i="4"/>
  <c r="E15" i="15" l="1"/>
  <c r="N7" i="2"/>
  <c r="J8" i="15"/>
  <c r="H49" i="2"/>
  <c r="E17" i="15"/>
  <c r="E19" i="15"/>
  <c r="H20" i="2"/>
  <c r="N13" i="4"/>
  <c r="U13" i="4" s="1"/>
  <c r="I15" i="13"/>
  <c r="V12" i="4"/>
  <c r="I14" i="13"/>
  <c r="N11" i="4"/>
  <c r="U11" i="4" s="1"/>
  <c r="I13" i="13"/>
  <c r="N14" i="4"/>
  <c r="U14" i="4" s="1"/>
  <c r="I16" i="13"/>
  <c r="V13" i="4"/>
  <c r="N12" i="4"/>
  <c r="V11" i="4"/>
  <c r="V14" i="4"/>
  <c r="O7" i="2" l="1"/>
  <c r="K8" i="15"/>
  <c r="H21" i="2"/>
  <c r="E29" i="15"/>
  <c r="E21" i="15"/>
  <c r="E33" i="15"/>
  <c r="V17" i="4"/>
  <c r="I25" i="4" s="1"/>
  <c r="L25" i="4" s="1"/>
  <c r="J25" i="4" s="1"/>
  <c r="T13" i="4"/>
  <c r="T11" i="4"/>
  <c r="T14" i="4"/>
  <c r="L16" i="13"/>
  <c r="K16" i="13"/>
  <c r="O16" i="13" s="1"/>
  <c r="K15" i="13"/>
  <c r="O15" i="13" s="1"/>
  <c r="L15" i="13"/>
  <c r="L13" i="13"/>
  <c r="K13" i="13"/>
  <c r="O13" i="13" s="1"/>
  <c r="L14" i="13"/>
  <c r="K14" i="13"/>
  <c r="O14" i="13" s="1"/>
  <c r="V16" i="4"/>
  <c r="T12" i="4"/>
  <c r="U12" i="4"/>
  <c r="J126" i="2"/>
  <c r="K126" i="2"/>
  <c r="L126" i="2"/>
  <c r="I126" i="2"/>
  <c r="J125" i="2"/>
  <c r="K125" i="2"/>
  <c r="L125" i="2"/>
  <c r="I125" i="2"/>
  <c r="J124" i="2"/>
  <c r="K124" i="2"/>
  <c r="L124" i="2"/>
  <c r="I124" i="2"/>
  <c r="J123" i="2"/>
  <c r="K123" i="2"/>
  <c r="L123" i="2"/>
  <c r="I123" i="2"/>
  <c r="P7" i="2" l="1"/>
  <c r="L8" i="15"/>
  <c r="I13" i="14"/>
  <c r="K127" i="2"/>
  <c r="K165" i="2" s="1"/>
  <c r="H13" i="14"/>
  <c r="J127" i="2"/>
  <c r="J165" i="2" s="1"/>
  <c r="G13" i="14"/>
  <c r="I127" i="2"/>
  <c r="I165" i="2" s="1"/>
  <c r="F13" i="14"/>
  <c r="N25" i="4"/>
  <c r="L18" i="13"/>
  <c r="I26" i="13" s="1"/>
  <c r="I27" i="13" s="1"/>
  <c r="K19" i="13"/>
  <c r="K18" i="13"/>
  <c r="L19" i="13"/>
  <c r="L127" i="2"/>
  <c r="L165" i="2" s="1"/>
  <c r="T16" i="4"/>
  <c r="T17" i="4"/>
  <c r="I23" i="4" s="1"/>
  <c r="U16" i="4"/>
  <c r="U17" i="4"/>
  <c r="I92" i="2" l="1"/>
  <c r="K92" i="2"/>
  <c r="J92" i="2"/>
  <c r="Q7" i="2"/>
  <c r="M8" i="15"/>
  <c r="L92" i="2"/>
  <c r="O18" i="13"/>
  <c r="O19" i="13"/>
  <c r="I24" i="4"/>
  <c r="J24" i="4" s="1"/>
  <c r="L24" i="4" s="1"/>
  <c r="N24" i="4" s="1"/>
  <c r="H8" i="1"/>
  <c r="J116" i="2"/>
  <c r="K116" i="2"/>
  <c r="L116" i="2"/>
  <c r="I116" i="2"/>
  <c r="J111" i="2"/>
  <c r="K111" i="2"/>
  <c r="L111" i="2"/>
  <c r="J110" i="2"/>
  <c r="K110" i="2"/>
  <c r="L110" i="2"/>
  <c r="J109" i="2"/>
  <c r="K109" i="2"/>
  <c r="L109" i="2"/>
  <c r="I111" i="2"/>
  <c r="I110" i="2"/>
  <c r="I109" i="2"/>
  <c r="J108" i="2"/>
  <c r="K108" i="2"/>
  <c r="L108" i="2"/>
  <c r="I108" i="2"/>
  <c r="J100" i="2"/>
  <c r="K100" i="2"/>
  <c r="L100" i="2"/>
  <c r="J101" i="2"/>
  <c r="K101" i="2"/>
  <c r="L101" i="2"/>
  <c r="I100" i="2"/>
  <c r="J103" i="2"/>
  <c r="K103" i="2"/>
  <c r="L103" i="2"/>
  <c r="I103" i="2"/>
  <c r="J102" i="2"/>
  <c r="K102" i="2"/>
  <c r="L102" i="2"/>
  <c r="I102" i="2"/>
  <c r="I101" i="2"/>
  <c r="J99" i="2"/>
  <c r="K99" i="2"/>
  <c r="L99" i="2"/>
  <c r="I99" i="2"/>
  <c r="J98" i="2"/>
  <c r="K98" i="2"/>
  <c r="L98" i="2"/>
  <c r="I98" i="2"/>
  <c r="I90" i="2"/>
  <c r="I140" i="1"/>
  <c r="J140" i="1"/>
  <c r="K140" i="1"/>
  <c r="H140" i="1"/>
  <c r="I132" i="1"/>
  <c r="I133" i="1" s="1"/>
  <c r="J132" i="1"/>
  <c r="J133" i="1" s="1"/>
  <c r="K132" i="1"/>
  <c r="K133" i="1" s="1"/>
  <c r="H132" i="1"/>
  <c r="H133" i="1" s="1"/>
  <c r="J90" i="2"/>
  <c r="K90" i="2"/>
  <c r="L90" i="2"/>
  <c r="L163" i="2" s="1"/>
  <c r="J89" i="2"/>
  <c r="K89" i="2"/>
  <c r="L89" i="2"/>
  <c r="I89" i="2"/>
  <c r="K132" i="2" l="1"/>
  <c r="K163" i="2"/>
  <c r="J132" i="2"/>
  <c r="J163" i="2"/>
  <c r="I132" i="2"/>
  <c r="I163" i="2"/>
  <c r="R7" i="2"/>
  <c r="N8" i="15"/>
  <c r="N7" i="14"/>
  <c r="I91" i="2"/>
  <c r="I93" i="2" s="1"/>
  <c r="K91" i="2"/>
  <c r="K93" i="2" s="1"/>
  <c r="J91" i="2"/>
  <c r="J93" i="2" s="1"/>
  <c r="L91" i="2"/>
  <c r="L93" i="2" s="1"/>
  <c r="L132" i="2"/>
  <c r="L112" i="2"/>
  <c r="J112" i="2"/>
  <c r="I104" i="2"/>
  <c r="I112" i="2"/>
  <c r="K112" i="2"/>
  <c r="K104" i="2"/>
  <c r="L104" i="2"/>
  <c r="J104" i="2"/>
  <c r="S7" i="2" l="1"/>
  <c r="O8" i="15"/>
  <c r="O7" i="14"/>
  <c r="J115" i="2"/>
  <c r="J117" i="2" s="1"/>
  <c r="K115" i="2"/>
  <c r="K117" i="2" s="1"/>
  <c r="L115" i="2"/>
  <c r="L117" i="2" s="1"/>
  <c r="M116" i="2" s="1"/>
  <c r="I115" i="2"/>
  <c r="I117" i="2" s="1"/>
  <c r="T7" i="2" l="1"/>
  <c r="P8" i="15"/>
  <c r="P7" i="14"/>
  <c r="J68" i="2"/>
  <c r="K68" i="2"/>
  <c r="L68" i="2"/>
  <c r="I68" i="2"/>
  <c r="J82" i="2"/>
  <c r="K82" i="2"/>
  <c r="L82" i="2"/>
  <c r="M82" i="2" s="1"/>
  <c r="N82" i="2" s="1"/>
  <c r="O82" i="2" s="1"/>
  <c r="P82" i="2" s="1"/>
  <c r="Q82" i="2" s="1"/>
  <c r="R82" i="2" s="1"/>
  <c r="S82" i="2" s="1"/>
  <c r="T82" i="2" s="1"/>
  <c r="U82" i="2" s="1"/>
  <c r="V82" i="2" s="1"/>
  <c r="I82" i="2"/>
  <c r="J81" i="2"/>
  <c r="K81" i="2"/>
  <c r="L81" i="2"/>
  <c r="E175" i="2" s="1"/>
  <c r="K173" i="2" s="1"/>
  <c r="I81" i="2"/>
  <c r="J79" i="2"/>
  <c r="K79" i="2"/>
  <c r="L79" i="2"/>
  <c r="J78" i="2"/>
  <c r="K78" i="2"/>
  <c r="L78" i="2"/>
  <c r="M78" i="2" s="1"/>
  <c r="N78" i="2" s="1"/>
  <c r="I79" i="2"/>
  <c r="I78" i="2"/>
  <c r="U7" i="2" l="1"/>
  <c r="Q8" i="15"/>
  <c r="Q7" i="14"/>
  <c r="M81" i="2"/>
  <c r="N81" i="2" s="1"/>
  <c r="O81" i="2" s="1"/>
  <c r="P81" i="2" s="1"/>
  <c r="Q81" i="2" s="1"/>
  <c r="R81" i="2" s="1"/>
  <c r="S81" i="2" s="1"/>
  <c r="T81" i="2" s="1"/>
  <c r="U81" i="2" s="1"/>
  <c r="V81" i="2" s="1"/>
  <c r="O78" i="2"/>
  <c r="I80" i="2"/>
  <c r="L80" i="2"/>
  <c r="K80" i="2"/>
  <c r="J80" i="2"/>
  <c r="J72" i="2"/>
  <c r="K72" i="2"/>
  <c r="L72" i="2"/>
  <c r="J69" i="2"/>
  <c r="K69" i="2"/>
  <c r="L69" i="2"/>
  <c r="M69" i="2" s="1"/>
  <c r="N69" i="2" s="1"/>
  <c r="O69" i="2" s="1"/>
  <c r="P69" i="2" s="1"/>
  <c r="Q69" i="2" s="1"/>
  <c r="R69" i="2" s="1"/>
  <c r="S69" i="2" s="1"/>
  <c r="T69" i="2" s="1"/>
  <c r="U69" i="2" s="1"/>
  <c r="V69" i="2" s="1"/>
  <c r="J74" i="2"/>
  <c r="K74" i="2"/>
  <c r="L74" i="2"/>
  <c r="M74" i="2" s="1"/>
  <c r="N74" i="2" s="1"/>
  <c r="O74" i="2" s="1"/>
  <c r="P74" i="2" s="1"/>
  <c r="Q74" i="2" s="1"/>
  <c r="R74" i="2" s="1"/>
  <c r="S74" i="2" s="1"/>
  <c r="T74" i="2" s="1"/>
  <c r="U74" i="2" s="1"/>
  <c r="V74" i="2" s="1"/>
  <c r="J73" i="2"/>
  <c r="K73" i="2"/>
  <c r="L73" i="2"/>
  <c r="M73" i="2" s="1"/>
  <c r="N73" i="2" s="1"/>
  <c r="O73" i="2" s="1"/>
  <c r="P73" i="2" s="1"/>
  <c r="Q73" i="2" s="1"/>
  <c r="R73" i="2" s="1"/>
  <c r="S73" i="2" s="1"/>
  <c r="T73" i="2" s="1"/>
  <c r="U73" i="2" s="1"/>
  <c r="V73" i="2" s="1"/>
  <c r="I74" i="2"/>
  <c r="I73" i="2"/>
  <c r="I72" i="2"/>
  <c r="I69" i="2"/>
  <c r="J62" i="2"/>
  <c r="K62" i="2"/>
  <c r="L62" i="2"/>
  <c r="I62" i="2"/>
  <c r="J63" i="2"/>
  <c r="K63" i="2"/>
  <c r="L63" i="2"/>
  <c r="M63" i="2" s="1"/>
  <c r="N63" i="2" s="1"/>
  <c r="O63" i="2" s="1"/>
  <c r="P63" i="2" s="1"/>
  <c r="Q63" i="2" s="1"/>
  <c r="R63" i="2" s="1"/>
  <c r="S63" i="2" s="1"/>
  <c r="T63" i="2" s="1"/>
  <c r="U63" i="2" s="1"/>
  <c r="V63" i="2" s="1"/>
  <c r="I63" i="2"/>
  <c r="J61" i="2"/>
  <c r="K61" i="2"/>
  <c r="L61" i="2"/>
  <c r="M61" i="2" s="1"/>
  <c r="N61" i="2" s="1"/>
  <c r="O61" i="2" s="1"/>
  <c r="P61" i="2" s="1"/>
  <c r="Q61" i="2" s="1"/>
  <c r="R61" i="2" s="1"/>
  <c r="S61" i="2" s="1"/>
  <c r="T61" i="2" s="1"/>
  <c r="U61" i="2" s="1"/>
  <c r="V61" i="2" s="1"/>
  <c r="I61" i="2"/>
  <c r="J60" i="2"/>
  <c r="J133" i="2" s="1"/>
  <c r="K60" i="2"/>
  <c r="K133" i="2" s="1"/>
  <c r="L60" i="2"/>
  <c r="I60" i="2"/>
  <c r="I133" i="2" s="1"/>
  <c r="J55" i="2"/>
  <c r="K55" i="2"/>
  <c r="L55" i="2"/>
  <c r="J56" i="2"/>
  <c r="K56" i="2"/>
  <c r="L56" i="2"/>
  <c r="J57" i="2"/>
  <c r="K57" i="2"/>
  <c r="L57" i="2"/>
  <c r="I57" i="2"/>
  <c r="I56" i="2"/>
  <c r="I55" i="2"/>
  <c r="J54" i="2"/>
  <c r="K54" i="2"/>
  <c r="L54" i="2"/>
  <c r="M54" i="2" s="1"/>
  <c r="N54" i="2" s="1"/>
  <c r="O54" i="2" s="1"/>
  <c r="P54" i="2" s="1"/>
  <c r="Q54" i="2" s="1"/>
  <c r="R54" i="2" s="1"/>
  <c r="S54" i="2" s="1"/>
  <c r="T54" i="2" s="1"/>
  <c r="U54" i="2" s="1"/>
  <c r="V54" i="2" s="1"/>
  <c r="J53" i="2"/>
  <c r="K53" i="2"/>
  <c r="L53" i="2"/>
  <c r="I54" i="2"/>
  <c r="I53" i="2"/>
  <c r="E173" i="2" l="1"/>
  <c r="K174" i="2" s="1"/>
  <c r="V7" i="2"/>
  <c r="R8" i="15"/>
  <c r="R7" i="14"/>
  <c r="F47" i="15"/>
  <c r="I40" i="15"/>
  <c r="H47" i="15"/>
  <c r="G47" i="15"/>
  <c r="I38" i="15"/>
  <c r="H38" i="15"/>
  <c r="H40" i="15"/>
  <c r="F40" i="15"/>
  <c r="G40" i="15"/>
  <c r="G38" i="15"/>
  <c r="F38" i="15"/>
  <c r="I47" i="15"/>
  <c r="L130" i="2"/>
  <c r="J130" i="2"/>
  <c r="J131" i="2" s="1"/>
  <c r="I131" i="2"/>
  <c r="L133" i="2"/>
  <c r="K130" i="2"/>
  <c r="K131" i="2" s="1"/>
  <c r="J138" i="2"/>
  <c r="K136" i="2" s="1"/>
  <c r="I138" i="2"/>
  <c r="L138" i="2"/>
  <c r="K138" i="2"/>
  <c r="L136" i="2" s="1"/>
  <c r="L64" i="2"/>
  <c r="I45" i="15" s="1"/>
  <c r="M62" i="2"/>
  <c r="M100" i="2" s="1"/>
  <c r="P78" i="2"/>
  <c r="Q78" i="2" s="1"/>
  <c r="M57" i="2"/>
  <c r="L75" i="2"/>
  <c r="L83" i="2" s="1"/>
  <c r="I64" i="2"/>
  <c r="F45" i="15" s="1"/>
  <c r="I75" i="2"/>
  <c r="I83" i="2" s="1"/>
  <c r="K75" i="2"/>
  <c r="K83" i="2" s="1"/>
  <c r="J75" i="2"/>
  <c r="J83" i="2" s="1"/>
  <c r="J64" i="2"/>
  <c r="G45" i="15" s="1"/>
  <c r="K64" i="2"/>
  <c r="H45" i="15" s="1"/>
  <c r="J45" i="2"/>
  <c r="K45" i="2"/>
  <c r="L45" i="2"/>
  <c r="M45" i="2" s="1"/>
  <c r="N45" i="2" s="1"/>
  <c r="O45" i="2" s="1"/>
  <c r="P45" i="2" s="1"/>
  <c r="Q45" i="2" s="1"/>
  <c r="R45" i="2" s="1"/>
  <c r="S45" i="2" s="1"/>
  <c r="T45" i="2" s="1"/>
  <c r="U45" i="2" s="1"/>
  <c r="V45" i="2" s="1"/>
  <c r="I45" i="2"/>
  <c r="J48" i="2"/>
  <c r="K48" i="2"/>
  <c r="L48" i="2"/>
  <c r="I48" i="2"/>
  <c r="J46" i="2"/>
  <c r="K46" i="2"/>
  <c r="L46" i="2"/>
  <c r="I46" i="2"/>
  <c r="J44" i="2"/>
  <c r="K44" i="2"/>
  <c r="L44" i="2"/>
  <c r="I44" i="2"/>
  <c r="J42" i="2"/>
  <c r="K42" i="2"/>
  <c r="L42" i="2"/>
  <c r="I42" i="2"/>
  <c r="I17" i="2" s="1"/>
  <c r="J40" i="2"/>
  <c r="K40" i="2"/>
  <c r="L40" i="2"/>
  <c r="J39" i="2"/>
  <c r="K39" i="2"/>
  <c r="L39" i="2"/>
  <c r="I40" i="2"/>
  <c r="I39" i="2"/>
  <c r="J36" i="2"/>
  <c r="K36" i="2"/>
  <c r="L36" i="2"/>
  <c r="I36" i="2"/>
  <c r="J35" i="2"/>
  <c r="K35" i="2"/>
  <c r="L35" i="2"/>
  <c r="I35" i="2"/>
  <c r="E174" i="2" l="1"/>
  <c r="K172" i="2" s="1"/>
  <c r="K175" i="2" s="1"/>
  <c r="I164" i="2"/>
  <c r="J164" i="2"/>
  <c r="K164" i="2"/>
  <c r="S8" i="15"/>
  <c r="S7" i="14"/>
  <c r="J17" i="2"/>
  <c r="I51" i="15"/>
  <c r="I25" i="15"/>
  <c r="I63" i="15"/>
  <c r="I59" i="15"/>
  <c r="I55" i="15"/>
  <c r="L17" i="2"/>
  <c r="H63" i="15"/>
  <c r="H25" i="15"/>
  <c r="H51" i="15"/>
  <c r="H55" i="15"/>
  <c r="H59" i="15"/>
  <c r="G59" i="15"/>
  <c r="G55" i="15"/>
  <c r="G51" i="15"/>
  <c r="G63" i="15"/>
  <c r="G25" i="15"/>
  <c r="F63" i="15"/>
  <c r="F25" i="15"/>
  <c r="F51" i="15"/>
  <c r="F55" i="15"/>
  <c r="F59" i="15"/>
  <c r="L131" i="2"/>
  <c r="L164" i="2" s="1"/>
  <c r="M136" i="2"/>
  <c r="L137" i="2"/>
  <c r="M130" i="2"/>
  <c r="K17" i="2"/>
  <c r="R78" i="2"/>
  <c r="J85" i="2"/>
  <c r="J9" i="2" s="1"/>
  <c r="I25" i="2"/>
  <c r="I13" i="2"/>
  <c r="I139" i="2"/>
  <c r="I18" i="2"/>
  <c r="K137" i="2"/>
  <c r="J136" i="2"/>
  <c r="J137" i="2" s="1"/>
  <c r="I137" i="2"/>
  <c r="G7" i="14"/>
  <c r="K85" i="2"/>
  <c r="K9" i="2" s="1"/>
  <c r="L85" i="2"/>
  <c r="L9" i="2" s="1"/>
  <c r="K22" i="2"/>
  <c r="H15" i="14" s="1"/>
  <c r="H53" i="15" s="1"/>
  <c r="K23" i="2"/>
  <c r="H16" i="14" s="1"/>
  <c r="H57" i="15" s="1"/>
  <c r="I85" i="2"/>
  <c r="I9" i="2" s="1"/>
  <c r="N62" i="2"/>
  <c r="N100" i="2" s="1"/>
  <c r="N57" i="2"/>
  <c r="N126" i="2" s="1"/>
  <c r="M126" i="2"/>
  <c r="I16" i="2"/>
  <c r="K15" i="2"/>
  <c r="L13" i="2"/>
  <c r="L25" i="2"/>
  <c r="M25" i="2" s="1"/>
  <c r="N25" i="2" s="1"/>
  <c r="O25" i="2" s="1"/>
  <c r="P25" i="2" s="1"/>
  <c r="Q25" i="2" s="1"/>
  <c r="R25" i="2" s="1"/>
  <c r="S25" i="2" s="1"/>
  <c r="T25" i="2" s="1"/>
  <c r="U25" i="2" s="1"/>
  <c r="V25" i="2" s="1"/>
  <c r="J25" i="2"/>
  <c r="J13" i="2"/>
  <c r="L14" i="2"/>
  <c r="L24" i="2"/>
  <c r="I17" i="14" s="1"/>
  <c r="I61" i="15" s="1"/>
  <c r="J14" i="2"/>
  <c r="J24" i="2"/>
  <c r="G17" i="14" s="1"/>
  <c r="G61" i="15" s="1"/>
  <c r="L16" i="2"/>
  <c r="J16" i="2"/>
  <c r="L139" i="2"/>
  <c r="L18" i="2"/>
  <c r="M18" i="2" s="1"/>
  <c r="J139" i="2"/>
  <c r="L19" i="2"/>
  <c r="J19" i="2"/>
  <c r="J22" i="2"/>
  <c r="G15" i="14" s="1"/>
  <c r="G53" i="15" s="1"/>
  <c r="L23" i="2"/>
  <c r="I16" i="14" s="1"/>
  <c r="I57" i="15" s="1"/>
  <c r="K37" i="2"/>
  <c r="H11" i="15" s="1"/>
  <c r="K25" i="2"/>
  <c r="K13" i="2"/>
  <c r="I14" i="2"/>
  <c r="I24" i="2"/>
  <c r="F17" i="14" s="1"/>
  <c r="F61" i="15" s="1"/>
  <c r="K14" i="2"/>
  <c r="K24" i="2"/>
  <c r="H17" i="14" s="1"/>
  <c r="H61" i="15" s="1"/>
  <c r="I15" i="2"/>
  <c r="L15" i="2"/>
  <c r="J15" i="2"/>
  <c r="K16" i="2"/>
  <c r="K139" i="2"/>
  <c r="K18" i="2"/>
  <c r="I19" i="2"/>
  <c r="K19" i="2"/>
  <c r="L22" i="2"/>
  <c r="I15" i="14" s="1"/>
  <c r="I53" i="15" s="1"/>
  <c r="I23" i="2"/>
  <c r="F16" i="14" s="1"/>
  <c r="F57" i="15" s="1"/>
  <c r="J23" i="2"/>
  <c r="G16" i="14" s="1"/>
  <c r="G57" i="15" s="1"/>
  <c r="I22" i="2"/>
  <c r="F15" i="14" s="1"/>
  <c r="F53" i="15" s="1"/>
  <c r="I37" i="2"/>
  <c r="F11" i="15" s="1"/>
  <c r="J37" i="2"/>
  <c r="G11" i="15" s="1"/>
  <c r="L37" i="2"/>
  <c r="I11" i="15" s="1"/>
  <c r="I8" i="1"/>
  <c r="J8" i="1" s="1"/>
  <c r="K8" i="1" s="1"/>
  <c r="S78" i="2" l="1"/>
  <c r="M16" i="2"/>
  <c r="N16" i="2" s="1"/>
  <c r="O16" i="2" s="1"/>
  <c r="P16" i="2" s="1"/>
  <c r="Q16" i="2" s="1"/>
  <c r="R16" i="2" s="1"/>
  <c r="S16" i="2" s="1"/>
  <c r="T16" i="2" s="1"/>
  <c r="U16" i="2" s="1"/>
  <c r="V16" i="2" s="1"/>
  <c r="M19" i="2"/>
  <c r="N19" i="2" s="1"/>
  <c r="O19" i="2" s="1"/>
  <c r="P19" i="2" s="1"/>
  <c r="Q19" i="2" s="1"/>
  <c r="R19" i="2" s="1"/>
  <c r="S19" i="2" s="1"/>
  <c r="T19" i="2" s="1"/>
  <c r="U19" i="2" s="1"/>
  <c r="V19" i="2" s="1"/>
  <c r="M23" i="2"/>
  <c r="M14" i="2"/>
  <c r="N14" i="2" s="1"/>
  <c r="O14" i="2" s="1"/>
  <c r="P14" i="2" s="1"/>
  <c r="Q14" i="2" s="1"/>
  <c r="R14" i="2" s="1"/>
  <c r="S14" i="2" s="1"/>
  <c r="T14" i="2" s="1"/>
  <c r="U14" i="2" s="1"/>
  <c r="V14" i="2" s="1"/>
  <c r="J18" i="2"/>
  <c r="I34" i="13" s="1"/>
  <c r="G9" i="18"/>
  <c r="M24" i="2"/>
  <c r="M15" i="2"/>
  <c r="N15" i="2" s="1"/>
  <c r="O15" i="2" s="1"/>
  <c r="P15" i="2" s="1"/>
  <c r="Q15" i="2" s="1"/>
  <c r="R15" i="2" s="1"/>
  <c r="S15" i="2" s="1"/>
  <c r="T15" i="2" s="1"/>
  <c r="U15" i="2" s="1"/>
  <c r="V15" i="2" s="1"/>
  <c r="M22" i="2"/>
  <c r="H7" i="14"/>
  <c r="L41" i="2"/>
  <c r="I13" i="15" s="1"/>
  <c r="J41" i="2"/>
  <c r="G13" i="15" s="1"/>
  <c r="G19" i="14"/>
  <c r="G42" i="15" s="1"/>
  <c r="K41" i="2"/>
  <c r="H13" i="15" s="1"/>
  <c r="I41" i="2"/>
  <c r="F13" i="15" s="1"/>
  <c r="O62" i="2"/>
  <c r="O100" i="2" s="1"/>
  <c r="O57" i="2"/>
  <c r="O126" i="2" s="1"/>
  <c r="G11" i="18" l="1"/>
  <c r="I11" i="18" s="1"/>
  <c r="J11" i="18" s="1"/>
  <c r="K11" i="18" s="1"/>
  <c r="L11" i="18" s="1"/>
  <c r="M11" i="18" s="1"/>
  <c r="N11" i="18" s="1"/>
  <c r="O11" i="18" s="1"/>
  <c r="P11" i="18" s="1"/>
  <c r="Q11" i="18" s="1"/>
  <c r="R11" i="18" s="1"/>
  <c r="G10" i="18"/>
  <c r="I10" i="18" s="1"/>
  <c r="J10" i="18" s="1"/>
  <c r="K10" i="18" s="1"/>
  <c r="L10" i="18" s="1"/>
  <c r="M10" i="18" s="1"/>
  <c r="N10" i="18" s="1"/>
  <c r="O10" i="18" s="1"/>
  <c r="P10" i="18" s="1"/>
  <c r="Q10" i="18" s="1"/>
  <c r="R10" i="18" s="1"/>
  <c r="K61" i="15"/>
  <c r="J61" i="15"/>
  <c r="K57" i="15"/>
  <c r="J57" i="15"/>
  <c r="J53" i="15"/>
  <c r="H19" i="14"/>
  <c r="H42" i="15" s="1"/>
  <c r="T78" i="2"/>
  <c r="F19" i="14"/>
  <c r="F42" i="15" s="1"/>
  <c r="I19" i="14"/>
  <c r="I42" i="15" s="1"/>
  <c r="I9" i="18"/>
  <c r="J9" i="18" s="1"/>
  <c r="K9" i="18" s="1"/>
  <c r="L9" i="18" s="1"/>
  <c r="M9" i="18" s="1"/>
  <c r="N9" i="18" s="1"/>
  <c r="O9" i="18" s="1"/>
  <c r="P9" i="18" s="1"/>
  <c r="Q9" i="18" s="1"/>
  <c r="R9" i="18" s="1"/>
  <c r="I8" i="18"/>
  <c r="I7" i="14"/>
  <c r="I43" i="2"/>
  <c r="J43" i="2"/>
  <c r="K43" i="2"/>
  <c r="L43" i="2"/>
  <c r="L160" i="2" s="1"/>
  <c r="N18" i="2"/>
  <c r="O18" i="2" s="1"/>
  <c r="P57" i="2"/>
  <c r="P62" i="2"/>
  <c r="M90" i="2"/>
  <c r="M42" i="2"/>
  <c r="F15" i="15" l="1"/>
  <c r="I160" i="2"/>
  <c r="H15" i="15"/>
  <c r="K160" i="2"/>
  <c r="M163" i="2"/>
  <c r="G15" i="15"/>
  <c r="J160" i="2"/>
  <c r="L57" i="15"/>
  <c r="I15" i="15"/>
  <c r="L53" i="15"/>
  <c r="K53" i="15"/>
  <c r="P126" i="2"/>
  <c r="Q57" i="2"/>
  <c r="Q126" i="2" s="1"/>
  <c r="U78" i="2"/>
  <c r="P100" i="2"/>
  <c r="Q62" i="2"/>
  <c r="J7" i="14"/>
  <c r="J8" i="18"/>
  <c r="I47" i="2"/>
  <c r="J19" i="14"/>
  <c r="J42" i="15" s="1"/>
  <c r="L47" i="2"/>
  <c r="K47" i="2"/>
  <c r="J47" i="2"/>
  <c r="P18" i="2"/>
  <c r="Q18" i="2" l="1"/>
  <c r="R18" i="2" s="1"/>
  <c r="S18" i="2" s="1"/>
  <c r="T18" i="2" s="1"/>
  <c r="U18" i="2" s="1"/>
  <c r="V18" i="2" s="1"/>
  <c r="M57" i="15"/>
  <c r="L61" i="15"/>
  <c r="H27" i="15"/>
  <c r="H17" i="15"/>
  <c r="H19" i="15"/>
  <c r="M61" i="15"/>
  <c r="I17" i="15"/>
  <c r="I27" i="15"/>
  <c r="I19" i="15"/>
  <c r="G17" i="15"/>
  <c r="G27" i="15"/>
  <c r="G19" i="15"/>
  <c r="F27" i="15"/>
  <c r="F17" i="15"/>
  <c r="F19" i="15"/>
  <c r="M13" i="2" a="1"/>
  <c r="O13" i="2" s="1"/>
  <c r="R57" i="2"/>
  <c r="R126" i="2" s="1"/>
  <c r="R62" i="2"/>
  <c r="R100" i="2" s="1"/>
  <c r="V78" i="2"/>
  <c r="Q100" i="2"/>
  <c r="K7" i="14"/>
  <c r="K8" i="18"/>
  <c r="K49" i="2"/>
  <c r="K20" i="2"/>
  <c r="J49" i="2"/>
  <c r="J20" i="2"/>
  <c r="K19" i="14"/>
  <c r="K42" i="15" s="1"/>
  <c r="L49" i="2"/>
  <c r="L20" i="2"/>
  <c r="I49" i="2"/>
  <c r="I20" i="2"/>
  <c r="O57" i="15" l="1"/>
  <c r="M53" i="15"/>
  <c r="H35" i="15"/>
  <c r="H33" i="15"/>
  <c r="H31" i="15"/>
  <c r="H29" i="15"/>
  <c r="H21" i="15"/>
  <c r="G31" i="15"/>
  <c r="G29" i="15"/>
  <c r="G21" i="15"/>
  <c r="G35" i="15"/>
  <c r="G33" i="15"/>
  <c r="I31" i="15"/>
  <c r="I29" i="15"/>
  <c r="I21" i="15"/>
  <c r="I35" i="15"/>
  <c r="I33" i="15"/>
  <c r="F29" i="15"/>
  <c r="F33" i="15"/>
  <c r="F35" i="15"/>
  <c r="F31" i="15"/>
  <c r="F21" i="15"/>
  <c r="N61" i="15"/>
  <c r="R13" i="2"/>
  <c r="Q13" i="2"/>
  <c r="S13" i="2"/>
  <c r="P13" i="2"/>
  <c r="M13" i="2"/>
  <c r="M35" i="2" s="1"/>
  <c r="T13" i="2"/>
  <c r="U13" i="2"/>
  <c r="N13" i="2"/>
  <c r="V13" i="2"/>
  <c r="S57" i="2"/>
  <c r="S126" i="2" s="1"/>
  <c r="S62" i="2"/>
  <c r="S100" i="2" s="1"/>
  <c r="L7" i="14"/>
  <c r="L21" i="2"/>
  <c r="L19" i="14"/>
  <c r="L42" i="15" s="1"/>
  <c r="I21" i="2"/>
  <c r="J21" i="2"/>
  <c r="K21" i="2"/>
  <c r="M164" i="2" l="1"/>
  <c r="N57" i="15"/>
  <c r="M19" i="14"/>
  <c r="M42" i="15" s="1"/>
  <c r="P61" i="15"/>
  <c r="O61" i="15"/>
  <c r="M98" i="2"/>
  <c r="M40" i="2"/>
  <c r="M46" i="2"/>
  <c r="M102" i="2" s="1"/>
  <c r="M39" i="2"/>
  <c r="N35" i="2"/>
  <c r="M55" i="2"/>
  <c r="M36" i="2"/>
  <c r="T62" i="2"/>
  <c r="T100" i="2" s="1"/>
  <c r="T57" i="2"/>
  <c r="T126" i="2" s="1"/>
  <c r="M21" i="2"/>
  <c r="N21" i="2" s="1"/>
  <c r="O21" i="2" s="1"/>
  <c r="P21" i="2" s="1"/>
  <c r="Q21" i="2" s="1"/>
  <c r="R21" i="2" s="1"/>
  <c r="S21" i="2" s="1"/>
  <c r="T21" i="2" s="1"/>
  <c r="U21" i="2" s="1"/>
  <c r="V21" i="2" s="1"/>
  <c r="L8" i="18"/>
  <c r="M7" i="14"/>
  <c r="I35" i="13"/>
  <c r="E148" i="2" s="1"/>
  <c r="M123" i="2" l="1"/>
  <c r="J9" i="14"/>
  <c r="L161" i="2"/>
  <c r="L162" i="2" s="1"/>
  <c r="L166" i="2" s="1"/>
  <c r="I161" i="2"/>
  <c r="I162" i="2" s="1"/>
  <c r="I166" i="2" s="1"/>
  <c r="J161" i="2"/>
  <c r="J162" i="2" s="1"/>
  <c r="J166" i="2" s="1"/>
  <c r="K161" i="2"/>
  <c r="K162" i="2" s="1"/>
  <c r="K166" i="2" s="1"/>
  <c r="N164" i="2"/>
  <c r="P57" i="15"/>
  <c r="P20" i="2"/>
  <c r="N53" i="15"/>
  <c r="N19" i="14"/>
  <c r="N42" i="15" s="1"/>
  <c r="Q57" i="15"/>
  <c r="M133" i="2"/>
  <c r="M104" i="2"/>
  <c r="M68" i="2"/>
  <c r="M37" i="2"/>
  <c r="J11" i="15" s="1"/>
  <c r="M56" i="2"/>
  <c r="N40" i="2"/>
  <c r="N55" i="2"/>
  <c r="K9" i="14" s="1"/>
  <c r="O35" i="2"/>
  <c r="N36" i="2"/>
  <c r="N46" i="2"/>
  <c r="N102" i="2" s="1"/>
  <c r="N39" i="2"/>
  <c r="U57" i="2"/>
  <c r="U126" i="2" s="1"/>
  <c r="U62" i="2"/>
  <c r="U100" i="2" s="1"/>
  <c r="M8" i="18"/>
  <c r="I42" i="13"/>
  <c r="I43" i="13" s="1"/>
  <c r="I36" i="13"/>
  <c r="J55" i="15" l="1"/>
  <c r="J10" i="14"/>
  <c r="N123" i="2"/>
  <c r="J59" i="15"/>
  <c r="J11" i="14"/>
  <c r="Q20" i="2"/>
  <c r="R20" i="2" s="1"/>
  <c r="S20" i="2" s="1"/>
  <c r="O164" i="2"/>
  <c r="S57" i="15"/>
  <c r="R57" i="15"/>
  <c r="O53" i="15"/>
  <c r="O19" i="14"/>
  <c r="O42" i="15" s="1"/>
  <c r="Q61" i="15"/>
  <c r="N130" i="2"/>
  <c r="M60" i="2"/>
  <c r="P35" i="2"/>
  <c r="O39" i="2"/>
  <c r="O36" i="2"/>
  <c r="O40" i="2"/>
  <c r="O46" i="2"/>
  <c r="O102" i="2" s="1"/>
  <c r="O55" i="2"/>
  <c r="M124" i="2"/>
  <c r="M41" i="2"/>
  <c r="J13" i="15" s="1"/>
  <c r="N98" i="2"/>
  <c r="N104" i="2" s="1"/>
  <c r="M125" i="2"/>
  <c r="N68" i="2"/>
  <c r="N56" i="2"/>
  <c r="N37" i="2"/>
  <c r="K11" i="15" s="1"/>
  <c r="V62" i="2"/>
  <c r="V100" i="2" s="1"/>
  <c r="V57" i="2"/>
  <c r="V126" i="2" s="1"/>
  <c r="N8" i="18"/>
  <c r="I45" i="13"/>
  <c r="O123" i="2" l="1"/>
  <c r="L9" i="14"/>
  <c r="K55" i="15"/>
  <c r="K59" i="15"/>
  <c r="K11" i="14"/>
  <c r="K10" i="14"/>
  <c r="P164" i="2"/>
  <c r="S61" i="15"/>
  <c r="R61" i="15"/>
  <c r="P19" i="14"/>
  <c r="P42" i="15" s="1"/>
  <c r="P53" i="15"/>
  <c r="N133" i="2"/>
  <c r="J63" i="15"/>
  <c r="N125" i="2"/>
  <c r="O37" i="2"/>
  <c r="L11" i="15" s="1"/>
  <c r="O56" i="2"/>
  <c r="O68" i="2"/>
  <c r="M43" i="2"/>
  <c r="M160" i="2" s="1"/>
  <c r="M161" i="2" s="1"/>
  <c r="M162" i="2" s="1"/>
  <c r="O98" i="2"/>
  <c r="O104" i="2" s="1"/>
  <c r="N41" i="2"/>
  <c r="K13" i="15" s="1"/>
  <c r="N124" i="2"/>
  <c r="J13" i="14"/>
  <c r="M127" i="2"/>
  <c r="Q35" i="2"/>
  <c r="P40" i="2"/>
  <c r="P36" i="2"/>
  <c r="P46" i="2"/>
  <c r="P102" i="2" s="1"/>
  <c r="P55" i="2"/>
  <c r="P39" i="2"/>
  <c r="T20" i="2"/>
  <c r="U20" i="2" s="1"/>
  <c r="O8" i="18"/>
  <c r="L55" i="15" l="1"/>
  <c r="M9" i="14"/>
  <c r="L10" i="14"/>
  <c r="L59" i="15"/>
  <c r="L11" i="14"/>
  <c r="Q164" i="2"/>
  <c r="M165" i="2"/>
  <c r="M166" i="2" s="1"/>
  <c r="V20" i="2"/>
  <c r="J15" i="15"/>
  <c r="Q19" i="14"/>
  <c r="Q42" i="15" s="1"/>
  <c r="Q53" i="15"/>
  <c r="O130" i="2"/>
  <c r="O132" i="2" s="1"/>
  <c r="N60" i="2"/>
  <c r="N42" i="2"/>
  <c r="N43" i="2" s="1"/>
  <c r="N160" i="2" s="1"/>
  <c r="N90" i="2"/>
  <c r="P68" i="2"/>
  <c r="P37" i="2"/>
  <c r="M11" i="15" s="1"/>
  <c r="P56" i="2"/>
  <c r="O41" i="2"/>
  <c r="L13" i="15" s="1"/>
  <c r="P98" i="2"/>
  <c r="P104" i="2" s="1"/>
  <c r="P123" i="2"/>
  <c r="R35" i="2"/>
  <c r="Q55" i="2"/>
  <c r="N9" i="14" s="1"/>
  <c r="Q46" i="2"/>
  <c r="Q102" i="2" s="1"/>
  <c r="Q39" i="2"/>
  <c r="Q40" i="2"/>
  <c r="Q36" i="2"/>
  <c r="K13" i="14"/>
  <c r="N127" i="2"/>
  <c r="O125" i="2"/>
  <c r="M92" i="2"/>
  <c r="O124" i="2"/>
  <c r="P8" i="18"/>
  <c r="M55" i="15" l="1"/>
  <c r="M59" i="15"/>
  <c r="M11" i="14"/>
  <c r="M10" i="14"/>
  <c r="Q123" i="2"/>
  <c r="N165" i="2"/>
  <c r="N163" i="2"/>
  <c r="N161" i="2"/>
  <c r="N162" i="2" s="1"/>
  <c r="R164" i="2"/>
  <c r="K15" i="15"/>
  <c r="S53" i="15"/>
  <c r="S19" i="14"/>
  <c r="S42" i="15" s="1"/>
  <c r="R53" i="15"/>
  <c r="R19" i="14"/>
  <c r="R42" i="15" s="1"/>
  <c r="Q37" i="2"/>
  <c r="N11" i="15" s="1"/>
  <c r="K63" i="15"/>
  <c r="L13" i="14"/>
  <c r="O127" i="2"/>
  <c r="Q56" i="2"/>
  <c r="N10" i="14" s="1"/>
  <c r="Q68" i="2"/>
  <c r="P124" i="2"/>
  <c r="N92" i="2"/>
  <c r="R39" i="2"/>
  <c r="R55" i="2"/>
  <c r="R46" i="2"/>
  <c r="R102" i="2" s="1"/>
  <c r="R36" i="2"/>
  <c r="R40" i="2"/>
  <c r="S35" i="2"/>
  <c r="P41" i="2"/>
  <c r="M13" i="15" s="1"/>
  <c r="Q98" i="2"/>
  <c r="Q104" i="2" s="1"/>
  <c r="P125" i="2"/>
  <c r="R8" i="18"/>
  <c r="Q8" i="18"/>
  <c r="Q124" i="2" l="1"/>
  <c r="R123" i="2"/>
  <c r="Q125" i="2"/>
  <c r="N11" i="14"/>
  <c r="O9" i="14"/>
  <c r="N166" i="2"/>
  <c r="S164" i="2"/>
  <c r="O165" i="2"/>
  <c r="O90" i="2"/>
  <c r="O42" i="2"/>
  <c r="O43" i="2" s="1"/>
  <c r="O160" i="2" s="1"/>
  <c r="O133" i="2"/>
  <c r="P130" i="2" s="1"/>
  <c r="P132" i="2" s="1"/>
  <c r="N13" i="14"/>
  <c r="Q41" i="2"/>
  <c r="N13" i="15" s="1"/>
  <c r="N59" i="15"/>
  <c r="N55" i="15"/>
  <c r="R98" i="2"/>
  <c r="R104" i="2" s="1"/>
  <c r="S36" i="2"/>
  <c r="S55" i="2"/>
  <c r="P9" i="14" s="1"/>
  <c r="T35" i="2"/>
  <c r="S46" i="2"/>
  <c r="S102" i="2" s="1"/>
  <c r="S39" i="2"/>
  <c r="S40" i="2"/>
  <c r="M13" i="14"/>
  <c r="P127" i="2"/>
  <c r="O92" i="2"/>
  <c r="R37" i="2"/>
  <c r="O11" i="15" s="1"/>
  <c r="R68" i="2"/>
  <c r="R56" i="2"/>
  <c r="Q127" i="2" l="1"/>
  <c r="Q165" i="2" s="1"/>
  <c r="R125" i="2"/>
  <c r="O11" i="14"/>
  <c r="R124" i="2"/>
  <c r="O10" i="14"/>
  <c r="P165" i="2"/>
  <c r="T164" i="2"/>
  <c r="O161" i="2"/>
  <c r="O162" i="2" s="1"/>
  <c r="O163" i="2"/>
  <c r="Q92" i="2"/>
  <c r="P133" i="2"/>
  <c r="Q130" i="2" s="1"/>
  <c r="Q132" i="2" s="1"/>
  <c r="L15" i="15"/>
  <c r="O60" i="2"/>
  <c r="L63" i="15" s="1"/>
  <c r="O55" i="15"/>
  <c r="R41" i="2"/>
  <c r="O13" i="15" s="1"/>
  <c r="O59" i="15"/>
  <c r="U35" i="2"/>
  <c r="T39" i="2"/>
  <c r="T36" i="2"/>
  <c r="T55" i="2"/>
  <c r="Q9" i="14" s="1"/>
  <c r="T40" i="2"/>
  <c r="T46" i="2"/>
  <c r="T102" i="2" s="1"/>
  <c r="P92" i="2"/>
  <c r="S123" i="2"/>
  <c r="S98" i="2"/>
  <c r="S104" i="2" s="1"/>
  <c r="S37" i="2"/>
  <c r="P11" i="15" s="1"/>
  <c r="S68" i="2"/>
  <c r="S56" i="2"/>
  <c r="P10" i="14" s="1"/>
  <c r="P90" i="2"/>
  <c r="P42" i="2"/>
  <c r="P43" i="2" s="1"/>
  <c r="P160" i="2" s="1"/>
  <c r="P161" i="2" s="1"/>
  <c r="P162" i="2" s="1"/>
  <c r="R127" i="2" l="1"/>
  <c r="R165" i="2" s="1"/>
  <c r="O13" i="14"/>
  <c r="S125" i="2"/>
  <c r="P11" i="14"/>
  <c r="P55" i="15"/>
  <c r="T123" i="2"/>
  <c r="O166" i="2"/>
  <c r="P60" i="2"/>
  <c r="M63" i="15" s="1"/>
  <c r="P163" i="2"/>
  <c r="P166" i="2" s="1"/>
  <c r="U164" i="2"/>
  <c r="M15" i="15"/>
  <c r="P59" i="15"/>
  <c r="S41" i="2"/>
  <c r="P13" i="15" s="1"/>
  <c r="U40" i="2"/>
  <c r="U36" i="2"/>
  <c r="U37" i="2" s="1"/>
  <c r="R11" i="15" s="1"/>
  <c r="U39" i="2"/>
  <c r="V35" i="2"/>
  <c r="U55" i="2"/>
  <c r="R9" i="14" s="1"/>
  <c r="U46" i="2"/>
  <c r="U102" i="2" s="1"/>
  <c r="S124" i="2"/>
  <c r="T37" i="2"/>
  <c r="Q11" i="15" s="1"/>
  <c r="T56" i="2"/>
  <c r="Q10" i="14" s="1"/>
  <c r="T68" i="2"/>
  <c r="T98" i="2"/>
  <c r="T104" i="2" s="1"/>
  <c r="Q133" i="2"/>
  <c r="R92" i="2" l="1"/>
  <c r="T125" i="2"/>
  <c r="Q11" i="14"/>
  <c r="Q13" i="14" s="1"/>
  <c r="T124" i="2"/>
  <c r="U123" i="2"/>
  <c r="V164" i="2"/>
  <c r="Q59" i="15"/>
  <c r="Q55" i="15"/>
  <c r="T41" i="2"/>
  <c r="Q13" i="15" s="1"/>
  <c r="S127" i="2"/>
  <c r="S165" i="2" s="1"/>
  <c r="P13" i="14"/>
  <c r="U41" i="2"/>
  <c r="R13" i="15" s="1"/>
  <c r="U98" i="2"/>
  <c r="U104" i="2" s="1"/>
  <c r="U68" i="2"/>
  <c r="U56" i="2"/>
  <c r="R10" i="14" s="1"/>
  <c r="V36" i="2"/>
  <c r="V55" i="2"/>
  <c r="V123" i="2" s="1"/>
  <c r="V39" i="2"/>
  <c r="V40" i="2"/>
  <c r="V46" i="2"/>
  <c r="V102" i="2" s="1"/>
  <c r="R130" i="2"/>
  <c r="R132" i="2" s="1"/>
  <c r="Q60" i="2"/>
  <c r="Q90" i="2"/>
  <c r="Q42" i="2"/>
  <c r="Q43" i="2" s="1"/>
  <c r="T127" i="2" l="1"/>
  <c r="T165" i="2" s="1"/>
  <c r="S9" i="14"/>
  <c r="U124" i="2"/>
  <c r="U125" i="2"/>
  <c r="U127" i="2" s="1"/>
  <c r="U165" i="2" s="1"/>
  <c r="R11" i="14"/>
  <c r="R13" i="14" s="1"/>
  <c r="S92" i="2"/>
  <c r="Q160" i="2"/>
  <c r="Q161" i="2" s="1"/>
  <c r="Q162" i="2" s="1"/>
  <c r="Q163" i="2"/>
  <c r="T92" i="2"/>
  <c r="R59" i="15"/>
  <c r="N63" i="15"/>
  <c r="R55" i="15"/>
  <c r="N15" i="15"/>
  <c r="V98" i="2"/>
  <c r="V104" i="2" s="1"/>
  <c r="V56" i="2"/>
  <c r="V124" i="2" s="1"/>
  <c r="V68" i="2"/>
  <c r="V37" i="2"/>
  <c r="S11" i="15" s="1"/>
  <c r="R133" i="2"/>
  <c r="S10" i="14" l="1"/>
  <c r="V125" i="2"/>
  <c r="V127" i="2" s="1"/>
  <c r="V165" i="2" s="1"/>
  <c r="S11" i="14"/>
  <c r="S13" i="14" s="1"/>
  <c r="Q166" i="2"/>
  <c r="U92" i="2"/>
  <c r="S55" i="15"/>
  <c r="V41" i="2"/>
  <c r="S13" i="15" s="1"/>
  <c r="S59" i="15"/>
  <c r="R60" i="2"/>
  <c r="S130" i="2"/>
  <c r="S132" i="2" s="1"/>
  <c r="R90" i="2"/>
  <c r="R42" i="2"/>
  <c r="R43" i="2" s="1"/>
  <c r="R160" i="2" l="1"/>
  <c r="R163" i="2"/>
  <c r="V92" i="2"/>
  <c r="O63" i="15"/>
  <c r="O15" i="15"/>
  <c r="S133" i="2"/>
  <c r="R161" i="2" l="1"/>
  <c r="R162" i="2" s="1"/>
  <c r="R166" i="2" s="1"/>
  <c r="T130" i="2"/>
  <c r="T132" i="2" s="1"/>
  <c r="S60" i="2"/>
  <c r="S90" i="2"/>
  <c r="S42" i="2"/>
  <c r="S43" i="2" s="1"/>
  <c r="S160" i="2" l="1"/>
  <c r="S163" i="2"/>
  <c r="P15" i="15"/>
  <c r="P63" i="15"/>
  <c r="T133" i="2"/>
  <c r="S161" i="2" l="1"/>
  <c r="S162" i="2" s="1"/>
  <c r="S166" i="2" s="1"/>
  <c r="T42" i="2"/>
  <c r="T43" i="2" s="1"/>
  <c r="T90" i="2"/>
  <c r="T60" i="2"/>
  <c r="U130" i="2"/>
  <c r="U132" i="2" s="1"/>
  <c r="T160" i="2" l="1"/>
  <c r="T161" i="2" s="1"/>
  <c r="T162" i="2" s="1"/>
  <c r="T163" i="2"/>
  <c r="Q15" i="15"/>
  <c r="Q63" i="15"/>
  <c r="U133" i="2"/>
  <c r="T166" i="2" l="1"/>
  <c r="U60" i="2"/>
  <c r="V130" i="2"/>
  <c r="V132" i="2" s="1"/>
  <c r="U42" i="2"/>
  <c r="U43" i="2" s="1"/>
  <c r="U90" i="2"/>
  <c r="U160" i="2" l="1"/>
  <c r="U161" i="2" s="1"/>
  <c r="U162" i="2" s="1"/>
  <c r="U163" i="2"/>
  <c r="R63" i="15"/>
  <c r="R15" i="15"/>
  <c r="V133" i="2"/>
  <c r="V60" i="2" s="1"/>
  <c r="S63" i="15" s="1"/>
  <c r="U166" i="2" l="1"/>
  <c r="V90" i="2"/>
  <c r="V42" i="2"/>
  <c r="V43" i="2" s="1"/>
  <c r="V163" i="2" l="1"/>
  <c r="V160" i="2"/>
  <c r="S15" i="15"/>
  <c r="V161" i="2" l="1"/>
  <c r="V162" i="2" s="1"/>
  <c r="V166" i="2" s="1"/>
  <c r="Z158" i="2"/>
  <c r="Z159" i="2" l="1"/>
  <c r="Z160" i="2" s="1"/>
  <c r="W166" i="2" s="1"/>
  <c r="E171" i="2" s="1"/>
  <c r="E170" i="2"/>
  <c r="O108" i="2"/>
  <c r="N108" i="2"/>
  <c r="M108" i="2"/>
  <c r="P108" i="2"/>
  <c r="M138" i="2"/>
  <c r="M72" i="2" s="1"/>
  <c r="M75" i="2" s="1"/>
  <c r="E172" i="2" l="1"/>
  <c r="E176" i="2" s="1"/>
  <c r="E178" i="2" s="1"/>
  <c r="H195" i="2" s="1"/>
  <c r="N136" i="2"/>
  <c r="N138" i="2" s="1"/>
  <c r="N72" i="2" s="1"/>
  <c r="N75" i="2" s="1"/>
  <c r="M139" i="2"/>
  <c r="N172" i="2" l="1"/>
  <c r="N173" i="2" s="1"/>
  <c r="H185" i="2"/>
  <c r="N139" i="2"/>
  <c r="N111" i="2" s="1"/>
  <c r="O136" i="2"/>
  <c r="O138" i="2" s="1"/>
  <c r="O139" i="2" s="1"/>
  <c r="M111" i="2"/>
  <c r="M44" i="2"/>
  <c r="P136" i="2" l="1"/>
  <c r="P138" i="2" s="1"/>
  <c r="Q136" i="2" s="1"/>
  <c r="Q138" i="2" s="1"/>
  <c r="Q139" i="2" s="1"/>
  <c r="N44" i="2"/>
  <c r="N91" i="2" s="1"/>
  <c r="O72" i="2"/>
  <c r="O75" i="2" s="1"/>
  <c r="O44" i="2"/>
  <c r="O111" i="2"/>
  <c r="M47" i="2"/>
  <c r="M91" i="2"/>
  <c r="J17" i="15" l="1"/>
  <c r="Q72" i="2"/>
  <c r="Q75" i="2" s="1"/>
  <c r="P139" i="2"/>
  <c r="P44" i="2" s="1"/>
  <c r="P72" i="2"/>
  <c r="P75" i="2" s="1"/>
  <c r="R136" i="2"/>
  <c r="R138" i="2" s="1"/>
  <c r="R139" i="2" s="1"/>
  <c r="N47" i="2"/>
  <c r="Q44" i="2"/>
  <c r="Q111" i="2"/>
  <c r="O91" i="2"/>
  <c r="O47" i="2"/>
  <c r="M48" i="2"/>
  <c r="J19" i="15" s="1"/>
  <c r="P111" i="2" l="1"/>
  <c r="L17" i="15"/>
  <c r="K17" i="15"/>
  <c r="S136" i="2"/>
  <c r="S138" i="2" s="1"/>
  <c r="S139" i="2" s="1"/>
  <c r="R72" i="2"/>
  <c r="R75" i="2" s="1"/>
  <c r="N48" i="2"/>
  <c r="K19" i="15" s="1"/>
  <c r="Q91" i="2"/>
  <c r="Q47" i="2"/>
  <c r="R111" i="2"/>
  <c r="R44" i="2"/>
  <c r="P47" i="2"/>
  <c r="P91" i="2"/>
  <c r="M49" i="2"/>
  <c r="O48" i="2"/>
  <c r="L19" i="15" s="1"/>
  <c r="S72" i="2" l="1"/>
  <c r="S75" i="2" s="1"/>
  <c r="J29" i="15"/>
  <c r="J33" i="15"/>
  <c r="J21" i="15"/>
  <c r="M17" i="15"/>
  <c r="Q48" i="2"/>
  <c r="N17" i="15"/>
  <c r="T136" i="2"/>
  <c r="T138" i="2" s="1"/>
  <c r="T139" i="2" s="1"/>
  <c r="N49" i="2"/>
  <c r="R91" i="2"/>
  <c r="R47" i="2"/>
  <c r="S44" i="2"/>
  <c r="S111" i="2"/>
  <c r="M89" i="2"/>
  <c r="M93" i="2" s="1"/>
  <c r="M110" i="2"/>
  <c r="M112" i="2" s="1"/>
  <c r="P48" i="2"/>
  <c r="M19" i="15" s="1"/>
  <c r="O49" i="2"/>
  <c r="T72" i="2" l="1"/>
  <c r="T75" i="2" s="1"/>
  <c r="U136" i="2"/>
  <c r="U138" i="2" s="1"/>
  <c r="V136" i="2" s="1"/>
  <c r="V138" i="2" s="1"/>
  <c r="L33" i="15"/>
  <c r="L29" i="15"/>
  <c r="L21" i="15"/>
  <c r="R48" i="2"/>
  <c r="O17" i="15"/>
  <c r="N110" i="2"/>
  <c r="N112" i="2" s="1"/>
  <c r="K21" i="15"/>
  <c r="K33" i="15"/>
  <c r="K29" i="15"/>
  <c r="Q49" i="2"/>
  <c r="N19" i="15"/>
  <c r="N89" i="2"/>
  <c r="N93" i="2" s="1"/>
  <c r="P49" i="2"/>
  <c r="S91" i="2"/>
  <c r="S47" i="2"/>
  <c r="M79" i="2"/>
  <c r="M80" i="2" s="1"/>
  <c r="T111" i="2"/>
  <c r="T44" i="2"/>
  <c r="M115" i="2"/>
  <c r="M117" i="2" s="1"/>
  <c r="O89" i="2"/>
  <c r="O93" i="2" s="1"/>
  <c r="O110" i="2"/>
  <c r="O112" i="2" s="1"/>
  <c r="U72" i="2" l="1"/>
  <c r="U75" i="2" s="1"/>
  <c r="U139" i="2"/>
  <c r="U44" i="2" s="1"/>
  <c r="N115" i="2"/>
  <c r="S48" i="2"/>
  <c r="P17" i="15"/>
  <c r="N29" i="15"/>
  <c r="N33" i="15"/>
  <c r="N21" i="15"/>
  <c r="Q110" i="2"/>
  <c r="Q112" i="2" s="1"/>
  <c r="Q89" i="2"/>
  <c r="Q93" i="2" s="1"/>
  <c r="M29" i="15"/>
  <c r="M33" i="15"/>
  <c r="M21" i="15"/>
  <c r="J47" i="15"/>
  <c r="J31" i="15"/>
  <c r="J35" i="15"/>
  <c r="R49" i="2"/>
  <c r="O19" i="15"/>
  <c r="N79" i="2"/>
  <c r="O79" i="2" s="1"/>
  <c r="P110" i="2"/>
  <c r="P112" i="2" s="1"/>
  <c r="T91" i="2"/>
  <c r="T47" i="2"/>
  <c r="V72" i="2"/>
  <c r="V75" i="2" s="1"/>
  <c r="V139" i="2"/>
  <c r="P89" i="2"/>
  <c r="P93" i="2" s="1"/>
  <c r="U111" i="2"/>
  <c r="M83" i="2"/>
  <c r="O115" i="2"/>
  <c r="M53" i="2"/>
  <c r="N116" i="2"/>
  <c r="N117" i="2" l="1"/>
  <c r="N53" i="2" s="1"/>
  <c r="K51" i="15" s="1"/>
  <c r="N80" i="2"/>
  <c r="J40" i="15"/>
  <c r="J38" i="15"/>
  <c r="J51" i="15"/>
  <c r="S49" i="2"/>
  <c r="P19" i="15"/>
  <c r="O21" i="15"/>
  <c r="O29" i="15"/>
  <c r="O33" i="15"/>
  <c r="R110" i="2"/>
  <c r="R112" i="2" s="1"/>
  <c r="R89" i="2"/>
  <c r="R93" i="2" s="1"/>
  <c r="P115" i="2"/>
  <c r="Q115" i="2"/>
  <c r="T48" i="2"/>
  <c r="Q17" i="15"/>
  <c r="U91" i="2"/>
  <c r="U47" i="2"/>
  <c r="V111" i="2"/>
  <c r="V44" i="2"/>
  <c r="M64" i="2"/>
  <c r="O80" i="2"/>
  <c r="P79" i="2"/>
  <c r="Q79" i="2" s="1"/>
  <c r="O116" i="2" l="1"/>
  <c r="O117" i="2" s="1"/>
  <c r="O53" i="2" s="1"/>
  <c r="L51" i="15" s="1"/>
  <c r="K31" i="15"/>
  <c r="N83" i="2"/>
  <c r="K47" i="15"/>
  <c r="K35" i="15"/>
  <c r="L47" i="15"/>
  <c r="L31" i="15"/>
  <c r="J45" i="15"/>
  <c r="J25" i="15"/>
  <c r="J27" i="15"/>
  <c r="U48" i="2"/>
  <c r="R17" i="15"/>
  <c r="R115" i="2"/>
  <c r="K38" i="15"/>
  <c r="K40" i="15"/>
  <c r="T49" i="2"/>
  <c r="Q19" i="15"/>
  <c r="L35" i="15"/>
  <c r="P33" i="15"/>
  <c r="P21" i="15"/>
  <c r="P29" i="15"/>
  <c r="S89" i="2"/>
  <c r="S93" i="2" s="1"/>
  <c r="S110" i="2"/>
  <c r="S112" i="2" s="1"/>
  <c r="R79" i="2"/>
  <c r="Q80" i="2"/>
  <c r="V91" i="2"/>
  <c r="V47" i="2"/>
  <c r="P80" i="2"/>
  <c r="N64" i="2"/>
  <c r="O83" i="2"/>
  <c r="M85" i="2"/>
  <c r="M9" i="2" s="1"/>
  <c r="P116" i="2" l="1"/>
  <c r="P117" i="2" s="1"/>
  <c r="Q116" i="2" s="1"/>
  <c r="Q117" i="2" s="1"/>
  <c r="Q53" i="2" s="1"/>
  <c r="U49" i="2"/>
  <c r="R19" i="15"/>
  <c r="M31" i="15"/>
  <c r="K45" i="15"/>
  <c r="Q83" i="2"/>
  <c r="N47" i="15"/>
  <c r="Q29" i="15"/>
  <c r="Q33" i="15"/>
  <c r="Q21" i="15"/>
  <c r="T110" i="2"/>
  <c r="T112" i="2" s="1"/>
  <c r="T89" i="2"/>
  <c r="T93" i="2" s="1"/>
  <c r="K25" i="15"/>
  <c r="M35" i="15"/>
  <c r="V48" i="2"/>
  <c r="S17" i="15"/>
  <c r="K27" i="15"/>
  <c r="M47" i="15"/>
  <c r="N35" i="15"/>
  <c r="N31" i="15"/>
  <c r="L38" i="15"/>
  <c r="L40" i="15"/>
  <c r="S115" i="2"/>
  <c r="S79" i="2"/>
  <c r="R80" i="2"/>
  <c r="O31" i="15" s="1"/>
  <c r="O64" i="2"/>
  <c r="P83" i="2"/>
  <c r="N85" i="2"/>
  <c r="N9" i="2" s="1"/>
  <c r="R116" i="2" l="1"/>
  <c r="R117" i="2" s="1"/>
  <c r="R53" i="2" s="1"/>
  <c r="P53" i="2"/>
  <c r="M51" i="15" s="1"/>
  <c r="Q64" i="2"/>
  <c r="N38" i="15"/>
  <c r="N40" i="15"/>
  <c r="L45" i="15"/>
  <c r="R83" i="2"/>
  <c r="O47" i="15"/>
  <c r="O35" i="15"/>
  <c r="L27" i="15"/>
  <c r="V49" i="2"/>
  <c r="S19" i="15"/>
  <c r="T115" i="2"/>
  <c r="L25" i="15"/>
  <c r="R29" i="15"/>
  <c r="R33" i="15"/>
  <c r="R21" i="15"/>
  <c r="U89" i="2"/>
  <c r="U93" i="2" s="1"/>
  <c r="U110" i="2"/>
  <c r="U112" i="2" s="1"/>
  <c r="T79" i="2"/>
  <c r="S80" i="2"/>
  <c r="P31" i="15" s="1"/>
  <c r="O85" i="2"/>
  <c r="O9" i="2" s="1"/>
  <c r="P64" i="2" l="1"/>
  <c r="M27" i="15" s="1"/>
  <c r="S116" i="2"/>
  <c r="S117" i="2" s="1"/>
  <c r="S53" i="2" s="1"/>
  <c r="P51" i="15" s="1"/>
  <c r="M40" i="15"/>
  <c r="N51" i="15"/>
  <c r="M38" i="15"/>
  <c r="U115" i="2"/>
  <c r="R64" i="2"/>
  <c r="O25" i="15" s="1"/>
  <c r="O38" i="15"/>
  <c r="O40" i="15"/>
  <c r="P35" i="15"/>
  <c r="O51" i="15"/>
  <c r="S83" i="2"/>
  <c r="P47" i="15"/>
  <c r="S21" i="15"/>
  <c r="S33" i="15"/>
  <c r="S29" i="15"/>
  <c r="V110" i="2"/>
  <c r="V112" i="2" s="1"/>
  <c r="V89" i="2"/>
  <c r="V93" i="2" s="1"/>
  <c r="Q85" i="2"/>
  <c r="Q9" i="2" s="1"/>
  <c r="N45" i="15"/>
  <c r="U79" i="2"/>
  <c r="T80" i="2"/>
  <c r="Q35" i="15" s="1"/>
  <c r="P85" i="2" l="1"/>
  <c r="P9" i="2" s="1"/>
  <c r="M25" i="15"/>
  <c r="N27" i="15"/>
  <c r="N25" i="15"/>
  <c r="T116" i="2"/>
  <c r="T117" i="2" s="1"/>
  <c r="U116" i="2" s="1"/>
  <c r="U117" i="2" s="1"/>
  <c r="M45" i="15"/>
  <c r="O27" i="15"/>
  <c r="V115" i="2"/>
  <c r="S64" i="2"/>
  <c r="P25" i="15" s="1"/>
  <c r="P40" i="15"/>
  <c r="P38" i="15"/>
  <c r="T83" i="2"/>
  <c r="Q47" i="15"/>
  <c r="Q31" i="15"/>
  <c r="R85" i="2"/>
  <c r="R9" i="2" s="1"/>
  <c r="O45" i="15"/>
  <c r="V79" i="2"/>
  <c r="V80" i="2" s="1"/>
  <c r="U80" i="2"/>
  <c r="T53" i="2" l="1"/>
  <c r="Q51" i="15" s="1"/>
  <c r="P27" i="15"/>
  <c r="R31" i="15"/>
  <c r="V83" i="2"/>
  <c r="S47" i="15"/>
  <c r="U83" i="2"/>
  <c r="R47" i="15"/>
  <c r="S31" i="15"/>
  <c r="S35" i="15"/>
  <c r="R35" i="15"/>
  <c r="S85" i="2"/>
  <c r="S9" i="2" s="1"/>
  <c r="P45" i="15"/>
  <c r="U53" i="2"/>
  <c r="V116" i="2"/>
  <c r="V117" i="2" s="1"/>
  <c r="V53" i="2" s="1"/>
  <c r="Q38" i="15" l="1"/>
  <c r="Q40" i="15"/>
  <c r="R51" i="15"/>
  <c r="T64" i="2"/>
  <c r="Q25" i="15" s="1"/>
  <c r="V64" i="2"/>
  <c r="S38" i="15"/>
  <c r="S40" i="15"/>
  <c r="U64" i="2"/>
  <c r="R38" i="15"/>
  <c r="R40" i="15"/>
  <c r="S51" i="15"/>
  <c r="Q45" i="15" l="1"/>
  <c r="T85" i="2"/>
  <c r="T9" i="2" s="1"/>
  <c r="R25" i="15"/>
  <c r="Q27" i="15"/>
  <c r="U85" i="2"/>
  <c r="U9" i="2" s="1"/>
  <c r="R45" i="15"/>
  <c r="S25" i="15"/>
  <c r="S27" i="15"/>
  <c r="R27" i="15"/>
  <c r="V85" i="2"/>
  <c r="V9" i="2" s="1"/>
  <c r="S45" i="15"/>
</calcChain>
</file>

<file path=xl/sharedStrings.xml><?xml version="1.0" encoding="utf-8"?>
<sst xmlns="http://schemas.openxmlformats.org/spreadsheetml/2006/main" count="731" uniqueCount="482">
  <si>
    <t>Revenue from operations</t>
  </si>
  <si>
    <t>Other income</t>
  </si>
  <si>
    <t>Total Income</t>
  </si>
  <si>
    <t>Expenses</t>
  </si>
  <si>
    <t>Cost of electrical energy purchased</t>
  </si>
  <si>
    <t>Cost of fuel</t>
  </si>
  <si>
    <t>Purchases of stock-in -trade</t>
  </si>
  <si>
    <t>Employee benefits expense</t>
  </si>
  <si>
    <t>Finance costs</t>
  </si>
  <si>
    <t>Depreciation and amortisation expense</t>
  </si>
  <si>
    <t>Other expenses</t>
  </si>
  <si>
    <t>Total expenses</t>
  </si>
  <si>
    <t>Profit before share in profit of associate and tax</t>
  </si>
  <si>
    <t>Share in net profit of associate</t>
  </si>
  <si>
    <t>Profit before regulatory income/(expense) and tax</t>
  </si>
  <si>
    <t>Regulatory Income/(Expense) (net)</t>
  </si>
  <si>
    <t>Profit before tax</t>
  </si>
  <si>
    <t>Tax expense</t>
  </si>
  <si>
    <t>Current tax</t>
  </si>
  <si>
    <t>Deferred tax</t>
  </si>
  <si>
    <t>Total Tax expenses</t>
  </si>
  <si>
    <t>Profit after Tax ( profit for the year)</t>
  </si>
  <si>
    <t>Non-controlling interest</t>
  </si>
  <si>
    <t xml:space="preserve"> Profit attributable to owners of the equity</t>
  </si>
  <si>
    <t>Profit attributable to non-controlling interest</t>
  </si>
  <si>
    <t>Balance sheet</t>
  </si>
  <si>
    <t>ASSETS</t>
  </si>
  <si>
    <t>Non-current Assets</t>
  </si>
  <si>
    <t>Property, Plant and Equipment</t>
  </si>
  <si>
    <t>Capital work-in-progress</t>
  </si>
  <si>
    <t>Investment Property</t>
  </si>
  <si>
    <t>Intangible Assets</t>
  </si>
  <si>
    <t>Investment accounted under equity method</t>
  </si>
  <si>
    <t>Financial Assets</t>
  </si>
  <si>
    <t>Investments</t>
  </si>
  <si>
    <t>Loans</t>
  </si>
  <si>
    <t>Others</t>
  </si>
  <si>
    <t>Other Non-current assets</t>
  </si>
  <si>
    <t>Total non-current assets</t>
  </si>
  <si>
    <t>Current Assets</t>
  </si>
  <si>
    <t>Inventories</t>
  </si>
  <si>
    <t>Trade receivables</t>
  </si>
  <si>
    <t>Cash and cash equivalents</t>
  </si>
  <si>
    <t>Bank balances other than cash and cash equivalents</t>
  </si>
  <si>
    <t>Current tax assets (Net)</t>
  </si>
  <si>
    <t>Other current assets</t>
  </si>
  <si>
    <t>Total current assets</t>
  </si>
  <si>
    <t>Regulatory deferral account balances</t>
  </si>
  <si>
    <t>TOTAL ASSETS</t>
  </si>
  <si>
    <t>EQUITY AND LIABILITIES</t>
  </si>
  <si>
    <t>Equity</t>
  </si>
  <si>
    <t>Equity Share capital</t>
  </si>
  <si>
    <t>Other Equity</t>
  </si>
  <si>
    <t>Total Equity</t>
  </si>
  <si>
    <t>Liabilities</t>
  </si>
  <si>
    <t>Non-current Liabilities</t>
  </si>
  <si>
    <t>Financial Liabilities</t>
  </si>
  <si>
    <t>Borrowings</t>
  </si>
  <si>
    <t>Trade Payables</t>
  </si>
  <si>
    <t>(a)Total outstanding dues to micro enterprises and small enterprises</t>
  </si>
  <si>
    <t>(b)Total outstanding dues of creditors other than micro enterprises and small enterprises</t>
  </si>
  <si>
    <t>Consumers' Security Deposits</t>
  </si>
  <si>
    <t>Provisions</t>
  </si>
  <si>
    <t>Deferred tax liabilities (Net)</t>
  </si>
  <si>
    <t>Other Non-Current liabilities</t>
  </si>
  <si>
    <t>-</t>
  </si>
  <si>
    <t>Total non-current liabilities</t>
  </si>
  <si>
    <t>Current Liabilities</t>
  </si>
  <si>
    <t>Other current liabilities</t>
  </si>
  <si>
    <t>Current tax liabilities (Net)</t>
  </si>
  <si>
    <t xml:space="preserve">(b)Total outstanding dues of creditors other than micro enterprises and small enterprises </t>
  </si>
  <si>
    <t>Total current liabilities</t>
  </si>
  <si>
    <t>TOTAL EQUITY AND LIABILITIES</t>
  </si>
  <si>
    <t>cash flow statements</t>
  </si>
  <si>
    <t>A. Cash flow from Operating Activities</t>
  </si>
  <si>
    <t>Adjustments for :</t>
  </si>
  <si>
    <t>Loss on sale / disposal of property, plant and equipment (net)</t>
  </si>
  <si>
    <t>Gain on sale/fair valuation of current investments (net)</t>
  </si>
  <si>
    <t>Dividend Income</t>
  </si>
  <si>
    <t>Allowances for doubtful debts / Advances made / Security deposits</t>
  </si>
  <si>
    <t>Bad debts, advances, other receivables written off</t>
  </si>
  <si>
    <t>Finance Costs</t>
  </si>
  <si>
    <t>Interest Income</t>
  </si>
  <si>
    <t>Effect of Foreign Currency Transactions / Translation (net)</t>
  </si>
  <si>
    <t>Other Operating/Non Operating Income</t>
  </si>
  <si>
    <t>Operating Profit before Working Capital changes</t>
  </si>
  <si>
    <t>Adjustments for change in :</t>
  </si>
  <si>
    <t>Trade and other receivables</t>
  </si>
  <si>
    <t>Net change in regulatory deferral account balances</t>
  </si>
  <si>
    <t>Trade and other payables</t>
  </si>
  <si>
    <t>Cash Generated from Operations</t>
  </si>
  <si>
    <t>Income Tax paid (net of refund)</t>
  </si>
  <si>
    <t>Net cash flow from Operating Activities</t>
  </si>
  <si>
    <t>Cash flow from Investing Activities</t>
  </si>
  <si>
    <t>Purchase of Property, Plant &amp; Equipment / Capital Work-in-Progress</t>
  </si>
  <si>
    <t>Proceeds from sale of Property, Plant &amp; Equipment</t>
  </si>
  <si>
    <t>Income from investment property</t>
  </si>
  <si>
    <t>Sale/(purchase) of Current Investments (net)</t>
  </si>
  <si>
    <t>Sale of Non-current Investments</t>
  </si>
  <si>
    <t>Dividend received</t>
  </si>
  <si>
    <t>Interest received</t>
  </si>
  <si>
    <t>Net Movement in Bank Balances not considered as Cash and Cash Equivalents</t>
  </si>
  <si>
    <t>Net cash used in Investing Activities</t>
  </si>
  <si>
    <t>Cash flow from Financing Activities</t>
  </si>
  <si>
    <t>Proceeds from Non-Current Borrowings</t>
  </si>
  <si>
    <t>Repayment of Non-Current Borrowings</t>
  </si>
  <si>
    <t>Payment of Lease Liabilities</t>
  </si>
  <si>
    <t>Net movement in Cash Credit facilities and other Current Borrowings</t>
  </si>
  <si>
    <t>Finance Costs paid</t>
  </si>
  <si>
    <t>Dividends paid</t>
  </si>
  <si>
    <t>Dividend tax paid</t>
  </si>
  <si>
    <t>Net Cash used in Financing Activities</t>
  </si>
  <si>
    <t>Net increase / (decrease) in cash and cash equivalents</t>
  </si>
  <si>
    <t>Cash and Cash equivalents - Opening Balance [Refer Note 15]</t>
  </si>
  <si>
    <t>Cash and Cash equivalents - Pursuant to Acquisition during the year</t>
  </si>
  <si>
    <t>Cash and Cash equivalents - Closing Balance [Refer Note 15]</t>
  </si>
  <si>
    <t>Lease Liabilities</t>
  </si>
  <si>
    <t>Liability / Provision Written Back</t>
  </si>
  <si>
    <t>Gain on sale/fair valuation of non-current investments (net)</t>
  </si>
  <si>
    <t>CESC Limited</t>
  </si>
  <si>
    <t>Financial Statements &amp; DCF Analysis</t>
  </si>
  <si>
    <t>Income Statement</t>
  </si>
  <si>
    <t>INCOME</t>
  </si>
  <si>
    <t>Revenue</t>
  </si>
  <si>
    <t>Historical Financial Information</t>
  </si>
  <si>
    <t>Income statement</t>
  </si>
  <si>
    <t>Cost of Good Sold (COGS)</t>
  </si>
  <si>
    <t>Gross Profit</t>
  </si>
  <si>
    <t>Other SG&amp;A Expenses</t>
  </si>
  <si>
    <t>EBITDA</t>
  </si>
  <si>
    <t>Depreciation &amp; Amortization Expenses</t>
  </si>
  <si>
    <t>EBIT</t>
  </si>
  <si>
    <t>Interest</t>
  </si>
  <si>
    <t>Other Income (Expenses)</t>
  </si>
  <si>
    <t>Earnings before Tax</t>
  </si>
  <si>
    <t>Taxes</t>
  </si>
  <si>
    <t>Net  Earning</t>
  </si>
  <si>
    <t>regulatory income</t>
  </si>
  <si>
    <t xml:space="preserve">Balance sheet </t>
  </si>
  <si>
    <t>current assets</t>
  </si>
  <si>
    <t>Cash</t>
  </si>
  <si>
    <t>Bank Deposits</t>
  </si>
  <si>
    <t>Accounts Receivable</t>
  </si>
  <si>
    <t>Inventory</t>
  </si>
  <si>
    <t>Other Current Assets</t>
  </si>
  <si>
    <t>Non-Current Assets:</t>
  </si>
  <si>
    <t>Property &amp; Equipment</t>
  </si>
  <si>
    <t>Other Non-Current Assets</t>
  </si>
  <si>
    <t>Total Assets</t>
  </si>
  <si>
    <t>Current Liabilities:</t>
  </si>
  <si>
    <t>Accounts Payable</t>
  </si>
  <si>
    <t>Other Current Liability</t>
  </si>
  <si>
    <t>Non-Current Liabilities</t>
  </si>
  <si>
    <t>Debt</t>
  </si>
  <si>
    <t>Other Non-Current Liability</t>
  </si>
  <si>
    <t>Total Liabilities</t>
  </si>
  <si>
    <t>Shareholder's Equity</t>
  </si>
  <si>
    <t>Equity Capital</t>
  </si>
  <si>
    <t>Retained Earnings</t>
  </si>
  <si>
    <t>Non-Controlling Interest</t>
  </si>
  <si>
    <t>Total Liabilities &amp; Shareholder's Equity</t>
  </si>
  <si>
    <t>check</t>
  </si>
  <si>
    <t xml:space="preserve">cashflow statement </t>
  </si>
  <si>
    <t>Net Earnings</t>
  </si>
  <si>
    <t>Plus: Depreciation &amp; Amortization</t>
  </si>
  <si>
    <t>Plus/Less: Other Adjustments</t>
  </si>
  <si>
    <t>subtotal of adjustment</t>
  </si>
  <si>
    <t>Plus/Less: Adjustment for Operating Assets &amp; Liabilities</t>
  </si>
  <si>
    <t>Cash From Operations</t>
  </si>
  <si>
    <t>Investments in Property &amp; Equipment</t>
  </si>
  <si>
    <t>Sale of property, plant and equipment</t>
  </si>
  <si>
    <t>Purchases/sale of investments</t>
  </si>
  <si>
    <t>Cash from Investing</t>
  </si>
  <si>
    <t>Investing Cash Flow</t>
  </si>
  <si>
    <t>Financing Cash Flow</t>
  </si>
  <si>
    <t>Issuance(repayment) of debt</t>
  </si>
  <si>
    <t>Cash from Financing</t>
  </si>
  <si>
    <t>Net Increase (decrease) in Cash</t>
  </si>
  <si>
    <t>Opening Cash Balance</t>
  </si>
  <si>
    <t>Closing Cash Balance</t>
  </si>
  <si>
    <t>Operating Cash Flow</t>
  </si>
  <si>
    <t>Supporting Schedules</t>
  </si>
  <si>
    <t>Working Capital</t>
  </si>
  <si>
    <t>Total</t>
  </si>
  <si>
    <t>Depreciation Schedule</t>
  </si>
  <si>
    <t>PPE Opening</t>
  </si>
  <si>
    <t>Plus Capex</t>
  </si>
  <si>
    <t>Less Depreciation</t>
  </si>
  <si>
    <t>PPE Closing</t>
  </si>
  <si>
    <t>Debt &amp; Interest Schedule</t>
  </si>
  <si>
    <t>Debt Opening</t>
  </si>
  <si>
    <t>Issuance (repayment)</t>
  </si>
  <si>
    <t>Debt Closing</t>
  </si>
  <si>
    <t>Interest Expense</t>
  </si>
  <si>
    <t>Ratios &amp; Assumptions</t>
  </si>
  <si>
    <t xml:space="preserve">Revenue Growth </t>
  </si>
  <si>
    <t>Cost of Goods Sold (% of Revenue)</t>
  </si>
  <si>
    <t>Salaries and benefits (% of Revenue)</t>
  </si>
  <si>
    <t>Other SG&amp;A Expenses (% of Revenue)</t>
  </si>
  <si>
    <t>Depreciation &amp; Amortization Expenses (% of PP&amp;E)</t>
  </si>
  <si>
    <t>Interest (% of Debt)</t>
  </si>
  <si>
    <t>Other Income (Expenses) (% of Revenue)</t>
  </si>
  <si>
    <t>Tax Rate (% of Earnings before Tax)</t>
  </si>
  <si>
    <t>Dividends Payout</t>
  </si>
  <si>
    <t xml:space="preserve">Accounts Receivable </t>
  </si>
  <si>
    <t>Capital Asset Turnover Ratio</t>
  </si>
  <si>
    <t>ffd</t>
  </si>
  <si>
    <t>%</t>
  </si>
  <si>
    <t>Times</t>
  </si>
  <si>
    <t>Days</t>
  </si>
  <si>
    <t>days</t>
  </si>
  <si>
    <t>Base Case</t>
  </si>
  <si>
    <t>Bull Case</t>
  </si>
  <si>
    <t>Bear Case</t>
  </si>
  <si>
    <t>LIVE SCENARIO</t>
  </si>
  <si>
    <t>Transaction Date</t>
  </si>
  <si>
    <t>Fiscal Year End</t>
  </si>
  <si>
    <t>Tax rate</t>
  </si>
  <si>
    <t>Less: Cash Taxes</t>
  </si>
  <si>
    <t>NOPAT</t>
  </si>
  <si>
    <t>Plus: Depreciation &amp; Amoritzation</t>
  </si>
  <si>
    <t>Less: Capex</t>
  </si>
  <si>
    <t>Less: Changes in NWC</t>
  </si>
  <si>
    <t>Unlevered FCFF</t>
  </si>
  <si>
    <t>Terminal Value</t>
  </si>
  <si>
    <t>EV/EBITDA</t>
  </si>
  <si>
    <t>Perp. Growth</t>
  </si>
  <si>
    <t>Average</t>
  </si>
  <si>
    <t>Enterprise Value</t>
  </si>
  <si>
    <t>Plus: Cash &amp; Equivalents</t>
  </si>
  <si>
    <t>Less: Debt</t>
  </si>
  <si>
    <t>Less: Non-Controlling Interest</t>
  </si>
  <si>
    <t>Equity Value</t>
  </si>
  <si>
    <t>Equity Value/Share</t>
  </si>
  <si>
    <t>company name</t>
  </si>
  <si>
    <t>price</t>
  </si>
  <si>
    <t>share</t>
  </si>
  <si>
    <t>Market cap</t>
  </si>
  <si>
    <t>EV</t>
  </si>
  <si>
    <t>Sale</t>
  </si>
  <si>
    <t>Earnings</t>
  </si>
  <si>
    <t>EV/Sales</t>
  </si>
  <si>
    <t>P/E</t>
  </si>
  <si>
    <t>CESC</t>
  </si>
  <si>
    <t>Torrent Power Limited</t>
  </si>
  <si>
    <t>TORNTPOWER</t>
  </si>
  <si>
    <t>₹1,700</t>
  </si>
  <si>
    <t>SJVN Limited</t>
  </si>
  <si>
    <t>SJVN</t>
  </si>
  <si>
    <t>₹131.99</t>
  </si>
  <si>
    <t>India Grid Trust</t>
  </si>
  <si>
    <t>₹140.12</t>
  </si>
  <si>
    <t>Reliance Infrastructure Limited</t>
  </si>
  <si>
    <t>₹213.09</t>
  </si>
  <si>
    <t>ticker</t>
  </si>
  <si>
    <t>debt</t>
  </si>
  <si>
    <t>cash</t>
  </si>
  <si>
    <t>sale</t>
  </si>
  <si>
    <t>Net Income</t>
  </si>
  <si>
    <t>Tax</t>
  </si>
  <si>
    <t>Median</t>
  </si>
  <si>
    <t>Metric</t>
  </si>
  <si>
    <t>EV/Revenue</t>
  </si>
  <si>
    <t>Net Debt</t>
  </si>
  <si>
    <t>Shares</t>
  </si>
  <si>
    <t>Share Price</t>
  </si>
  <si>
    <t>Equity Market Return</t>
  </si>
  <si>
    <t>Date</t>
  </si>
  <si>
    <t>Index</t>
  </si>
  <si>
    <t>Close Price</t>
  </si>
  <si>
    <t>Nifty 50 TRI</t>
  </si>
  <si>
    <t>Yearfrac</t>
  </si>
  <si>
    <t>Market Return</t>
  </si>
  <si>
    <t>Comparable Companies Beta</t>
  </si>
  <si>
    <t>Company Name</t>
  </si>
  <si>
    <t xml:space="preserve">Total </t>
  </si>
  <si>
    <t>Debt/</t>
  </si>
  <si>
    <t>Levered</t>
  </si>
  <si>
    <t>Unlevered</t>
  </si>
  <si>
    <t>Value</t>
  </si>
  <si>
    <t>Capital</t>
  </si>
  <si>
    <t>Rate %</t>
  </si>
  <si>
    <t>Beta</t>
  </si>
  <si>
    <t>WACC Calculation</t>
  </si>
  <si>
    <t>Target Capital Structure</t>
  </si>
  <si>
    <t>Current Capital Structure</t>
  </si>
  <si>
    <t>Cost of Debt</t>
  </si>
  <si>
    <t>Cost of Equity</t>
  </si>
  <si>
    <t>Proportion of Debt</t>
  </si>
  <si>
    <t>Proportion of Equity</t>
  </si>
  <si>
    <t>Market Cap</t>
  </si>
  <si>
    <t>Total Debt</t>
  </si>
  <si>
    <t>Debt / Equity</t>
  </si>
  <si>
    <t>Pre-Tax Cost of Debt</t>
  </si>
  <si>
    <t>Tax Rate</t>
  </si>
  <si>
    <t>After-Tax Cost of Debt</t>
  </si>
  <si>
    <t>Risk Free Rate</t>
  </si>
  <si>
    <t>Equity Risk Premium</t>
  </si>
  <si>
    <t>Levered Equity Beta</t>
  </si>
  <si>
    <t>WACC</t>
  </si>
  <si>
    <t>EV/EBITDA Multiple</t>
  </si>
  <si>
    <t>Perpetual Growth Rate</t>
  </si>
  <si>
    <t>Discount Rate</t>
  </si>
  <si>
    <t>Shares Outstanding</t>
  </si>
  <si>
    <t>Current Price</t>
  </si>
  <si>
    <t>market value</t>
  </si>
  <si>
    <t>Plus: Debt</t>
  </si>
  <si>
    <t>Plus: Non-Controlling Interest</t>
  </si>
  <si>
    <t>Less: Cash &amp; Equivalents</t>
  </si>
  <si>
    <t>Rate of Return</t>
  </si>
  <si>
    <t>Target Price</t>
  </si>
  <si>
    <t>TP Upside</t>
  </si>
  <si>
    <t>DCF Model</t>
  </si>
  <si>
    <t>Master Check</t>
  </si>
  <si>
    <t>Units</t>
  </si>
  <si>
    <t>Scenarios</t>
  </si>
  <si>
    <t>Growth (%)</t>
  </si>
  <si>
    <t>Market Data</t>
  </si>
  <si>
    <t>Financial Data</t>
  </si>
  <si>
    <t>Valuation</t>
  </si>
  <si>
    <t>Comps</t>
  </si>
  <si>
    <t>Companys</t>
  </si>
  <si>
    <t>Company Data</t>
  </si>
  <si>
    <t>Weighted-Average Cost of Capital (WACC)</t>
  </si>
  <si>
    <t xml:space="preserve"> ₹ in crore</t>
  </si>
  <si>
    <t>Net Working Capital</t>
  </si>
  <si>
    <t>DSO</t>
  </si>
  <si>
    <t>DIO</t>
  </si>
  <si>
    <t>DPO</t>
  </si>
  <si>
    <t>Net Trade Cycle</t>
  </si>
  <si>
    <t>Ratio Analysis</t>
  </si>
  <si>
    <t>Profitability Ratios</t>
  </si>
  <si>
    <t>Gross Margin</t>
  </si>
  <si>
    <t>EBITDA Margin</t>
  </si>
  <si>
    <t>Operating Margin</t>
  </si>
  <si>
    <t>Pretax Margin</t>
  </si>
  <si>
    <t>Effective Tax rate</t>
  </si>
  <si>
    <t>Net Margin</t>
  </si>
  <si>
    <t>DuPont/Earning Power</t>
  </si>
  <si>
    <t>Asset Turnover</t>
  </si>
  <si>
    <t>Pre tax ROA</t>
  </si>
  <si>
    <t>Tax Complement</t>
  </si>
  <si>
    <t>ROE</t>
  </si>
  <si>
    <t>Equity Retention</t>
  </si>
  <si>
    <t>Reinvestment Rate</t>
  </si>
  <si>
    <t>Liquidity Ratio</t>
  </si>
  <si>
    <t>Quick ratio</t>
  </si>
  <si>
    <t>Current ratio</t>
  </si>
  <si>
    <t>Cash Cycle (Days)</t>
  </si>
  <si>
    <t>Leverage</t>
  </si>
  <si>
    <t>Asset/Equity</t>
  </si>
  <si>
    <t>Debt/Equity</t>
  </si>
  <si>
    <t>Operating</t>
  </si>
  <si>
    <t>A/R Turnover</t>
  </si>
  <si>
    <t>Avg. A/R Days</t>
  </si>
  <si>
    <t>Inventory Turnover</t>
  </si>
  <si>
    <t>Avg. Inventory Days</t>
  </si>
  <si>
    <t>A/P Turnover</t>
  </si>
  <si>
    <t>Avg. A/P Days</t>
  </si>
  <si>
    <t>Fixed Asset Turnover</t>
  </si>
  <si>
    <t xml:space="preserve">CESC </t>
  </si>
  <si>
    <t>Nifty 50</t>
  </si>
  <si>
    <t>Chg%</t>
  </si>
  <si>
    <t>Assumptions</t>
  </si>
  <si>
    <t>SCENARIO</t>
  </si>
  <si>
    <t>Exit</t>
  </si>
  <si>
    <t>Sensitivity Analysis</t>
  </si>
  <si>
    <t>Sensitivties - Intrinsic Value (Rs./Share)</t>
  </si>
  <si>
    <t>Exit Multiple</t>
  </si>
  <si>
    <t>Valuation Summary - Football Field</t>
  </si>
  <si>
    <t>Football Field Data</t>
  </si>
  <si>
    <t>High</t>
  </si>
  <si>
    <t>Low</t>
  </si>
  <si>
    <t>DCF</t>
  </si>
  <si>
    <t>52-week hi/lo</t>
  </si>
  <si>
    <t>Consensus</t>
  </si>
  <si>
    <t>MIN</t>
  </si>
  <si>
    <t>Max</t>
  </si>
  <si>
    <t>General Assumptions</t>
  </si>
  <si>
    <t>Fiscal Year Date</t>
  </si>
  <si>
    <t>India 10 Years Government Bond Yield</t>
  </si>
  <si>
    <t>Perp. Growth Rate</t>
  </si>
  <si>
    <t>No of Shares Outstanding</t>
  </si>
  <si>
    <t>CMP</t>
  </si>
  <si>
    <t>Item</t>
  </si>
  <si>
    <t>Mode</t>
  </si>
  <si>
    <t>DSO,DIP,DPO</t>
  </si>
  <si>
    <t>Market</t>
  </si>
  <si>
    <t>These scenarios are based on the average of the company's historical data.</t>
  </si>
  <si>
    <t>Considering the revenue from operations for forecasting, scenarios such as the base case, bull case, and bear case are used.</t>
  </si>
  <si>
    <t>For forecasting the Cost of Goods Sold (COGS), first calculate the COGS as a percentage of revenue by analyzing previous years' data.</t>
  </si>
  <si>
    <t>Multiply this constant percentage by the forecasted revenue to estimate the COGS.</t>
  </si>
  <si>
    <t>Then, take the average of these percentages from the past years and assume it remains constant for the forecasted years.</t>
  </si>
  <si>
    <t>Then, take the average of this percentage over the previous years to determine a constant for the forecasted years</t>
  </si>
  <si>
    <t>Finally, multiply this constant by the forecasted revenue to obtain the projected other SG&amp;A expenses for the future years.</t>
  </si>
  <si>
    <t>To forecast other SG&amp;A (Selling, General, and Administrative) expenses, first calculate the other SG&amp;A expenses as a percentage of revenue.</t>
  </si>
  <si>
    <t>Then, take the average of this percentage over the previous years to determine a constant for the forecasted years.</t>
  </si>
  <si>
    <t xml:space="preserve"> Finally, multiply this constant by the forecasted revenue to obtain the projected salaries and benefits for the future years.</t>
  </si>
  <si>
    <t>To forecast salaries and benefits, first calculate the salaries and benefits as a percentage of revenue.</t>
  </si>
  <si>
    <t>Interest is forecasted to remain the same as the previous year and is projected accordingly in the forecast.</t>
  </si>
  <si>
    <t>Regulatory income is forecasted to remain the same as the previous year and is projected accordingly in the forecast.</t>
  </si>
  <si>
    <t xml:space="preserve"> Then, take the average of this percentage over the previous years to determine a constant for the forecasted years</t>
  </si>
  <si>
    <t>Finally, multiply this constant by the forecasted revenue to obtain the projected other income for the future years.</t>
  </si>
  <si>
    <t>To forecast other income, first calculate other income as a percentage of revenue.</t>
  </si>
  <si>
    <t>To forecast taxes, first calculate taxes as a percentage of Earnings Before Tax (EBT).</t>
  </si>
  <si>
    <t>All these items are assumed to remain the same as the previous year and are projected accordingly in the forecasting.</t>
  </si>
  <si>
    <t>All these items are assumed to be zero and are projected accordingly in the forecasting.</t>
  </si>
  <si>
    <t xml:space="preserve">To forecast revenue, first calculate the average of the previous years, which serves as the base case. </t>
  </si>
  <si>
    <t>Salaries and Benefits</t>
  </si>
  <si>
    <t>For this purpose considering 365 days in year</t>
  </si>
  <si>
    <t>Regulatory income</t>
  </si>
  <si>
    <t>Market consensus</t>
  </si>
  <si>
    <t>TOTAL LIABILITIES</t>
  </si>
  <si>
    <t>Sheet</t>
  </si>
  <si>
    <t>Audited</t>
  </si>
  <si>
    <t>Projecte</t>
  </si>
  <si>
    <t>Projected</t>
  </si>
  <si>
    <t>Summary</t>
  </si>
  <si>
    <t>Scenario</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</si>
  <si>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</si>
  <si>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</si>
  <si>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</si>
  <si>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</si>
  <si>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</si>
  <si>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</si>
  <si>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</si>
  <si>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</si>
  <si>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</si>
  <si>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</si>
  <si>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</si>
  <si>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</si>
  <si>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</si>
  <si>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</si>
  <si>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</si>
  <si>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</si>
  <si>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</si>
  <si>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</si>
  <si>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</si>
  <si>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</si>
  <si>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</si>
  <si>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</si>
  <si>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</si>
  <si>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</si>
  <si>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Particular</t>
  </si>
  <si>
    <t>PV of sum of Future cash flow</t>
  </si>
  <si>
    <t>Pv of terminal value</t>
  </si>
  <si>
    <t>enterprice value</t>
  </si>
  <si>
    <t>Actual (2020-2024): Starting at 47.01% in FY 2020 and falling to a low of 34.762% in FY 2024, the gross margin displayed some oscillations.</t>
  </si>
  <si>
    <t>Projected (2025-2034): t is anticipated that the gross margin will increase steadily from FY2025 to FY 2034, compared to last year's audited rate of 42.48%. This suggests a steady advancement in pricing and cost control tactics.</t>
  </si>
  <si>
    <t>Actual (2020-2024): In FY 2020, the operating margin was 18.88%; by FY 2024, it had dropped to 5.94%.</t>
  </si>
  <si>
    <t>Actual (2020-2024): The net margin decreased to 9.46% by FY 2024 after rising from 10.76% in FY 2020 to 11.19% in FY 2022.</t>
  </si>
  <si>
    <t>actual (2020-2024): The ratio of asset turnover increased.</t>
  </si>
  <si>
    <t>Actual (2020-2024): Similar trends were shown by the EBITDA Margin, which started at 25.86% in FY 2020 and dropped to 13.90% in FY 2024.</t>
  </si>
  <si>
    <t>Actual (2020-2024):From FY 2020 to FY 2024, ROE decreased from 14.13% to 12.95 %.</t>
  </si>
  <si>
    <t>Projected (2025-2034):expected to rise, indicating robust returns for shareholders and efficient use of equity.</t>
  </si>
  <si>
    <t>This suggests the business is putting more of an emphasis on expansion. The business reinvests its profits to fund additional operations.</t>
  </si>
  <si>
    <t>The current ratio and quick ratio both show extraordinary levels of liquidity between 2020 and 2034.</t>
  </si>
  <si>
    <t>This pattern indicates that the business has improved short-term liquidity and is better able to fulfill its obligations. strengthen its financial position during the next ten years.</t>
  </si>
  <si>
    <t>Cash Cycle Days: Throughout the actual and forecast periods, the cash cycle days have continuously decreased, indicating effective cash management.</t>
  </si>
  <si>
    <t>because the business routinely gets paid by clients before it pays its suppliers. The anticipated period's decreasing days point to additional gains in cash flow efficiency.</t>
  </si>
  <si>
    <t>This indicator suggests continuous financial management since it shows the corporation will keep its leverage level steady with little swings.</t>
  </si>
  <si>
    <t>Debt/Equity Ratio a: The incredibly low ratios suggest that the corporation does not rely much on debt funding. This implies sound financial standing, little financial risk, and a cautious use of borrowing.</t>
  </si>
  <si>
    <t>Account Receivable turnover: It is displaying in a decreasing fashion. Ineffective credit rules or collection practices, or maybe generous credit terms to boost sales, are being indicted.</t>
  </si>
  <si>
    <t>In both the actual and predicted years, the average days of receivable were close to 59. despite the fact that it benefits the business's clientele and loyalty.</t>
  </si>
  <si>
    <t>This ratio's stabilization indicates that the business will continue to manage and sell goods with consistent efficiency, which is indicative of good inventory control procedures.</t>
  </si>
  <si>
    <t>The significant rise in this ratio suggests improved asset utilization and maybe increased revenues, indicating a steady improvement in the business's capacity to make money from its fixed assets.</t>
  </si>
  <si>
    <t>Projected (2025-2034):The FY 2034, projections indicate a steady increase to 21.09%. This suggests improved cost control and increased operational efficiency.</t>
  </si>
  <si>
    <t>Actual (2020-2024): From 14.53% in FY 2020 to 11.01 % in FY 2024, the Pretax Margin fluctuated.</t>
  </si>
  <si>
    <t>Projected (2025-2034): It displays an up word tendency in contrast to reality. The corporation is making greater revenue per asset, according to this.</t>
  </si>
  <si>
    <t>For the bull case, add 5% to the average of the previous years, and for the bear case, subtract 5% from the average of the previous years and it constant for forecast.</t>
  </si>
  <si>
    <t>Considering  high price is 420 and low price is 90</t>
  </si>
  <si>
    <t>Projected (2025-2034):t is anticipated to rise gradually, reaching 15.45% by FY 2034, a sign of increased profitability in core operations.</t>
  </si>
  <si>
    <t>Projected (2025-2034): It is anticipated to increase steadily, reaching 20.34 percent by FY 2034, indicating improved pre-tax profitability and financial soundness.</t>
  </si>
  <si>
    <t>Projected (2025-2034):indicating increases in total profitability, it is anticipated to increase gradually, reaching 17.42% by FY 2034.</t>
  </si>
  <si>
    <t>36 days is the average inventory day. Days to clear the stock were suppressed as a result.</t>
  </si>
  <si>
    <t>Payables for Accounts From 6.29 in 2021 to 6.91 in 2034, the turnover ratio has been rising. This expansion indicates that there is sufficient cash and liquid assets to cover its purchasing costs.</t>
  </si>
  <si>
    <t xml:space="preserve">From 61 days to 53 real years to projected years, the average payable days have improved. This early payment to the vendors ensures high-quality materials and positive supplier relations. </t>
  </si>
  <si>
    <t>Then, take previous year to determine  for the forecasted years.</t>
  </si>
  <si>
    <t>Finally, multiply this by the forecasted Earnings Before Tax to obtain the projected taxes for the future years and the tax rate has been raised by 0.5% every two years going forward</t>
  </si>
  <si>
    <t>Depreciation for the year is forecasted to increase by 0.5% every two years.</t>
  </si>
  <si>
    <t>This method assumes a consistent annual increase in depreciation over a two-year period, with the increase being applied every three years.</t>
  </si>
  <si>
    <t>Property &amp; Equipment, along with capital expenditures (Capex) for the year, is forecasted to increase by 0.5% every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</si>
</sst>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A&quot;"/>
    <numFmt numFmtId="165" formatCode="##,###.##;\(#,###\);&quot; -&quot;"/>
    <numFmt numFmtId="166" formatCode="##,###.00;\(##,###.00\);&quot; - &quot;"/>
    <numFmt numFmtId="167" formatCode="0.00&quot;x&quot;"/>
    <numFmt numFmtId="168" formatCode="#&quot;E&quot;"/>
    <numFmt numFmtId="169" formatCode="0.0"/>
    <numFmt numFmtId="170" formatCode="[$-409]dd\-mmm\-yy;@"/>
    <numFmt numFmtId="171" formatCode="0.0%"/>
    <numFmt numFmtId="172" formatCode="0.0&quot;x&quot;"/>
    <numFmt numFmtId="173" formatCode="[$-409]d\-mmm\-yy;@"/>
  </numFmts>
  <fonts count="43" x14ac:knownFonts="1">
    <font>
      <sz val="11"/>
      <color theme="1"/>
      <name val="Calibri"/>
      <family val="2"/>
      <scheme val="minor"/>
    </font>
    <font>
      <b/>
      <sz val="11"/>
      <name val="Book Antiqua"/>
      <family val="1"/>
    </font>
    <font>
      <sz val="11"/>
      <color theme="0"/>
      <name val="Calibri"/>
      <family val="2"/>
      <scheme val="minor"/>
    </font>
    <font>
      <sz val="24"/>
      <color theme="0"/>
      <name val="Book Antiqua"/>
      <family val="1"/>
    </font>
    <font>
      <sz val="11"/>
      <color theme="1"/>
      <name val="Book Antiqua"/>
      <family val="1"/>
    </font>
    <font>
      <sz val="12"/>
      <color theme="1"/>
      <name val="Book Antiqua"/>
      <family val="1"/>
    </font>
    <font>
      <sz val="12"/>
      <color theme="0"/>
      <name val="Book Antiqua"/>
      <family val="1"/>
    </font>
    <font>
      <b/>
      <sz val="11"/>
      <color theme="1"/>
      <name val="Book Antiqua"/>
      <family val="1"/>
    </font>
    <font>
      <b/>
      <sz val="11"/>
      <color theme="1"/>
      <name val="Calibri"/>
      <family val="2"/>
      <scheme val="minor"/>
    </font>
    <font>
      <b/>
      <sz val="11"/>
      <color theme="9"/>
      <name val="Book Antiqua"/>
      <family val="1"/>
    </font>
    <font>
      <sz val="11"/>
      <color theme="9"/>
      <name val="Book Antiqua"/>
      <family val="1"/>
    </font>
    <font>
      <sz val="11"/>
      <name val="Book Antiqua"/>
      <family val="1"/>
    </font>
    <font>
      <sz val="11"/>
      <color theme="1"/>
      <name val="Calibri"/>
      <family val="2"/>
      <scheme val="minor"/>
    </font>
    <font>
      <b/>
      <sz val="11"/>
      <name val="Calibri"/>
      <family val="2"/>
      <scheme val="minor"/>
    </font>
    <font>
      <sz val="11"/>
      <color rgb="FF0000FF"/>
      <name val="Book Antiqua"/>
      <family val="1"/>
    </font>
    <font>
      <sz val="11"/>
      <color theme="1"/>
      <name val="Arial Narrow"/>
      <family val="2"/>
    </font>
    <font>
      <sz val="9"/>
      <color rgb="FFFF0000"/>
      <name val="Segoe UI"/>
      <family val="2"/>
    </font>
    <font>
      <b/>
      <sz val="11"/>
      <color theme="0"/>
      <name val="Calibri"/>
      <family val="2"/>
      <scheme val="minor"/>
    </font>
    <font>
      <sz val="11"/>
      <name val="Calibri"/>
      <family val="2"/>
      <scheme val="minor"/>
    </font>
    <font>
      <sz val="16"/>
      <color theme="0"/>
      <name val="Book Antiqua"/>
      <family val="1"/>
    </font>
    <font>
      <sz val="11"/>
      <color theme="0"/>
      <name val="Book Antiqua"/>
      <family val="1"/>
    </font>
    <font>
      <sz val="16"/>
      <color theme="0"/>
      <name val="Calibri"/>
      <family val="2"/>
      <scheme val="minor"/>
    </font>
    <font>
      <sz val="11"/>
      <color theme="4"/>
      <name val="Book Antiqua"/>
      <family val="1"/>
    </font>
    <font>
      <strike/>
      <sz val="11"/>
      <color theme="1"/>
      <name val="Book Antiqua"/>
      <family val="1"/>
    </font>
    <font>
      <i/>
      <sz val="11"/>
      <name val="Calibri"/>
      <family val="2"/>
      <scheme val="minor"/>
    </font>
    <font>
      <i/>
      <sz val="11"/>
      <color theme="0"/>
      <name val="Calibri"/>
      <family val="2"/>
      <scheme val="minor"/>
    </font>
    <font>
      <b/>
      <sz val="12"/>
      <color theme="0"/>
      <name val="Book Antiqua"/>
      <family val="1"/>
    </font>
    <font>
      <sz val="14"/>
      <color theme="0"/>
      <name val="Book Antiqua"/>
      <family val="1"/>
    </font>
    <font>
      <b/>
      <sz val="11"/>
      <color theme="0"/>
      <name val="Book Antiqua"/>
      <family val="1"/>
    </font>
    <font>
      <sz val="11"/>
      <color rgb="FF000000"/>
      <name val="Book Antiqua"/>
      <family val="1"/>
    </font>
    <font>
      <sz val="18"/>
      <color theme="0"/>
      <name val="Book Antiqua"/>
      <family val="1"/>
    </font>
    <font>
      <sz val="11"/>
      <color theme="4"/>
      <name val="Calibri"/>
      <family val="2"/>
      <scheme val="minor"/>
    </font>
    <font>
      <i/>
      <sz val="11"/>
      <name val="Book Antiqua"/>
      <family val="1"/>
    </font>
    <font>
      <i/>
      <sz val="11"/>
      <color theme="0"/>
      <name val="Book Antiqua"/>
      <family val="1"/>
    </font>
    <font>
      <i/>
      <sz val="11"/>
      <color theme="1"/>
      <name val="Calibri"/>
      <family val="2"/>
      <scheme val="minor"/>
    </font>
    <font>
      <sz val="9"/>
      <color theme="0"/>
      <name val="Segoe UI"/>
      <family val="2"/>
    </font>
    <font>
      <sz val="16"/>
      <color theme="1"/>
      <name val="Book Antiqua"/>
      <family val="1"/>
    </font>
    <font>
      <sz val="20"/>
      <color theme="0"/>
      <name val="Book Antiqua"/>
      <family val="1"/>
    </font>
    <font>
      <sz val="20"/>
      <color theme="0"/>
      <name val="Calibri"/>
      <family val="2"/>
      <scheme val="minor"/>
    </font>
    <font>
      <sz val="11"/>
      <color rgb="FF0070C0"/>
      <name val="Book Antiqua"/>
      <family val="1"/>
    </font>
    <font>
      <sz val="20"/>
      <color theme="1"/>
      <name val="Calibri"/>
      <family val="2"/>
      <scheme val="minor"/>
    </font>
    <font>
      <sz val="14"/>
      <color theme="1"/>
      <name val="Book Antiqua"/>
      <family val="1"/>
    </font>
    <font>
      <sz val="20"/>
      <color theme="1"/>
      <name val="Book Antiqua"/>
      <family val="1"/>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tint="-0.249977111117893"/>
        <bgColor indexed="64"/>
      </patternFill>
    </fill>
  </fills>
  <borders count="29">
    <border>
      <left/>
      <right/>
      <top/>
      <bottom/>
      <diagonal/>
    </border>
    <border>
      <left/>
      <right/>
      <top style="thin">
        <color auto="1"/>
      </top>
      <bottom/>
      <diagonal/>
    </border>
    <border>
      <left/>
      <right/>
      <top style="thin">
        <color auto="1"/>
      </top>
      <bottom style="double">
        <color auto="1"/>
      </bottom>
      <diagonal/>
    </border>
    <border>
      <left/>
      <right/>
      <top/>
      <bottom style="thin">
        <color indexed="64"/>
      </bottom>
      <diagonal/>
    </border>
    <border>
      <left/>
      <right/>
      <top/>
      <bottom style="double">
        <color indexed="64"/>
      </bottom>
      <diagonal/>
    </border>
    <border>
      <left style="hair">
        <color indexed="64"/>
      </left>
      <right style="hair">
        <color indexed="64"/>
      </right>
      <top style="hair">
        <color indexed="64"/>
      </top>
      <bottom style="hair">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hair">
        <color indexed="64"/>
      </top>
      <bottom/>
      <diagonal/>
    </border>
    <border>
      <left/>
      <right/>
      <top/>
      <bottom style="medium">
        <color indexed="64"/>
      </bottom>
      <diagonal/>
    </border>
    <border>
      <left/>
      <right/>
      <top style="medium">
        <color indexed="64"/>
      </top>
      <bottom style="thin">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dashed">
        <color auto="1"/>
      </left>
      <right/>
      <top style="dashed">
        <color auto="1"/>
      </top>
      <bottom style="dashed">
        <color auto="1"/>
      </bottom>
      <diagonal/>
    </border>
    <border>
      <left/>
      <right/>
      <top style="dashed">
        <color auto="1"/>
      </top>
      <bottom style="dashed">
        <color auto="1"/>
      </bottom>
      <diagonal/>
    </border>
    <border>
      <left/>
      <right style="dashed">
        <color auto="1"/>
      </right>
      <top style="dashed">
        <color auto="1"/>
      </top>
      <bottom style="dashed">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9" fontId="12" fillId="0" borderId="0" applyFont="0" applyFill="0" applyBorder="0" applyAlignment="0" applyProtection="0"/>
    <xf numFmtId="0" fontId="12" fillId="0" borderId="0"/>
    <xf numFmtId="0" fontId="15" fillId="0" borderId="0"/>
  </cellStyleXfs>
  <cellXfs count="291">
    <xf numFmtId="0" fontId="0" fillId="0" borderId="0" xfId="0"/>
    <xf numFmtId="4" fontId="0" fillId="0" borderId="0" xfId="0" applyNumberFormat="1"/>
    <xf numFmtId="0" fontId="1" fillId="0" borderId="0" xfId="0" applyFont="1"/>
    <xf numFmtId="0" fontId="0" fillId="2" borderId="0" xfId="0" applyFill="1"/>
    <xf numFmtId="0" fontId="4" fillId="2" borderId="0" xfId="0" applyFont="1" applyFill="1"/>
    <xf numFmtId="0" fontId="7" fillId="0" borderId="0" xfId="0" applyFont="1"/>
    <xf numFmtId="165" fontId="0" fillId="2" borderId="0" xfId="0" applyNumberFormat="1" applyFill="1"/>
    <xf numFmtId="0" fontId="8" fillId="2" borderId="1" xfId="0" applyFont="1" applyFill="1" applyBorder="1"/>
    <xf numFmtId="166" fontId="4" fillId="2" borderId="0" xfId="0" applyNumberFormat="1" applyFont="1" applyFill="1"/>
    <xf numFmtId="0" fontId="7" fillId="2" borderId="1" xfId="0" applyFont="1" applyFill="1" applyBorder="1"/>
    <xf numFmtId="166" fontId="7" fillId="2" borderId="1" xfId="0" applyNumberFormat="1" applyFont="1" applyFill="1" applyBorder="1"/>
    <xf numFmtId="0" fontId="8" fillId="2" borderId="2" xfId="0" applyFont="1" applyFill="1" applyBorder="1"/>
    <xf numFmtId="166" fontId="7" fillId="2" borderId="2" xfId="0" applyNumberFormat="1" applyFont="1" applyFill="1" applyBorder="1"/>
    <xf numFmtId="165" fontId="9" fillId="2" borderId="0" xfId="0" applyNumberFormat="1" applyFont="1" applyFill="1"/>
    <xf numFmtId="166" fontId="10" fillId="2" borderId="0" xfId="0" applyNumberFormat="1" applyFont="1" applyFill="1"/>
    <xf numFmtId="166" fontId="11" fillId="2" borderId="0" xfId="0" applyNumberFormat="1" applyFont="1" applyFill="1"/>
    <xf numFmtId="0" fontId="4" fillId="2" borderId="1" xfId="0" applyFont="1" applyFill="1" applyBorder="1"/>
    <xf numFmtId="0" fontId="1" fillId="2" borderId="1" xfId="0" applyFont="1" applyFill="1" applyBorder="1"/>
    <xf numFmtId="0" fontId="13" fillId="2" borderId="1" xfId="0" applyFont="1" applyFill="1" applyBorder="1"/>
    <xf numFmtId="166" fontId="1" fillId="2" borderId="1" xfId="0" applyNumberFormat="1" applyFont="1" applyFill="1" applyBorder="1"/>
    <xf numFmtId="0" fontId="6" fillId="2" borderId="0" xfId="0" applyFont="1" applyFill="1"/>
    <xf numFmtId="0" fontId="2" fillId="2" borderId="0" xfId="0" applyFont="1" applyFill="1"/>
    <xf numFmtId="0" fontId="0" fillId="2" borderId="0" xfId="0" applyFont="1" applyFill="1"/>
    <xf numFmtId="166" fontId="7" fillId="2" borderId="0" xfId="0" applyNumberFormat="1" applyFont="1" applyFill="1"/>
    <xf numFmtId="0" fontId="4" fillId="0" borderId="0" xfId="0" applyFont="1"/>
    <xf numFmtId="14" fontId="14" fillId="0" borderId="0" xfId="0" applyNumberFormat="1" applyFont="1"/>
    <xf numFmtId="0" fontId="7" fillId="0" borderId="3" xfId="0" applyFont="1" applyBorder="1"/>
    <xf numFmtId="0" fontId="0" fillId="0" borderId="0" xfId="0" applyAlignment="1">
      <alignment horizontal="center"/>
    </xf>
    <xf numFmtId="166" fontId="4" fillId="2" borderId="0" xfId="0" applyNumberFormat="1" applyFont="1" applyFill="1" applyAlignment="1">
      <alignment horizontal="center"/>
    </xf>
    <xf numFmtId="3" fontId="16" fillId="0" borderId="0" xfId="0" applyNumberFormat="1" applyFont="1"/>
    <xf numFmtId="0" fontId="8" fillId="0" borderId="0" xfId="0" applyFont="1"/>
    <xf numFmtId="0" fontId="18" fillId="2" borderId="0" xfId="0" applyFont="1" applyFill="1"/>
    <xf numFmtId="0" fontId="7"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left"/>
    </xf>
    <xf numFmtId="0" fontId="2" fillId="2" borderId="0" xfId="0" applyFont="1" applyFill="1" applyAlignment="1">
      <alignment horizontal="left"/>
    </xf>
    <xf numFmtId="0" fontId="6" fillId="2" borderId="0" xfId="0" applyFont="1" applyFill="1" applyAlignment="1">
      <alignment horizontal="left"/>
    </xf>
    <xf numFmtId="0" fontId="0" fillId="2" borderId="0" xfId="0" applyFill="1" applyAlignment="1">
      <alignment horizontal="left"/>
    </xf>
    <xf numFmtId="0" fontId="4" fillId="2" borderId="0" xfId="0" applyFont="1" applyFill="1" applyAlignment="1">
      <alignment horizontal="left"/>
    </xf>
    <xf numFmtId="0" fontId="7" fillId="0" borderId="0" xfId="0" applyFont="1" applyAlignment="1">
      <alignment horizontal="left"/>
    </xf>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0" xfId="0" applyFont="1" applyFill="1" applyAlignment="1">
      <alignment horizontal="left"/>
    </xf>
    <xf numFmtId="0" fontId="1" fillId="2" borderId="1" xfId="0" applyFont="1" applyFill="1" applyBorder="1" applyAlignment="1">
      <alignment horizontal="left"/>
    </xf>
    <xf numFmtId="166" fontId="4" fillId="2" borderId="3" xfId="0" applyNumberFormat="1" applyFont="1" applyFill="1" applyBorder="1"/>
    <xf numFmtId="166" fontId="7" fillId="2" borderId="4" xfId="0" applyNumberFormat="1" applyFont="1" applyFill="1" applyBorder="1"/>
    <xf numFmtId="0" fontId="1" fillId="2" borderId="2" xfId="0" applyFont="1" applyFill="1" applyBorder="1" applyAlignment="1">
      <alignment horizontal="left"/>
    </xf>
    <xf numFmtId="0" fontId="1" fillId="2" borderId="2" xfId="0" applyFont="1" applyFill="1" applyBorder="1"/>
    <xf numFmtId="0" fontId="13" fillId="2" borderId="2" xfId="0" applyFont="1" applyFill="1" applyBorder="1"/>
    <xf numFmtId="166" fontId="1" fillId="2" borderId="2" xfId="0" applyNumberFormat="1" applyFont="1" applyFill="1" applyBorder="1"/>
    <xf numFmtId="10" fontId="4" fillId="2" borderId="0" xfId="0" applyNumberFormat="1" applyFont="1" applyFill="1"/>
    <xf numFmtId="10" fontId="4" fillId="2" borderId="0" xfId="1" applyNumberFormat="1" applyFont="1" applyFill="1"/>
    <xf numFmtId="0" fontId="4" fillId="2" borderId="3" xfId="0" applyFont="1" applyFill="1" applyBorder="1" applyAlignment="1">
      <alignment horizontal="left"/>
    </xf>
    <xf numFmtId="0" fontId="4" fillId="2" borderId="3" xfId="0" applyFont="1" applyFill="1" applyBorder="1"/>
    <xf numFmtId="0" fontId="0" fillId="2" borderId="3" xfId="0" applyFill="1" applyBorder="1"/>
    <xf numFmtId="0" fontId="4" fillId="2" borderId="2" xfId="0" applyFont="1" applyFill="1" applyBorder="1"/>
    <xf numFmtId="0" fontId="11" fillId="2" borderId="0" xfId="0" applyFont="1" applyFill="1" applyBorder="1" applyAlignment="1">
      <alignment horizontal="left"/>
    </xf>
    <xf numFmtId="0" fontId="11" fillId="2" borderId="0" xfId="0" applyFont="1" applyFill="1" applyBorder="1"/>
    <xf numFmtId="0" fontId="1" fillId="2" borderId="0" xfId="0" applyFont="1" applyFill="1" applyBorder="1" applyAlignment="1">
      <alignment horizontal="left"/>
    </xf>
    <xf numFmtId="0" fontId="1" fillId="2" borderId="0" xfId="0" applyFont="1" applyFill="1" applyBorder="1"/>
    <xf numFmtId="0" fontId="13" fillId="2" borderId="0" xfId="0" applyFont="1" applyFill="1"/>
    <xf numFmtId="0" fontId="10" fillId="2" borderId="0" xfId="0" applyFont="1" applyFill="1"/>
    <xf numFmtId="0" fontId="23" fillId="2" borderId="0" xfId="0" applyFont="1" applyFill="1"/>
    <xf numFmtId="0" fontId="20" fillId="2" borderId="0" xfId="0" applyFont="1" applyFill="1"/>
    <xf numFmtId="1" fontId="4" fillId="2" borderId="0" xfId="0" applyNumberFormat="1" applyFont="1" applyFill="1"/>
    <xf numFmtId="167" fontId="4" fillId="2" borderId="0" xfId="0" applyNumberFormat="1" applyFont="1" applyFill="1"/>
    <xf numFmtId="0" fontId="25" fillId="2" borderId="0" xfId="0" applyFont="1" applyFill="1" applyAlignment="1">
      <alignment horizontal="center"/>
    </xf>
    <xf numFmtId="164" fontId="24" fillId="2" borderId="0" xfId="0" applyNumberFormat="1" applyFont="1" applyFill="1" applyAlignment="1">
      <alignment horizontal="center"/>
    </xf>
    <xf numFmtId="10" fontId="4" fillId="0" borderId="0" xfId="0" applyNumberFormat="1" applyFont="1"/>
    <xf numFmtId="166" fontId="10" fillId="2" borderId="0" xfId="0" applyNumberFormat="1" applyFont="1" applyFill="1" applyAlignment="1">
      <alignment horizontal="center"/>
    </xf>
    <xf numFmtId="0" fontId="29" fillId="0" borderId="0" xfId="0" applyFont="1" applyAlignment="1">
      <alignment horizontal="center" vertical="center"/>
    </xf>
    <xf numFmtId="0" fontId="29" fillId="0" borderId="0" xfId="0" applyFont="1" applyAlignment="1">
      <alignment vertical="center" wrapText="1"/>
    </xf>
    <xf numFmtId="10" fontId="22" fillId="0" borderId="0" xfId="0" applyNumberFormat="1" applyFont="1" applyAlignment="1">
      <alignment horizontal="center" vertical="center"/>
    </xf>
    <xf numFmtId="0" fontId="31" fillId="0" borderId="0" xfId="0" applyFont="1"/>
    <xf numFmtId="10" fontId="4" fillId="0" borderId="0" xfId="1" applyNumberFormat="1" applyFont="1" applyAlignment="1">
      <alignment horizontal="center"/>
    </xf>
    <xf numFmtId="169" fontId="4" fillId="3" borderId="0" xfId="0" applyNumberFormat="1" applyFont="1" applyFill="1" applyAlignment="1">
      <alignment horizontal="right"/>
    </xf>
    <xf numFmtId="10" fontId="4" fillId="3" borderId="0" xfId="1" applyNumberFormat="1" applyFont="1" applyFill="1" applyAlignment="1">
      <alignment horizontal="right"/>
    </xf>
    <xf numFmtId="2" fontId="4" fillId="0" borderId="0" xfId="0" applyNumberFormat="1" applyFont="1"/>
    <xf numFmtId="2" fontId="4" fillId="0" borderId="0" xfId="0" applyNumberFormat="1" applyFont="1" applyAlignment="1">
      <alignment horizontal="center"/>
    </xf>
    <xf numFmtId="0" fontId="7" fillId="0" borderId="3" xfId="0" applyFont="1" applyBorder="1" applyAlignment="1">
      <alignment horizontal="center"/>
    </xf>
    <xf numFmtId="0" fontId="10" fillId="0" borderId="0" xfId="0" applyFont="1" applyAlignment="1">
      <alignment horizontal="center"/>
    </xf>
    <xf numFmtId="10" fontId="10" fillId="0" borderId="0" xfId="1" applyNumberFormat="1" applyFont="1" applyAlignment="1">
      <alignment horizontal="center"/>
    </xf>
    <xf numFmtId="0" fontId="22" fillId="0" borderId="0" xfId="0" applyFont="1" applyAlignment="1">
      <alignment horizontal="center"/>
    </xf>
    <xf numFmtId="10" fontId="7" fillId="2" borderId="0" xfId="1" applyNumberFormat="1" applyFont="1" applyFill="1"/>
    <xf numFmtId="166" fontId="4" fillId="2" borderId="0" xfId="0" applyNumberFormat="1" applyFont="1" applyFill="1" applyAlignment="1">
      <alignment horizontal="right"/>
    </xf>
    <xf numFmtId="0" fontId="7" fillId="4" borderId="0" xfId="0" applyFont="1" applyFill="1"/>
    <xf numFmtId="0" fontId="7" fillId="0" borderId="2" xfId="0" applyFont="1" applyBorder="1"/>
    <xf numFmtId="10" fontId="7" fillId="0" borderId="2" xfId="0" applyNumberFormat="1" applyFont="1" applyBorder="1"/>
    <xf numFmtId="0" fontId="7" fillId="0" borderId="1" xfId="0" applyFont="1" applyBorder="1"/>
    <xf numFmtId="10" fontId="7" fillId="0" borderId="1" xfId="0" applyNumberFormat="1" applyFont="1" applyBorder="1"/>
    <xf numFmtId="0" fontId="32" fillId="2" borderId="0" xfId="0" applyFont="1" applyFill="1" applyAlignment="1">
      <alignment horizontal="left"/>
    </xf>
    <xf numFmtId="0" fontId="20" fillId="2" borderId="0" xfId="0" applyFont="1" applyFill="1" applyAlignment="1">
      <alignment horizontal="left"/>
    </xf>
    <xf numFmtId="0" fontId="33" fillId="2" borderId="0" xfId="0" applyFont="1" applyFill="1" applyAlignment="1">
      <alignment horizontal="center"/>
    </xf>
    <xf numFmtId="0" fontId="1" fillId="2" borderId="0" xfId="0" applyFont="1" applyFill="1"/>
    <xf numFmtId="0" fontId="4" fillId="3" borderId="0" xfId="0" applyFont="1" applyFill="1" applyAlignment="1">
      <alignment horizontal="left"/>
    </xf>
    <xf numFmtId="0" fontId="4" fillId="3" borderId="0" xfId="0" applyFont="1" applyFill="1"/>
    <xf numFmtId="9" fontId="0" fillId="0" borderId="0" xfId="1" applyFont="1"/>
    <xf numFmtId="168" fontId="2" fillId="2" borderId="0" xfId="0" applyNumberFormat="1" applyFont="1" applyFill="1"/>
    <xf numFmtId="0" fontId="5" fillId="0" borderId="0" xfId="0" applyFont="1"/>
    <xf numFmtId="0" fontId="7" fillId="2" borderId="0" xfId="0" applyFont="1" applyFill="1" applyBorder="1"/>
    <xf numFmtId="0" fontId="4" fillId="2" borderId="0" xfId="0" applyFont="1" applyFill="1" applyBorder="1"/>
    <xf numFmtId="0" fontId="0" fillId="2" borderId="0" xfId="0" applyFill="1" applyBorder="1"/>
    <xf numFmtId="0" fontId="19" fillId="2" borderId="0" xfId="0" applyFont="1" applyFill="1" applyBorder="1"/>
    <xf numFmtId="0" fontId="19" fillId="2" borderId="0" xfId="0" applyFont="1" applyFill="1"/>
    <xf numFmtId="3" fontId="35" fillId="0" borderId="0" xfId="0" applyNumberFormat="1" applyFont="1"/>
    <xf numFmtId="10" fontId="4" fillId="0" borderId="0" xfId="1" applyNumberFormat="1" applyFont="1"/>
    <xf numFmtId="166" fontId="4" fillId="0" borderId="0" xfId="0" applyNumberFormat="1" applyFont="1"/>
    <xf numFmtId="166" fontId="4" fillId="0" borderId="0" xfId="0" applyNumberFormat="1" applyFont="1" applyAlignment="1">
      <alignment horizontal="center"/>
    </xf>
    <xf numFmtId="0" fontId="7" fillId="2" borderId="0" xfId="0" applyFont="1" applyFill="1"/>
    <xf numFmtId="166" fontId="7" fillId="2" borderId="0" xfId="0" applyNumberFormat="1" applyFont="1" applyFill="1" applyAlignment="1">
      <alignment horizontal="center"/>
    </xf>
    <xf numFmtId="0" fontId="4" fillId="5" borderId="0" xfId="0" applyFont="1" applyFill="1" applyAlignment="1">
      <alignment horizontal="center"/>
    </xf>
    <xf numFmtId="0" fontId="20" fillId="5" borderId="0" xfId="0" applyFont="1" applyFill="1" applyAlignment="1">
      <alignment horizontal="center"/>
    </xf>
    <xf numFmtId="0" fontId="2" fillId="5" borderId="0" xfId="0" applyFont="1" applyFill="1"/>
    <xf numFmtId="0" fontId="0" fillId="5" borderId="0" xfId="0" applyFill="1"/>
    <xf numFmtId="0" fontId="38" fillId="5" borderId="0" xfId="0" applyFont="1" applyFill="1"/>
    <xf numFmtId="0" fontId="37" fillId="5" borderId="0" xfId="0" applyFont="1" applyFill="1"/>
    <xf numFmtId="0" fontId="30" fillId="5" borderId="0" xfId="0" applyFont="1" applyFill="1" applyAlignment="1">
      <alignment horizontal="center"/>
    </xf>
    <xf numFmtId="0" fontId="30" fillId="2" borderId="0" xfId="0" applyFont="1" applyFill="1" applyAlignment="1">
      <alignment horizontal="center"/>
    </xf>
    <xf numFmtId="0" fontId="3" fillId="5" borderId="0" xfId="0" applyFont="1" applyFill="1"/>
    <xf numFmtId="0" fontId="4" fillId="5" borderId="0" xfId="0" applyFont="1" applyFill="1"/>
    <xf numFmtId="0" fontId="6" fillId="5" borderId="0" xfId="0" applyFont="1" applyFill="1"/>
    <xf numFmtId="0" fontId="20" fillId="5" borderId="0" xfId="0" applyFont="1" applyFill="1"/>
    <xf numFmtId="0" fontId="19" fillId="5" borderId="0" xfId="0" applyFont="1" applyFill="1" applyAlignment="1">
      <alignment horizontal="left"/>
    </xf>
    <xf numFmtId="0" fontId="2" fillId="5" borderId="0" xfId="0" applyFont="1" applyFill="1" applyAlignment="1">
      <alignment horizontal="left"/>
    </xf>
    <xf numFmtId="0" fontId="19" fillId="2" borderId="0" xfId="0" applyFont="1" applyFill="1" applyAlignment="1">
      <alignment horizontal="left"/>
    </xf>
    <xf numFmtId="0" fontId="19" fillId="5" borderId="0" xfId="0" applyFont="1" applyFill="1"/>
    <xf numFmtId="0" fontId="21" fillId="5" borderId="0" xfId="0" applyFont="1" applyFill="1"/>
    <xf numFmtId="165" fontId="21" fillId="5" borderId="0" xfId="0" applyNumberFormat="1" applyFont="1" applyFill="1"/>
    <xf numFmtId="0" fontId="21" fillId="5" borderId="0" xfId="0" applyFont="1" applyFill="1" applyAlignment="1">
      <alignment horizontal="left"/>
    </xf>
    <xf numFmtId="166" fontId="19" fillId="5" borderId="0" xfId="0" applyNumberFormat="1" applyFont="1" applyFill="1"/>
    <xf numFmtId="0" fontId="36" fillId="5" borderId="0" xfId="0" applyFont="1" applyFill="1"/>
    <xf numFmtId="172" fontId="4" fillId="2" borderId="0" xfId="0" applyNumberFormat="1" applyFont="1" applyFill="1"/>
    <xf numFmtId="171" fontId="4" fillId="2" borderId="0" xfId="0" applyNumberFormat="1" applyFont="1" applyFill="1"/>
    <xf numFmtId="166" fontId="4" fillId="3" borderId="0" xfId="0" applyNumberFormat="1" applyFont="1" applyFill="1"/>
    <xf numFmtId="166" fontId="4" fillId="6" borderId="0" xfId="0" applyNumberFormat="1" applyFont="1" applyFill="1"/>
    <xf numFmtId="0" fontId="19" fillId="2" borderId="2" xfId="0" applyFont="1" applyFill="1" applyBorder="1"/>
    <xf numFmtId="0" fontId="0" fillId="2" borderId="2" xfId="0" applyFill="1" applyBorder="1"/>
    <xf numFmtId="0" fontId="0" fillId="2" borderId="1" xfId="0" applyFill="1" applyBorder="1"/>
    <xf numFmtId="0" fontId="0" fillId="3" borderId="0" xfId="0" applyFill="1"/>
    <xf numFmtId="0" fontId="20" fillId="0" borderId="0" xfId="0" applyFont="1"/>
    <xf numFmtId="0" fontId="2" fillId="0" borderId="0" xfId="0" applyFont="1"/>
    <xf numFmtId="0" fontId="4" fillId="0" borderId="3" xfId="0" applyFont="1" applyBorder="1"/>
    <xf numFmtId="0" fontId="4" fillId="0" borderId="0" xfId="0" applyFont="1" applyBorder="1"/>
    <xf numFmtId="0" fontId="7" fillId="0" borderId="0" xfId="0" applyFont="1" applyBorder="1"/>
    <xf numFmtId="10" fontId="4" fillId="0" borderId="5" xfId="1" applyNumberFormat="1" applyFont="1" applyBorder="1"/>
    <xf numFmtId="166" fontId="39" fillId="2" borderId="0" xfId="0" applyNumberFormat="1" applyFont="1" applyFill="1" applyAlignment="1">
      <alignment horizontal="center"/>
    </xf>
    <xf numFmtId="0" fontId="30" fillId="5" borderId="0" xfId="0" applyFont="1" applyFill="1"/>
    <xf numFmtId="0" fontId="27" fillId="5" borderId="0" xfId="0" applyFont="1" applyFill="1"/>
    <xf numFmtId="0" fontId="17" fillId="5" borderId="0" xfId="0" applyFont="1" applyFill="1"/>
    <xf numFmtId="166" fontId="28" fillId="5" borderId="0" xfId="0" applyNumberFormat="1" applyFont="1" applyFill="1" applyAlignment="1">
      <alignment horizontal="center"/>
    </xf>
    <xf numFmtId="0" fontId="17" fillId="5" borderId="0" xfId="0" applyFont="1" applyFill="1" applyAlignment="1">
      <alignment horizontal="center"/>
    </xf>
    <xf numFmtId="0" fontId="26" fillId="5" borderId="0" xfId="2" applyFont="1" applyFill="1" applyAlignment="1">
      <alignment horizontal="right"/>
    </xf>
    <xf numFmtId="0" fontId="28" fillId="5" borderId="0" xfId="0" applyFont="1" applyFill="1"/>
    <xf numFmtId="0" fontId="0" fillId="0" borderId="0" xfId="0" applyFill="1"/>
    <xf numFmtId="10" fontId="4" fillId="0" borderId="0" xfId="1" applyNumberFormat="1" applyFont="1" applyFill="1"/>
    <xf numFmtId="10" fontId="4" fillId="0" borderId="0" xfId="1" applyNumberFormat="1" applyFont="1" applyFill="1" applyAlignment="1">
      <alignment horizontal="center"/>
    </xf>
    <xf numFmtId="2" fontId="4" fillId="0" borderId="0" xfId="0" applyNumberFormat="1" applyFont="1" applyFill="1"/>
    <xf numFmtId="166" fontId="4" fillId="0" borderId="0" xfId="0" applyNumberFormat="1" applyFont="1" applyFill="1" applyAlignment="1">
      <alignment horizontal="center"/>
    </xf>
    <xf numFmtId="166" fontId="4" fillId="0" borderId="0" xfId="0" applyNumberFormat="1" applyFont="1" applyFill="1"/>
    <xf numFmtId="0" fontId="40" fillId="0" borderId="0" xfId="0" applyFont="1"/>
    <xf numFmtId="2" fontId="4" fillId="5" borderId="0" xfId="0" applyNumberFormat="1" applyFont="1" applyFill="1"/>
    <xf numFmtId="166" fontId="4" fillId="5" borderId="0" xfId="0" applyNumberFormat="1" applyFont="1" applyFill="1" applyAlignment="1">
      <alignment horizontal="center"/>
    </xf>
    <xf numFmtId="166" fontId="0" fillId="5" borderId="0" xfId="0" applyNumberFormat="1" applyFill="1"/>
    <xf numFmtId="0" fontId="4" fillId="0" borderId="10" xfId="0" applyFont="1" applyBorder="1"/>
    <xf numFmtId="0" fontId="4" fillId="0" borderId="11" xfId="0" applyFont="1" applyBorder="1"/>
    <xf numFmtId="0" fontId="4" fillId="0" borderId="8" xfId="0" applyFont="1" applyBorder="1"/>
    <xf numFmtId="0" fontId="4" fillId="0" borderId="9" xfId="0" applyFont="1" applyBorder="1"/>
    <xf numFmtId="164" fontId="33" fillId="5" borderId="0" xfId="0" applyNumberFormat="1" applyFont="1" applyFill="1" applyAlignment="1">
      <alignment horizontal="center"/>
    </xf>
    <xf numFmtId="168" fontId="33" fillId="5" borderId="0" xfId="0" applyNumberFormat="1" applyFont="1" applyFill="1" applyAlignment="1">
      <alignment horizontal="center"/>
    </xf>
    <xf numFmtId="0" fontId="33" fillId="5" borderId="0" xfId="0" applyFont="1" applyFill="1" applyAlignment="1">
      <alignment horizontal="center"/>
    </xf>
    <xf numFmtId="0" fontId="7" fillId="0" borderId="6" xfId="0" applyFont="1" applyBorder="1"/>
    <xf numFmtId="0" fontId="0" fillId="0" borderId="7" xfId="0" applyBorder="1"/>
    <xf numFmtId="14" fontId="4" fillId="0" borderId="0" xfId="0" applyNumberFormat="1" applyFont="1" applyBorder="1"/>
    <xf numFmtId="0" fontId="4" fillId="2" borderId="10" xfId="0" applyFont="1" applyFill="1" applyBorder="1" applyAlignment="1">
      <alignment horizontal="left"/>
    </xf>
    <xf numFmtId="10" fontId="4" fillId="2" borderId="0" xfId="0" applyNumberFormat="1" applyFont="1" applyFill="1" applyBorder="1" applyAlignment="1">
      <alignment horizontal="right"/>
    </xf>
    <xf numFmtId="0" fontId="4" fillId="2" borderId="11" xfId="0" applyFont="1" applyFill="1" applyBorder="1" applyAlignment="1">
      <alignment horizontal="left"/>
    </xf>
    <xf numFmtId="10" fontId="4" fillId="0" borderId="0" xfId="1" applyNumberFormat="1" applyFont="1" applyBorder="1"/>
    <xf numFmtId="166" fontId="4" fillId="2" borderId="0" xfId="0" applyNumberFormat="1" applyFont="1" applyFill="1" applyBorder="1" applyAlignment="1">
      <alignment horizontal="right"/>
    </xf>
    <xf numFmtId="10" fontId="0" fillId="0" borderId="0" xfId="0" applyNumberFormat="1"/>
    <xf numFmtId="10" fontId="39" fillId="0" borderId="12" xfId="1" applyNumberFormat="1" applyFont="1" applyBorder="1"/>
    <xf numFmtId="0" fontId="0" fillId="0" borderId="0" xfId="0" applyFill="1" applyBorder="1" applyAlignment="1"/>
    <xf numFmtId="0" fontId="0" fillId="0" borderId="13" xfId="0" applyFill="1" applyBorder="1" applyAlignment="1"/>
    <xf numFmtId="0" fontId="34" fillId="0" borderId="14" xfId="0" applyFont="1" applyFill="1" applyBorder="1" applyAlignment="1">
      <alignment horizontal="center"/>
    </xf>
    <xf numFmtId="0" fontId="34" fillId="0" borderId="14" xfId="0" applyFont="1" applyFill="1" applyBorder="1" applyAlignment="1">
      <alignment horizontal="centerContinuous"/>
    </xf>
    <xf numFmtId="0" fontId="0" fillId="0" borderId="0" xfId="0" applyBorder="1"/>
    <xf numFmtId="0" fontId="34" fillId="0" borderId="0" xfId="0" applyFont="1" applyFill="1" applyBorder="1" applyAlignment="1">
      <alignment horizontal="centerContinuous"/>
    </xf>
    <xf numFmtId="0" fontId="34" fillId="0" borderId="0" xfId="0" applyFont="1" applyFill="1" applyBorder="1" applyAlignment="1">
      <alignment horizontal="center"/>
    </xf>
    <xf numFmtId="0" fontId="0" fillId="0" borderId="0" xfId="0"/>
    <xf numFmtId="0" fontId="41" fillId="2" borderId="0" xfId="0" applyFont="1" applyFill="1" applyAlignment="1">
      <alignment horizontal="center"/>
    </xf>
    <xf numFmtId="167" fontId="4" fillId="0" borderId="0" xfId="0" applyNumberFormat="1" applyFont="1"/>
    <xf numFmtId="2" fontId="20" fillId="2" borderId="0" xfId="0" applyNumberFormat="1" applyFont="1" applyFill="1"/>
    <xf numFmtId="0" fontId="4" fillId="0" borderId="0" xfId="0" applyFont="1"/>
    <xf numFmtId="0" fontId="0" fillId="0" borderId="0" xfId="0"/>
    <xf numFmtId="0" fontId="4" fillId="0" borderId="10" xfId="0" applyFont="1" applyBorder="1"/>
    <xf numFmtId="0" fontId="4" fillId="0" borderId="0" xfId="0" applyFont="1" applyBorder="1"/>
    <xf numFmtId="0" fontId="0" fillId="0" borderId="18" xfId="0" applyBorder="1"/>
    <xf numFmtId="0" fontId="0" fillId="0" borderId="19" xfId="0" applyBorder="1"/>
    <xf numFmtId="2" fontId="22" fillId="0" borderId="0" xfId="0" applyNumberFormat="1" applyFont="1" applyAlignment="1">
      <alignment horizontal="center"/>
    </xf>
    <xf numFmtId="166" fontId="11" fillId="2" borderId="1" xfId="0" applyNumberFormat="1" applyFont="1" applyFill="1" applyBorder="1"/>
    <xf numFmtId="0" fontId="11" fillId="2" borderId="1" xfId="0" applyFont="1" applyFill="1" applyBorder="1" applyAlignment="1">
      <alignment horizontal="center"/>
    </xf>
    <xf numFmtId="166" fontId="11" fillId="2" borderId="3" xfId="0" applyNumberFormat="1" applyFont="1" applyFill="1" applyBorder="1"/>
    <xf numFmtId="166" fontId="11" fillId="5" borderId="0" xfId="0" applyNumberFormat="1" applyFont="1" applyFill="1"/>
    <xf numFmtId="0" fontId="4" fillId="0" borderId="26" xfId="0" applyFont="1" applyBorder="1"/>
    <xf numFmtId="0" fontId="4" fillId="0" borderId="27" xfId="0" applyFont="1" applyBorder="1"/>
    <xf numFmtId="0" fontId="4" fillId="0" borderId="28" xfId="0" applyFont="1" applyBorder="1"/>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2" borderId="28" xfId="0" applyFont="1" applyFill="1" applyBorder="1" applyAlignment="1">
      <alignment horizontal="left"/>
    </xf>
    <xf numFmtId="0" fontId="4" fillId="0" borderId="6"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xf>
    <xf numFmtId="0" fontId="0" fillId="0" borderId="3" xfId="0" applyBorder="1"/>
    <xf numFmtId="0" fontId="0" fillId="0" borderId="9" xfId="0" applyBorder="1"/>
    <xf numFmtId="0" fontId="4" fillId="2" borderId="6" xfId="0" applyFont="1" applyFill="1" applyBorder="1" applyAlignment="1">
      <alignment horizontal="left"/>
    </xf>
    <xf numFmtId="0" fontId="4" fillId="0" borderId="1" xfId="0" applyFont="1" applyBorder="1" applyAlignment="1">
      <alignment horizontal="center"/>
    </xf>
    <xf numFmtId="0" fontId="4" fillId="0" borderId="1" xfId="0" applyFont="1" applyBorder="1"/>
    <xf numFmtId="0" fontId="0" fillId="0" borderId="1" xfId="0" applyBorder="1"/>
    <xf numFmtId="0" fontId="4" fillId="0" borderId="0" xfId="0" applyFont="1" applyBorder="1" applyAlignment="1">
      <alignment horizontal="center"/>
    </xf>
    <xf numFmtId="0" fontId="4" fillId="0" borderId="6" xfId="0" applyFont="1" applyBorder="1"/>
    <xf numFmtId="0" fontId="0" fillId="0" borderId="11" xfId="0" applyBorder="1"/>
    <xf numFmtId="0" fontId="4" fillId="0" borderId="10" xfId="0" applyFont="1" applyBorder="1" applyAlignment="1">
      <alignment horizontal="left"/>
    </xf>
    <xf numFmtId="0" fontId="4" fillId="0" borderId="27" xfId="0" applyFont="1" applyBorder="1" applyAlignment="1"/>
    <xf numFmtId="0" fontId="4" fillId="0" borderId="28" xfId="0" applyFont="1" applyBorder="1" applyAlignment="1"/>
    <xf numFmtId="0" fontId="20" fillId="5" borderId="0" xfId="0" applyFont="1" applyFill="1" applyAlignment="1">
      <alignment horizontal="center"/>
    </xf>
    <xf numFmtId="0" fontId="4" fillId="2" borderId="0" xfId="0" applyFont="1" applyFill="1" applyAlignment="1">
      <alignment horizontal="center"/>
    </xf>
    <xf numFmtId="0" fontId="0" fillId="0" borderId="0" xfId="0"/>
    <xf numFmtId="166" fontId="11" fillId="2" borderId="0" xfId="0" applyNumberFormat="1" applyFont="1" applyFill="1" applyAlignment="1">
      <alignment horizontal="center"/>
    </xf>
    <xf numFmtId="39" fontId="4" fillId="0" borderId="0" xfId="0" applyNumberFormat="1" applyFont="1" applyAlignment="1">
      <alignment horizontal="center"/>
    </xf>
    <xf numFmtId="1" fontId="4" fillId="3" borderId="0" xfId="0" applyNumberFormat="1" applyFont="1" applyFill="1" applyAlignment="1">
      <alignment horizontal="center"/>
    </xf>
    <xf numFmtId="15" fontId="4" fillId="0" borderId="0" xfId="0" applyNumberFormat="1" applyFont="1"/>
    <xf numFmtId="170" fontId="4" fillId="0" borderId="0" xfId="0" applyNumberFormat="1" applyFont="1"/>
    <xf numFmtId="2" fontId="4" fillId="2" borderId="0" xfId="0" applyNumberFormat="1" applyFont="1" applyFill="1" applyAlignment="1">
      <alignment horizontal="center"/>
    </xf>
    <xf numFmtId="10" fontId="0" fillId="0" borderId="0" xfId="1" applyNumberFormat="1" applyFont="1"/>
    <xf numFmtId="0" fontId="0" fillId="2" borderId="0" xfId="0" applyFill="1" applyBorder="1" applyAlignment="1"/>
    <xf numFmtId="0" fontId="34" fillId="2" borderId="0" xfId="0" applyFont="1" applyFill="1" applyBorder="1" applyAlignment="1">
      <alignment horizontal="center"/>
    </xf>
    <xf numFmtId="173" fontId="22" fillId="0" borderId="0" xfId="0" applyNumberFormat="1" applyFont="1"/>
    <xf numFmtId="0" fontId="22" fillId="0" borderId="0" xfId="0" applyFont="1"/>
    <xf numFmtId="4" fontId="22" fillId="0" borderId="0" xfId="0" applyNumberFormat="1" applyFont="1"/>
    <xf numFmtId="2" fontId="0" fillId="0" borderId="0" xfId="0" applyNumberFormat="1"/>
    <xf numFmtId="166" fontId="20" fillId="5" borderId="0" xfId="0" applyNumberFormat="1" applyFont="1" applyFill="1" applyAlignment="1">
      <alignment horizontal="center"/>
    </xf>
    <xf numFmtId="0" fontId="2" fillId="5" borderId="0" xfId="0" applyFont="1" applyFill="1" applyAlignment="1">
      <alignment horizontal="center"/>
    </xf>
    <xf numFmtId="167" fontId="20" fillId="5" borderId="0" xfId="0" applyNumberFormat="1" applyFont="1" applyFill="1"/>
    <xf numFmtId="0" fontId="7" fillId="5" borderId="0" xfId="0" applyFont="1" applyFill="1"/>
    <xf numFmtId="0" fontId="7" fillId="5" borderId="0" xfId="0" applyFont="1" applyFill="1" applyAlignment="1">
      <alignment horizontal="center"/>
    </xf>
    <xf numFmtId="10" fontId="7" fillId="5" borderId="0" xfId="0" applyNumberFormat="1" applyFont="1" applyFill="1" applyAlignment="1">
      <alignment horizontal="center"/>
    </xf>
    <xf numFmtId="2" fontId="7" fillId="5" borderId="0" xfId="0" applyNumberFormat="1" applyFont="1" applyFill="1" applyAlignment="1">
      <alignment horizontal="center"/>
    </xf>
    <xf numFmtId="166" fontId="7" fillId="5" borderId="0" xfId="0" applyNumberFormat="1" applyFont="1" applyFill="1" applyAlignment="1">
      <alignment horizontal="center"/>
    </xf>
    <xf numFmtId="0" fontId="8" fillId="5" borderId="0" xfId="0" applyFont="1" applyFill="1" applyAlignment="1">
      <alignment horizontal="center"/>
    </xf>
    <xf numFmtId="0" fontId="4" fillId="0" borderId="0" xfId="0" applyFont="1" applyBorder="1" applyAlignment="1"/>
    <xf numFmtId="0" fontId="4" fillId="0" borderId="11" xfId="0" applyFont="1" applyBorder="1" applyAlignment="1"/>
    <xf numFmtId="0" fontId="4" fillId="0" borderId="3" xfId="0" applyFont="1" applyBorder="1" applyAlignment="1"/>
    <xf numFmtId="0" fontId="4" fillId="0" borderId="9" xfId="0" applyFont="1" applyBorder="1" applyAlignment="1"/>
    <xf numFmtId="0" fontId="4" fillId="0" borderId="0" xfId="0" applyFont="1" applyBorder="1"/>
    <xf numFmtId="0" fontId="4" fillId="0" borderId="11" xfId="0" applyFont="1" applyBorder="1"/>
    <xf numFmtId="0" fontId="4" fillId="0" borderId="3" xfId="0" applyFont="1" applyBorder="1"/>
    <xf numFmtId="0" fontId="4" fillId="0" borderId="9" xfId="0" applyFont="1" applyBorder="1"/>
    <xf numFmtId="0" fontId="4" fillId="0" borderId="10" xfId="0" applyFont="1" applyBorder="1" applyAlignment="1"/>
    <xf numFmtId="0" fontId="20" fillId="5" borderId="0" xfId="0" applyFont="1" applyFill="1" applyAlignment="1">
      <alignment horizontal="center"/>
    </xf>
    <xf numFmtId="0" fontId="4" fillId="0" borderId="8" xfId="0" applyFont="1" applyBorder="1"/>
    <xf numFmtId="0" fontId="4" fillId="0" borderId="8" xfId="0" applyFont="1" applyBorder="1" applyAlignment="1"/>
    <xf numFmtId="0" fontId="30" fillId="5" borderId="0" xfId="0" applyFont="1" applyFill="1" applyAlignment="1">
      <alignment horizontal="center"/>
    </xf>
    <xf numFmtId="0" fontId="4" fillId="5" borderId="0" xfId="0" applyFont="1" applyFill="1" applyAlignment="1">
      <alignment horizontal="center"/>
    </xf>
    <xf numFmtId="0" fontId="4" fillId="0" borderId="6" xfId="0" applyFont="1" applyBorder="1" applyAlignment="1"/>
    <xf numFmtId="0" fontId="4" fillId="0" borderId="1" xfId="0" applyFont="1" applyBorder="1" applyAlignment="1"/>
    <xf numFmtId="0" fontId="4" fillId="0" borderId="7" xfId="0" applyFont="1" applyBorder="1" applyAlignment="1"/>
    <xf numFmtId="0" fontId="4" fillId="0" borderId="1" xfId="0" applyFont="1" applyBorder="1"/>
    <xf numFmtId="0" fontId="4" fillId="0" borderId="7" xfId="0" applyFont="1" applyBorder="1"/>
    <xf numFmtId="0" fontId="20" fillId="5" borderId="10" xfId="0" applyFont="1" applyFill="1" applyBorder="1" applyAlignment="1">
      <alignment horizontal="center"/>
    </xf>
    <xf numFmtId="0" fontId="20" fillId="5" borderId="0" xfId="0" applyFont="1" applyFill="1" applyBorder="1" applyAlignment="1">
      <alignment horizontal="center"/>
    </xf>
    <xf numFmtId="0" fontId="42" fillId="2" borderId="1" xfId="0" applyFont="1" applyFill="1" applyBorder="1" applyAlignment="1">
      <alignment horizontal="center"/>
    </xf>
    <xf numFmtId="0" fontId="42" fillId="2" borderId="3" xfId="0" applyFont="1" applyFill="1" applyBorder="1" applyAlignment="1">
      <alignment horizontal="center"/>
    </xf>
    <xf numFmtId="0" fontId="4" fillId="2" borderId="0" xfId="0" applyFont="1" applyFill="1" applyAlignment="1">
      <alignment horizontal="center" textRotation="180"/>
    </xf>
    <xf numFmtId="0" fontId="4" fillId="2" borderId="0" xfId="0" applyFont="1" applyFill="1" applyAlignment="1">
      <alignment horizontal="center"/>
    </xf>
    <xf numFmtId="0" fontId="17" fillId="5" borderId="3" xfId="0" applyFont="1" applyFill="1" applyBorder="1" applyAlignment="1">
      <alignment horizontal="center"/>
    </xf>
    <xf numFmtId="0" fontId="4" fillId="0" borderId="23" xfId="0" applyFont="1" applyBorder="1"/>
    <xf numFmtId="0" fontId="4" fillId="0" borderId="24" xfId="0" applyFont="1" applyBorder="1"/>
    <xf numFmtId="0" fontId="4" fillId="0" borderId="25" xfId="0" applyFont="1" applyBorder="1"/>
    <xf numFmtId="0" fontId="4" fillId="0" borderId="18" xfId="0" applyFont="1" applyBorder="1"/>
    <xf numFmtId="0" fontId="4" fillId="0" borderId="19" xfId="0" applyFont="1" applyBorder="1"/>
    <xf numFmtId="0" fontId="4" fillId="0" borderId="20" xfId="0" applyFont="1" applyBorder="1"/>
    <xf numFmtId="0" fontId="4" fillId="0" borderId="21" xfId="0" applyFont="1" applyBorder="1"/>
    <xf numFmtId="0" fontId="4" fillId="0" borderId="22" xfId="0" applyFont="1" applyBorder="1"/>
    <xf numFmtId="0" fontId="4" fillId="0" borderId="15" xfId="0" applyFont="1" applyBorder="1"/>
    <xf numFmtId="0" fontId="4" fillId="0" borderId="16" xfId="0" applyFont="1" applyBorder="1"/>
    <xf numFmtId="0" fontId="4" fillId="0" borderId="17" xfId="0" applyFont="1" applyBorder="1"/>
    <xf numFmtId="0" fontId="0" fillId="0" borderId="0" xfId="0"/>
    <xf numFmtId="0" fontId="20" fillId="2" borderId="0" xfId="0" applyFont="1" applyFill="1"/>
    <xf numFmtId="0" fontId="0" fillId="0" borderId="20" xfId="0" applyBorder="1"/>
    <xf numFmtId="0" fontId="0" fillId="0" borderId="21" xfId="0" applyBorder="1"/>
    <xf numFmtId="0" fontId="0" fillId="0" borderId="22" xfId="0" applyBorder="1"/>
  </cellXfs>
  <cellStyles count="4">
    <cellStyle name="Normal" xfId="0" builtinId="0"/>
    <cellStyle name="Normal 2 2" xfId="2" xr:uid="{BECE1DA8-5C40-4254-BAC4-355036919B8F}"/>
    <cellStyle name="Normal 6" xfId="3" xr:uid="{4EEC2DB1-F692-41BB-8489-11123A22AACD}"/>
    <cellStyle name="Percent" xfId="1" builtinId="5"/>
  </cellStyles>
  <dxfs count="0"/>
  <tableStyles count="0" defaultTableStyle="TableStyleMedium2" defaultPivotStyle="PivotStyleLight16"/>
  <colors>
    <mruColors>
      <color rgb="FFFEC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Valuation</a:t>
            </a:r>
            <a:r>
              <a:rPr lang="en-US" baseline="0"/>
              <a:t> Summary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56714785651793"/>
          <c:y val="0.17171296296296298"/>
          <c:w val="0.82698840769903759"/>
          <c:h val="0.61498432487605714"/>
        </c:manualLayout>
      </c:layout>
      <c:stockChart>
        <c:ser>
          <c:idx val="0"/>
          <c:order val="0"/>
          <c:spPr>
            <a:ln w="19050" cap="rnd">
              <a:noFill/>
              <a:round/>
            </a:ln>
            <a:effectLst/>
          </c:spPr>
          <c:marker>
            <c:symbol val="none"/>
          </c:marker>
          <c:dLbls>
            <c:delete val="1"/>
          </c:dLbls>
          <c:cat>
            <c:strRef>
              <c:f>Summary!$H$12:$K$12</c:f>
              <c:strCache>
                <c:ptCount val="4"/>
                <c:pt idx="0">
                  <c:v>Comps</c:v>
                </c:pt>
                <c:pt idx="1">
                  <c:v>DCF</c:v>
                </c:pt>
                <c:pt idx="2">
                  <c:v>52-week hi/lo</c:v>
                </c:pt>
                <c:pt idx="3">
                  <c:v>Consensus</c:v>
                </c:pt>
              </c:strCache>
            </c:strRef>
          </c:cat>
          <c:val>
            <c:numRef>
              <c:f>Summary!$H$13:$K$13</c:f>
              <c:numCache>
                <c:formatCode>##,###.00;\(##,###.00\);" - "</c:formatCode>
                <c:ptCount val="4"/>
                <c:pt idx="0">
                  <c:v>367.24015429798612</c:v>
                </c:pt>
                <c:pt idx="1">
                  <c:v>15709.982508088471</c:v>
                </c:pt>
                <c:pt idx="2">
                  <c:v>207.77</c:v>
                </c:pt>
                <c:pt idx="3">
                  <c:v>420</c:v>
                </c:pt>
              </c:numCache>
            </c:numRef>
          </c:val>
          <c:smooth val="0"/>
          <c:extLst>
            <c:ext xmlns:c16="http://schemas.microsoft.com/office/drawing/2014/chart" uri="{C3380CC4-5D6E-409C-BE32-E72D297353CC}">
              <c16:uniqueId val="{00000000-23BC-4EE7-9D35-78839954C746}"/>
            </c:ext>
          </c:extLst>
        </c:ser>
        <c:ser>
          <c:idx val="1"/>
          <c:order val="1"/>
          <c:spPr>
            <a:ln w="1905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Summary!$H$12:$K$12</c:f>
              <c:strCache>
                <c:ptCount val="4"/>
                <c:pt idx="0">
                  <c:v>Comps</c:v>
                </c:pt>
                <c:pt idx="1">
                  <c:v>DCF</c:v>
                </c:pt>
                <c:pt idx="2">
                  <c:v>52-week hi/lo</c:v>
                </c:pt>
                <c:pt idx="3">
                  <c:v>Consensus</c:v>
                </c:pt>
              </c:strCache>
            </c:strRef>
          </c:cat>
          <c:val>
            <c:numRef>
              <c:f>Summary!$H$14:$K$14</c:f>
              <c:numCache>
                <c:formatCode>##,###.00;\(##,###.00\);" - "</c:formatCode>
                <c:ptCount val="4"/>
                <c:pt idx="0">
                  <c:v>367.24015429798612</c:v>
                </c:pt>
                <c:pt idx="1">
                  <c:v>15709.982508088471</c:v>
                </c:pt>
                <c:pt idx="2">
                  <c:v>207.77</c:v>
                </c:pt>
                <c:pt idx="3">
                  <c:v>420</c:v>
                </c:pt>
              </c:numCache>
            </c:numRef>
          </c:val>
          <c:smooth val="0"/>
          <c:extLst>
            <c:ext xmlns:c16="http://schemas.microsoft.com/office/drawing/2014/chart" uri="{C3380CC4-5D6E-409C-BE32-E72D297353CC}">
              <c16:uniqueId val="{00000001-23BC-4EE7-9D35-78839954C746}"/>
            </c:ext>
          </c:extLst>
        </c:ser>
        <c:ser>
          <c:idx val="2"/>
          <c:order val="2"/>
          <c:spPr>
            <a:ln w="19050" cap="rnd">
              <a:noFill/>
              <a:round/>
            </a:ln>
            <a:effectLst/>
          </c:spPr>
          <c:marker>
            <c:symbol val="none"/>
          </c:marker>
          <c:dLbls>
            <c:delete val="1"/>
          </c:dLbls>
          <c:cat>
            <c:strRef>
              <c:f>Summary!$H$12:$K$12</c:f>
              <c:strCache>
                <c:ptCount val="4"/>
                <c:pt idx="0">
                  <c:v>Comps</c:v>
                </c:pt>
                <c:pt idx="1">
                  <c:v>DCF</c:v>
                </c:pt>
                <c:pt idx="2">
                  <c:v>52-week hi/lo</c:v>
                </c:pt>
                <c:pt idx="3">
                  <c:v>Consensus</c:v>
                </c:pt>
              </c:strCache>
            </c:strRef>
          </c:cat>
          <c:val>
            <c:numRef>
              <c:f>Summary!$H$15:$K$15</c:f>
              <c:numCache>
                <c:formatCode>##,###.00;\(##,###.00\);" - "</c:formatCode>
                <c:ptCount val="4"/>
                <c:pt idx="0">
                  <c:v>19.583179994570294</c:v>
                </c:pt>
                <c:pt idx="1">
                  <c:v>5006.9022479552677</c:v>
                </c:pt>
                <c:pt idx="2">
                  <c:v>112.45</c:v>
                </c:pt>
                <c:pt idx="3">
                  <c:v>90</c:v>
                </c:pt>
              </c:numCache>
            </c:numRef>
          </c:val>
          <c:smooth val="0"/>
          <c:extLst>
            <c:ext xmlns:c16="http://schemas.microsoft.com/office/drawing/2014/chart" uri="{C3380CC4-5D6E-409C-BE32-E72D297353CC}">
              <c16:uniqueId val="{00000002-23BC-4EE7-9D35-78839954C746}"/>
            </c:ext>
          </c:extLst>
        </c:ser>
        <c:ser>
          <c:idx val="3"/>
          <c:order val="3"/>
          <c:spPr>
            <a:ln w="19050" cap="rnd">
              <a:noFill/>
              <a:round/>
            </a:ln>
            <a:effectLst/>
          </c:spPr>
          <c:marker>
            <c:symbol val="none"/>
          </c:marker>
          <c:dLbls>
            <c:dLbl>
              <c:idx val="2"/>
              <c:layout>
                <c:manualLayout>
                  <c:x val="3.4013779527558956E-2"/>
                  <c:y val="-2.08679644211141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3BC-4EE7-9D35-78839954C746}"/>
                </c:ext>
              </c:extLst>
            </c:dLbl>
            <c:dLbl>
              <c:idx val="3"/>
              <c:layout>
                <c:manualLayout>
                  <c:x val="2.84582239720036E-2"/>
                  <c:y val="-3.93864829396326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3BC-4EE7-9D35-78839954C7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Summary!$H$12:$K$12</c:f>
              <c:strCache>
                <c:ptCount val="4"/>
                <c:pt idx="0">
                  <c:v>Comps</c:v>
                </c:pt>
                <c:pt idx="1">
                  <c:v>DCF</c:v>
                </c:pt>
                <c:pt idx="2">
                  <c:v>52-week hi/lo</c:v>
                </c:pt>
                <c:pt idx="3">
                  <c:v>Consensus</c:v>
                </c:pt>
              </c:strCache>
            </c:strRef>
          </c:cat>
          <c:val>
            <c:numRef>
              <c:f>Summary!$H$16:$K$16</c:f>
              <c:numCache>
                <c:formatCode>##,###.00;\(##,###.00\);" - "</c:formatCode>
                <c:ptCount val="4"/>
                <c:pt idx="0">
                  <c:v>19.583179994570294</c:v>
                </c:pt>
                <c:pt idx="1">
                  <c:v>5006.9022479552677</c:v>
                </c:pt>
                <c:pt idx="2">
                  <c:v>112.45</c:v>
                </c:pt>
                <c:pt idx="3">
                  <c:v>90</c:v>
                </c:pt>
              </c:numCache>
            </c:numRef>
          </c:val>
          <c:smooth val="0"/>
          <c:extLst>
            <c:ext xmlns:c16="http://schemas.microsoft.com/office/drawing/2014/chart" uri="{C3380CC4-5D6E-409C-BE32-E72D297353CC}">
              <c16:uniqueId val="{00000003-23BC-4EE7-9D35-78839954C746}"/>
            </c:ext>
          </c:extLst>
        </c:ser>
        <c:dLbls>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7168415"/>
        <c:axId val="307160095"/>
      </c:stockChart>
      <c:catAx>
        <c:axId val="30716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60095"/>
        <c:crosses val="autoZero"/>
        <c:auto val="1"/>
        <c:lblAlgn val="ctr"/>
        <c:lblOffset val="100"/>
        <c:noMultiLvlLbl val="0"/>
      </c:catAx>
      <c:valAx>
        <c:axId val="307160095"/>
        <c:scaling>
          <c:orientation val="minMax"/>
          <c:min val="50"/>
        </c:scaling>
        <c:delete val="0"/>
        <c:axPos val="l"/>
        <c:numFmt formatCode="##,###.00;\(##,###.00\);&quot; - &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6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fif"/></Relationships>
</file>

<file path=xl/drawings/_rels/drawing2.xml.rels><?xml version="1.0" encoding="UTF-8" standalone="yes"?>
<Relationships xmlns="http://schemas.openxmlformats.org/package/2006/relationships"><Relationship Id="rId1" Type="http://schemas.openxmlformats.org/officeDocument/2006/relationships/image" Target="../media/image1.jfif"/></Relationships>
</file>

<file path=xl/drawings/_rels/drawing3.xml.rels><?xml version="1.0" encoding="UTF-8" standalone="yes"?>
<Relationships xmlns="http://schemas.openxmlformats.org/package/2006/relationships"><Relationship Id="rId1" Type="http://schemas.openxmlformats.org/officeDocument/2006/relationships/image" Target="../media/image1.jfif"/></Relationships>
</file>

<file path=xl/drawings/_rels/drawing4.xml.rels><?xml version="1.0" encoding="UTF-8" standalone="yes"?>
<Relationships xmlns="http://schemas.openxmlformats.org/package/2006/relationships"><Relationship Id="rId1" Type="http://schemas.openxmlformats.org/officeDocument/2006/relationships/image" Target="../media/image1.jfif"/></Relationships>
</file>

<file path=xl/drawings/_rels/drawing5.xml.rels><?xml version="1.0" encoding="UTF-8" standalone="yes"?>
<Relationships xmlns="http://schemas.openxmlformats.org/package/2006/relationships"><Relationship Id="rId1" Type="http://schemas.openxmlformats.org/officeDocument/2006/relationships/image" Target="../media/image1.jfif"/></Relationships>
</file>

<file path=xl/drawings/_rels/drawing6.xml.rels><?xml version="1.0" encoding="UTF-8" standalone="yes"?>
<Relationships xmlns="http://schemas.openxmlformats.org/package/2006/relationships"><Relationship Id="rId1" Type="http://schemas.openxmlformats.org/officeDocument/2006/relationships/image" Target="../media/image1.jfif"/></Relationships>
</file>

<file path=xl/drawings/_rels/drawing7.xml.rels><?xml version="1.0" encoding="UTF-8" standalone="yes"?>
<Relationships xmlns="http://schemas.openxmlformats.org/package/2006/relationships"><Relationship Id="rId1" Type="http://schemas.openxmlformats.org/officeDocument/2006/relationships/image" Target="../media/image1.jfif"/></Relationships>
</file>

<file path=xl/drawings/_rels/drawing8.xml.rels><?xml version="1.0" encoding="UTF-8" standalone="yes"?>
<Relationships xmlns="http://schemas.openxmlformats.org/package/2006/relationships"><Relationship Id="rId1" Type="http://schemas.openxmlformats.org/officeDocument/2006/relationships/image" Target="../media/image1.jfif"/></Relationships>
</file>

<file path=xl/drawings/_rels/drawing9.xml.rels><?xml version="1.0" encoding="UTF-8" standalone="yes"?>
<Relationships xmlns="http://schemas.openxmlformats.org/package/2006/relationships"><Relationship Id="rId1" Type="http://schemas.openxmlformats.org/officeDocument/2006/relationships/image" Target="../media/image1.jfif"/></Relationships>
</file>

<file path=xl/drawings/_rels/drawing10.xml.rels><?xml version="1.0" encoding="UTF-8" standalone="yes"?>
<Relationships xmlns="http://schemas.openxmlformats.org/package/2006/relationships"><Relationship Id="rId1" Type="http://schemas.openxmlformats.org/officeDocument/2006/relationships/image" Target="../media/image1.jfif"/></Relationships>
</file>

<file path=xl/drawings/_rels/drawing11.xml.rels><?xml version="1.0" encoding="UTF-8" standalone="yes"?>
<Relationships xmlns="http://schemas.openxmlformats.org/package/2006/relationships"><Relationship Id="rId1" Type="http://schemas.openxmlformats.org/officeDocument/2006/relationships/image" Target="../media/image1.jfif"/></Relationships>
</file>

<file path=xl/drawings/_rels/drawing1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2019300</xdr:colOff>
      <xdr:row>4</xdr:row>
      <xdr:rowOff>171449</xdr:rowOff>
    </xdr:to>
    <xdr:pic>
      <xdr:nvPicPr>
        <xdr:cNvPr id="3" name="Picture 2">
          <a:extLst>
            <a:ext uri="{FF2B5EF4-FFF2-40B4-BE49-F238E27FC236}">
              <a16:creationId xmlns:a16="http://schemas.microsoft.com/office/drawing/2014/main" id="{6DE7E092-A48A-49DD-A4AB-B2FF03A41E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276474" cy="933449"/>
        </a:xfrm>
        <a:prstGeom prst="rect">
          <a:avLst/>
        </a:prstGeom>
      </xdr:spPr>
    </xdr:pic>
    <xdr:clientData/>
  </xdr:twoCellAnchor>
  <xdr:twoCellAnchor editAs="oneCell">
    <xdr:from>
      <xdr:col>6</xdr:col>
      <xdr:colOff>171450</xdr:colOff>
      <xdr:row>6</xdr:row>
      <xdr:rowOff>0</xdr:rowOff>
    </xdr:from>
    <xdr:to>
      <xdr:col>18</xdr:col>
      <xdr:colOff>381000</xdr:colOff>
      <xdr:row>19</xdr:row>
      <xdr:rowOff>161925</xdr:rowOff>
    </xdr:to>
    <xdr:pic>
      <xdr:nvPicPr>
        <xdr:cNvPr id="6" name="Picture 5">
          <a:extLst>
            <a:ext uri="{FF2B5EF4-FFF2-40B4-BE49-F238E27FC236}">
              <a16:creationId xmlns:a16="http://schemas.microsoft.com/office/drawing/2014/main" id="{EF58C38B-E03D-4EE4-A4BA-6407952BB38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86375" y="1285875"/>
          <a:ext cx="7524750" cy="2847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2019300</xdr:colOff>
      <xdr:row>4</xdr:row>
      <xdr:rowOff>180975</xdr:rowOff>
    </xdr:to>
    <xdr:pic>
      <xdr:nvPicPr>
        <xdr:cNvPr id="3" name="Picture 2">
          <a:extLst>
            <a:ext uri="{FF2B5EF4-FFF2-40B4-BE49-F238E27FC236}">
              <a16:creationId xmlns:a16="http://schemas.microsoft.com/office/drawing/2014/main" id="{76FDA1AC-5D98-480E-968F-9DDB43F3A6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81250" cy="942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11906</xdr:colOff>
      <xdr:row>0</xdr:row>
      <xdr:rowOff>0</xdr:rowOff>
    </xdr:from>
    <xdr:to>
      <xdr:col>3</xdr:col>
      <xdr:colOff>2257425</xdr:colOff>
      <xdr:row>5</xdr:row>
      <xdr:rowOff>0</xdr:rowOff>
    </xdr:to>
    <xdr:pic>
      <xdr:nvPicPr>
        <xdr:cNvPr id="3" name="Picture 2">
          <a:extLst>
            <a:ext uri="{FF2B5EF4-FFF2-40B4-BE49-F238E27FC236}">
              <a16:creationId xmlns:a16="http://schemas.microsoft.com/office/drawing/2014/main" id="{80E63DB7-9CB5-4F4C-8F45-D95E6522EE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06" y="0"/>
          <a:ext cx="2569369"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590550</xdr:colOff>
      <xdr:row>5</xdr:row>
      <xdr:rowOff>9525</xdr:rowOff>
    </xdr:to>
    <xdr:pic>
      <xdr:nvPicPr>
        <xdr:cNvPr id="3" name="Picture 2">
          <a:extLst>
            <a:ext uri="{FF2B5EF4-FFF2-40B4-BE49-F238E27FC236}">
              <a16:creationId xmlns:a16="http://schemas.microsoft.com/office/drawing/2014/main" id="{FF7045AF-4986-42A5-821B-402EBA185D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76525" cy="9620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1933575</xdr:colOff>
      <xdr:row>5</xdr:row>
      <xdr:rowOff>0</xdr:rowOff>
    </xdr:to>
    <xdr:pic>
      <xdr:nvPicPr>
        <xdr:cNvPr id="3" name="Picture 2">
          <a:extLst>
            <a:ext uri="{FF2B5EF4-FFF2-40B4-BE49-F238E27FC236}">
              <a16:creationId xmlns:a16="http://schemas.microsoft.com/office/drawing/2014/main" id="{67C45499-DE63-4268-B0B5-9AE6C493D0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76475" cy="952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4</xdr:col>
      <xdr:colOff>409574</xdr:colOff>
      <xdr:row>5</xdr:row>
      <xdr:rowOff>1</xdr:rowOff>
    </xdr:to>
    <xdr:pic>
      <xdr:nvPicPr>
        <xdr:cNvPr id="3" name="Picture 2">
          <a:extLst>
            <a:ext uri="{FF2B5EF4-FFF2-40B4-BE49-F238E27FC236}">
              <a16:creationId xmlns:a16="http://schemas.microsoft.com/office/drawing/2014/main" id="{E6C2D068-DAA9-4321-B9B1-305A5EFCFC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2638424" cy="952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2200275</xdr:colOff>
      <xdr:row>5</xdr:row>
      <xdr:rowOff>0</xdr:rowOff>
    </xdr:to>
    <xdr:pic>
      <xdr:nvPicPr>
        <xdr:cNvPr id="3" name="Picture 2">
          <a:extLst>
            <a:ext uri="{FF2B5EF4-FFF2-40B4-BE49-F238E27FC236}">
              <a16:creationId xmlns:a16="http://schemas.microsoft.com/office/drawing/2014/main" id="{BBC0CF9A-17B1-4C81-AF0C-F6D6707E16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457450" cy="9525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228600</xdr:colOff>
      <xdr:row>5</xdr:row>
      <xdr:rowOff>9525</xdr:rowOff>
    </xdr:to>
    <xdr:pic>
      <xdr:nvPicPr>
        <xdr:cNvPr id="3" name="Picture 2">
          <a:extLst>
            <a:ext uri="{FF2B5EF4-FFF2-40B4-BE49-F238E27FC236}">
              <a16:creationId xmlns:a16="http://schemas.microsoft.com/office/drawing/2014/main" id="{2CB06252-21F5-4387-8262-7D5701C3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00275" cy="9620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4</xdr:col>
      <xdr:colOff>1076325</xdr:colOff>
      <xdr:row>5</xdr:row>
      <xdr:rowOff>9525</xdr:rowOff>
    </xdr:to>
    <xdr:pic>
      <xdr:nvPicPr>
        <xdr:cNvPr id="3" name="Picture 2">
          <a:extLst>
            <a:ext uri="{FF2B5EF4-FFF2-40B4-BE49-F238E27FC236}">
              <a16:creationId xmlns:a16="http://schemas.microsoft.com/office/drawing/2014/main" id="{80E71B3D-C52F-4294-AFAA-16D43BBC0D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0"/>
          <a:ext cx="2143125" cy="962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9524</xdr:colOff>
      <xdr:row>0</xdr:row>
      <xdr:rowOff>0</xdr:rowOff>
    </xdr:from>
    <xdr:to>
      <xdr:col>6</xdr:col>
      <xdr:colOff>352424</xdr:colOff>
      <xdr:row>5</xdr:row>
      <xdr:rowOff>19050</xdr:rowOff>
    </xdr:to>
    <xdr:pic>
      <xdr:nvPicPr>
        <xdr:cNvPr id="3" name="Picture 2">
          <a:extLst>
            <a:ext uri="{FF2B5EF4-FFF2-40B4-BE49-F238E27FC236}">
              <a16:creationId xmlns:a16="http://schemas.microsoft.com/office/drawing/2014/main" id="{6B413492-A283-4C34-AD5B-897327250D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4" y="0"/>
          <a:ext cx="2428875" cy="9715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4</xdr:col>
      <xdr:colOff>19050</xdr:colOff>
      <xdr:row>5</xdr:row>
      <xdr:rowOff>1</xdr:rowOff>
    </xdr:to>
    <xdr:pic>
      <xdr:nvPicPr>
        <xdr:cNvPr id="3" name="Picture 2">
          <a:extLst>
            <a:ext uri="{FF2B5EF4-FFF2-40B4-BE49-F238E27FC236}">
              <a16:creationId xmlns:a16="http://schemas.microsoft.com/office/drawing/2014/main" id="{BA7D461A-BCBD-41EF-A67F-824F04118F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2143125" cy="9525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57150</xdr:colOff>
      <xdr:row>5</xdr:row>
      <xdr:rowOff>28575</xdr:rowOff>
    </xdr:to>
    <xdr:pic>
      <xdr:nvPicPr>
        <xdr:cNvPr id="4" name="Picture 3">
          <a:extLst>
            <a:ext uri="{FF2B5EF4-FFF2-40B4-BE49-F238E27FC236}">
              <a16:creationId xmlns:a16="http://schemas.microsoft.com/office/drawing/2014/main" id="{32F6A988-4117-4142-B418-9B2A4FA33B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43125" cy="981075"/>
        </a:xfrm>
        <a:prstGeom prst="rect">
          <a:avLst/>
        </a:prstGeom>
      </xdr:spPr>
    </xdr:pic>
    <xdr:clientData/>
  </xdr:twoCellAnchor>
  <xdr:twoCellAnchor>
    <xdr:from>
      <xdr:col>6</xdr:col>
      <xdr:colOff>323850</xdr:colOff>
      <xdr:row>19</xdr:row>
      <xdr:rowOff>42862</xdr:rowOff>
    </xdr:from>
    <xdr:to>
      <xdr:col>12</xdr:col>
      <xdr:colOff>409575</xdr:colOff>
      <xdr:row>33</xdr:row>
      <xdr:rowOff>119062</xdr:rowOff>
    </xdr:to>
    <xdr:graphicFrame macro="">
      <xdr:nvGraphicFramePr>
        <xdr:cNvPr id="3" name="Chart 2">
          <a:extLst>
            <a:ext uri="{FF2B5EF4-FFF2-40B4-BE49-F238E27FC236}">
              <a16:creationId xmlns:a16="http://schemas.microsoft.com/office/drawing/2014/main" id="{A4E3221B-0CF0-4332-852F-532D39EC5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171450</xdr:colOff>
      <xdr:row>30</xdr:row>
      <xdr:rowOff>19050</xdr:rowOff>
    </xdr:from>
    <xdr:to>
      <xdr:col>12</xdr:col>
      <xdr:colOff>381000</xdr:colOff>
      <xdr:row>30</xdr:row>
      <xdr:rowOff>38100</xdr:rowOff>
    </xdr:to>
    <xdr:cxnSp macro="">
      <xdr:nvCxnSpPr>
        <xdr:cNvPr id="6" name="Straight Connector 5">
          <a:extLst>
            <a:ext uri="{FF2B5EF4-FFF2-40B4-BE49-F238E27FC236}">
              <a16:creationId xmlns:a16="http://schemas.microsoft.com/office/drawing/2014/main" id="{21EE97F3-3957-4D08-BC87-C198CBD48ED2}"/>
            </a:ext>
          </a:extLst>
        </xdr:cNvPr>
        <xdr:cNvCxnSpPr/>
      </xdr:nvCxnSpPr>
      <xdr:spPr>
        <a:xfrm flipV="1">
          <a:off x="2867025" y="6067425"/>
          <a:ext cx="4086225" cy="19050"/>
        </a:xfrm>
        <a:prstGeom prst="line">
          <a:avLst/>
        </a:prstGeom>
        <a:ln>
          <a:prstDash val="sysDash"/>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4B1D-9C05-4255-932F-9AC7C86D731D}">
  <dimension ref="A6:Z90"/>
  <sheetViews>
    <sheetView showGridLines="0" topLeftCell="A76" zoomScaleNormal="100" workbookViewId="0">
      <selection activeCell="F5" sqref="F5"/>
    </sheetView>
  </sheetViews>
  <sheetFormatPr defaultRowHeight="15" x14ac:dyDescent="0.25"/>
  <cols>
    <col min="1" max="3" width="1.28515625" customWidth="1"/>
    <col min="4" max="4" width="36.85546875" customWidth="1"/>
    <col min="5" max="5" width="26.85546875" customWidth="1"/>
  </cols>
  <sheetData>
    <row r="6" spans="1:19" ht="26.25" x14ac:dyDescent="0.4">
      <c r="A6" s="115" t="s">
        <v>119</v>
      </c>
      <c r="B6" s="114"/>
      <c r="C6" s="114"/>
      <c r="D6" s="114"/>
      <c r="E6" s="112"/>
      <c r="F6" s="112"/>
      <c r="G6" s="112"/>
      <c r="H6" s="112"/>
      <c r="I6" s="112"/>
      <c r="J6" s="112"/>
      <c r="K6" s="112"/>
      <c r="L6" s="112"/>
      <c r="M6" s="112"/>
      <c r="N6" s="112"/>
      <c r="O6" s="113"/>
      <c r="P6" s="113"/>
      <c r="Q6" s="113"/>
      <c r="R6" s="113"/>
      <c r="S6" s="113"/>
    </row>
    <row r="8" spans="1:19" x14ac:dyDescent="0.25">
      <c r="D8" s="170" t="s">
        <v>363</v>
      </c>
      <c r="E8" s="88"/>
      <c r="F8" s="171"/>
    </row>
    <row r="9" spans="1:19" ht="16.5" x14ac:dyDescent="0.3">
      <c r="D9" s="163"/>
      <c r="E9" s="142"/>
      <c r="F9" s="164"/>
      <c r="G9" s="24"/>
      <c r="H9" s="24"/>
      <c r="I9" s="24"/>
      <c r="J9" s="24"/>
      <c r="K9" s="24"/>
      <c r="L9" s="24"/>
      <c r="M9" s="24"/>
      <c r="N9" s="24"/>
    </row>
    <row r="10" spans="1:19" ht="16.5" x14ac:dyDescent="0.3">
      <c r="D10" s="163" t="s">
        <v>378</v>
      </c>
      <c r="E10" s="142"/>
      <c r="F10" s="164"/>
      <c r="G10" s="24"/>
      <c r="H10" s="24"/>
      <c r="I10" s="24"/>
      <c r="J10" s="24"/>
      <c r="K10" s="24"/>
      <c r="L10" s="24"/>
      <c r="M10" s="24"/>
      <c r="N10" s="24"/>
      <c r="O10" s="24"/>
      <c r="P10" s="24"/>
      <c r="Q10" s="24"/>
      <c r="R10" s="24"/>
    </row>
    <row r="11" spans="1:19" ht="16.5" x14ac:dyDescent="0.3">
      <c r="D11" s="163" t="s">
        <v>215</v>
      </c>
      <c r="E11" s="172">
        <v>45663</v>
      </c>
      <c r="F11" s="164"/>
      <c r="G11" s="24"/>
      <c r="H11" s="24"/>
      <c r="I11" s="24"/>
      <c r="J11" s="24"/>
      <c r="K11" s="24"/>
      <c r="L11" s="24"/>
      <c r="M11" s="24"/>
      <c r="N11" s="24"/>
      <c r="O11" s="24"/>
      <c r="P11" s="24"/>
      <c r="Q11" s="24"/>
      <c r="R11" s="24"/>
    </row>
    <row r="12" spans="1:19" ht="16.5" x14ac:dyDescent="0.3">
      <c r="D12" s="163" t="s">
        <v>379</v>
      </c>
      <c r="E12" s="172">
        <v>45382</v>
      </c>
      <c r="F12" s="164"/>
      <c r="G12" s="24"/>
      <c r="H12" s="24"/>
      <c r="I12" s="24"/>
      <c r="J12" s="24"/>
      <c r="K12" s="24"/>
      <c r="L12" s="24"/>
      <c r="M12" s="24"/>
      <c r="N12" s="24"/>
      <c r="O12" s="24"/>
      <c r="P12" s="24"/>
      <c r="Q12" s="24"/>
      <c r="R12" s="24"/>
    </row>
    <row r="13" spans="1:19" ht="16.5" x14ac:dyDescent="0.3">
      <c r="D13" s="173" t="s">
        <v>380</v>
      </c>
      <c r="E13" s="174">
        <v>7.0000000000000007E-2</v>
      </c>
      <c r="F13" s="175"/>
      <c r="G13" s="38"/>
      <c r="H13" s="24"/>
      <c r="I13" s="24"/>
      <c r="J13" s="24"/>
      <c r="K13" s="24"/>
      <c r="L13" s="24"/>
      <c r="M13" s="24"/>
      <c r="N13" s="24"/>
      <c r="O13" s="24"/>
      <c r="P13" s="24"/>
      <c r="Q13" s="24"/>
      <c r="R13" s="24"/>
    </row>
    <row r="14" spans="1:19" ht="16.5" x14ac:dyDescent="0.3">
      <c r="D14" s="163" t="s">
        <v>294</v>
      </c>
      <c r="E14" s="176">
        <v>0.21703230247168576</v>
      </c>
      <c r="F14" s="164"/>
      <c r="G14" s="24"/>
      <c r="H14" s="24"/>
      <c r="I14" s="24"/>
      <c r="J14" s="24"/>
      <c r="K14" s="24"/>
      <c r="L14" s="24"/>
      <c r="M14" s="24"/>
      <c r="N14" s="24"/>
      <c r="O14" s="24"/>
      <c r="P14" s="24"/>
      <c r="Q14" s="24"/>
      <c r="R14" s="24"/>
    </row>
    <row r="15" spans="1:19" ht="16.5" x14ac:dyDescent="0.3">
      <c r="D15" s="163" t="s">
        <v>381</v>
      </c>
      <c r="E15" s="176">
        <v>0.06</v>
      </c>
      <c r="F15" s="164"/>
      <c r="G15" s="24"/>
      <c r="H15" s="24"/>
      <c r="I15" s="24"/>
      <c r="J15" s="24"/>
      <c r="K15" s="24"/>
      <c r="L15" s="24"/>
      <c r="M15" s="24"/>
      <c r="N15" s="24"/>
      <c r="O15" s="24"/>
      <c r="P15" s="24"/>
      <c r="Q15" s="24"/>
      <c r="R15" s="24"/>
    </row>
    <row r="16" spans="1:19" ht="16.5" x14ac:dyDescent="0.3">
      <c r="D16" s="163" t="s">
        <v>302</v>
      </c>
      <c r="E16" s="176">
        <v>0.1008</v>
      </c>
      <c r="F16" s="164"/>
      <c r="G16" s="24"/>
      <c r="H16" s="24"/>
      <c r="I16" s="24"/>
      <c r="J16" s="24"/>
      <c r="K16" s="24"/>
      <c r="L16" s="24"/>
      <c r="M16" s="24"/>
      <c r="N16" s="24"/>
      <c r="O16" s="24"/>
      <c r="P16" s="24"/>
      <c r="Q16" s="24"/>
      <c r="R16" s="24"/>
    </row>
    <row r="17" spans="4:26" ht="16.5" x14ac:dyDescent="0.3">
      <c r="D17" s="163" t="s">
        <v>382</v>
      </c>
      <c r="E17" s="177">
        <v>1325570430</v>
      </c>
      <c r="F17" s="164"/>
      <c r="G17" s="24"/>
      <c r="H17" s="24"/>
      <c r="I17" s="24"/>
      <c r="J17" s="24"/>
      <c r="K17" s="24"/>
      <c r="L17" s="24"/>
      <c r="M17" s="24"/>
      <c r="N17" s="24"/>
      <c r="O17" s="24"/>
      <c r="P17" s="24"/>
      <c r="Q17" s="24"/>
      <c r="R17" s="24"/>
    </row>
    <row r="18" spans="4:26" ht="16.5" x14ac:dyDescent="0.3">
      <c r="D18" s="163" t="s">
        <v>383</v>
      </c>
      <c r="E18" s="177">
        <v>185.98</v>
      </c>
      <c r="F18" s="164"/>
      <c r="G18" s="24"/>
      <c r="H18" s="24"/>
      <c r="I18" s="24"/>
      <c r="J18" s="24"/>
      <c r="K18" s="24"/>
      <c r="L18" s="24"/>
      <c r="M18" s="24"/>
      <c r="N18" s="24"/>
      <c r="O18" s="24"/>
      <c r="P18" s="24"/>
      <c r="Q18" s="24"/>
      <c r="R18" s="24"/>
    </row>
    <row r="19" spans="4:26" ht="16.5" x14ac:dyDescent="0.3">
      <c r="D19" s="165"/>
      <c r="E19" s="141"/>
      <c r="F19" s="166"/>
      <c r="G19" s="24"/>
      <c r="H19" s="24"/>
      <c r="I19" s="24"/>
      <c r="J19" s="24"/>
      <c r="K19" s="24"/>
      <c r="L19" s="24"/>
      <c r="M19" s="24"/>
      <c r="N19" s="24"/>
      <c r="O19" s="24"/>
      <c r="P19" s="24"/>
      <c r="Q19" s="24"/>
      <c r="R19" s="24"/>
    </row>
    <row r="20" spans="4:26" ht="16.5" x14ac:dyDescent="0.3">
      <c r="D20" s="24"/>
      <c r="E20" s="24"/>
      <c r="F20" s="24"/>
      <c r="G20" s="24"/>
      <c r="H20" s="24"/>
      <c r="I20" s="24"/>
      <c r="J20" s="24"/>
      <c r="K20" s="24"/>
      <c r="L20" s="24"/>
      <c r="M20" s="24"/>
      <c r="N20" s="24"/>
      <c r="O20" s="24"/>
      <c r="P20" s="24"/>
      <c r="Q20" s="24"/>
      <c r="R20" s="24"/>
    </row>
    <row r="21" spans="4:26" ht="23.25" x14ac:dyDescent="0.35">
      <c r="D21" s="116" t="s">
        <v>384</v>
      </c>
      <c r="E21" s="116" t="s">
        <v>413</v>
      </c>
      <c r="F21" s="261" t="s">
        <v>363</v>
      </c>
      <c r="G21" s="261"/>
      <c r="H21" s="261"/>
      <c r="I21" s="261"/>
      <c r="J21" s="261"/>
      <c r="K21" s="261"/>
      <c r="L21" s="261"/>
      <c r="M21" s="261"/>
      <c r="N21" s="261"/>
      <c r="O21" s="261"/>
      <c r="P21" s="261"/>
      <c r="Q21" s="261"/>
      <c r="R21" s="261"/>
      <c r="S21" s="113"/>
    </row>
    <row r="22" spans="4:26" ht="23.25" x14ac:dyDescent="0.35">
      <c r="D22" s="117"/>
      <c r="E22" s="117"/>
      <c r="F22" s="117"/>
      <c r="G22" s="117"/>
      <c r="H22" s="117"/>
      <c r="I22" s="117"/>
      <c r="J22" s="117"/>
      <c r="K22" s="117"/>
      <c r="L22" s="117"/>
      <c r="M22" s="117"/>
      <c r="N22" s="117"/>
      <c r="O22" s="117"/>
      <c r="P22" s="117"/>
      <c r="Q22" s="117"/>
      <c r="R22" s="117"/>
      <c r="S22" s="3"/>
    </row>
    <row r="23" spans="4:26" ht="16.5" x14ac:dyDescent="0.3">
      <c r="D23" s="262" t="s">
        <v>125</v>
      </c>
      <c r="E23" s="262"/>
      <c r="F23" s="262"/>
      <c r="G23" s="262"/>
      <c r="H23" s="262"/>
      <c r="I23" s="262"/>
      <c r="J23" s="262"/>
      <c r="K23" s="262"/>
      <c r="L23" s="262"/>
      <c r="M23" s="262"/>
      <c r="N23" s="262"/>
      <c r="O23" s="262"/>
      <c r="P23" s="262"/>
      <c r="Q23" s="262"/>
      <c r="R23" s="262"/>
      <c r="S23" s="262"/>
    </row>
    <row r="24" spans="4:26" ht="16.5" x14ac:dyDescent="0.3">
      <c r="D24" s="24"/>
      <c r="E24" s="24"/>
      <c r="F24" s="24"/>
      <c r="G24" s="24"/>
      <c r="H24" s="24"/>
      <c r="I24" s="24"/>
      <c r="J24" s="24"/>
      <c r="K24" s="24"/>
      <c r="L24" s="24"/>
      <c r="M24" s="24"/>
      <c r="N24" s="24"/>
      <c r="O24" s="24"/>
      <c r="P24" s="24"/>
      <c r="Q24" s="24"/>
      <c r="R24" s="24"/>
    </row>
    <row r="25" spans="4:26" ht="16.5" x14ac:dyDescent="0.3">
      <c r="D25" s="202" t="s">
        <v>123</v>
      </c>
      <c r="E25" s="209" t="s">
        <v>385</v>
      </c>
      <c r="F25" s="263" t="s">
        <v>389</v>
      </c>
      <c r="G25" s="264"/>
      <c r="H25" s="264"/>
      <c r="I25" s="264"/>
      <c r="J25" s="264"/>
      <c r="K25" s="264"/>
      <c r="L25" s="264"/>
      <c r="M25" s="264"/>
      <c r="N25" s="264"/>
      <c r="O25" s="264"/>
      <c r="P25" s="264"/>
      <c r="Q25" s="264"/>
      <c r="R25" s="264"/>
      <c r="S25" s="264"/>
      <c r="T25" s="264"/>
      <c r="U25" s="264"/>
      <c r="V25" s="264"/>
      <c r="W25" s="264"/>
      <c r="X25" s="264"/>
      <c r="Y25" s="264"/>
      <c r="Z25" s="265"/>
    </row>
    <row r="26" spans="4:26" ht="16.5" x14ac:dyDescent="0.3">
      <c r="D26" s="204"/>
      <c r="E26" s="210"/>
      <c r="F26" s="260" t="s">
        <v>388</v>
      </c>
      <c r="G26" s="251"/>
      <c r="H26" s="251"/>
      <c r="I26" s="251"/>
      <c r="J26" s="251"/>
      <c r="K26" s="251"/>
      <c r="L26" s="251"/>
      <c r="M26" s="251"/>
      <c r="N26" s="251"/>
      <c r="O26" s="251"/>
      <c r="P26" s="251"/>
      <c r="Q26" s="251"/>
      <c r="R26" s="251"/>
      <c r="S26" s="251"/>
      <c r="T26" s="251"/>
      <c r="U26" s="251"/>
      <c r="V26" s="251"/>
      <c r="W26" s="251"/>
      <c r="X26" s="251"/>
      <c r="Y26" s="251"/>
      <c r="Z26" s="252"/>
    </row>
    <row r="27" spans="4:26" ht="16.5" x14ac:dyDescent="0.3">
      <c r="D27" s="203"/>
      <c r="E27" s="211"/>
      <c r="F27" s="257"/>
      <c r="G27" s="249"/>
      <c r="H27" s="249"/>
      <c r="I27" s="249"/>
      <c r="J27" s="249"/>
      <c r="K27" s="249"/>
      <c r="L27" s="249"/>
      <c r="M27" s="249"/>
      <c r="N27" s="249"/>
      <c r="O27" s="249"/>
      <c r="P27" s="249"/>
      <c r="Q27" s="249"/>
      <c r="R27" s="249"/>
      <c r="S27" s="249"/>
      <c r="T27" s="249"/>
      <c r="U27" s="249"/>
      <c r="V27" s="249"/>
      <c r="W27" s="249"/>
      <c r="X27" s="249"/>
      <c r="Y27" s="249"/>
      <c r="Z27" s="250"/>
    </row>
    <row r="28" spans="4:26" ht="16.5" x14ac:dyDescent="0.3">
      <c r="D28" s="203"/>
      <c r="E28" s="211"/>
      <c r="F28" s="257" t="s">
        <v>390</v>
      </c>
      <c r="G28" s="249"/>
      <c r="H28" s="249"/>
      <c r="I28" s="249"/>
      <c r="J28" s="249"/>
      <c r="K28" s="249"/>
      <c r="L28" s="249"/>
      <c r="M28" s="249"/>
      <c r="N28" s="249"/>
      <c r="O28" s="249"/>
      <c r="P28" s="249"/>
      <c r="Q28" s="249"/>
      <c r="R28" s="249"/>
      <c r="S28" s="249"/>
      <c r="T28" s="249"/>
      <c r="U28" s="249"/>
      <c r="V28" s="249"/>
      <c r="W28" s="249"/>
      <c r="X28" s="249"/>
      <c r="Y28" s="249"/>
      <c r="Z28" s="250"/>
    </row>
    <row r="29" spans="4:26" ht="16.5" x14ac:dyDescent="0.3">
      <c r="D29" s="203" t="s">
        <v>126</v>
      </c>
      <c r="E29" s="211" t="s">
        <v>385</v>
      </c>
      <c r="F29" s="257" t="s">
        <v>392</v>
      </c>
      <c r="G29" s="249"/>
      <c r="H29" s="249"/>
      <c r="I29" s="249"/>
      <c r="J29" s="249"/>
      <c r="K29" s="249"/>
      <c r="L29" s="249"/>
      <c r="M29" s="249"/>
      <c r="N29" s="249"/>
      <c r="O29" s="249"/>
      <c r="P29" s="249"/>
      <c r="Q29" s="249"/>
      <c r="R29" s="249"/>
      <c r="S29" s="249"/>
      <c r="T29" s="249"/>
      <c r="U29" s="249"/>
      <c r="V29" s="249"/>
      <c r="W29" s="249"/>
      <c r="X29" s="249"/>
      <c r="Y29" s="249"/>
      <c r="Z29" s="250"/>
    </row>
    <row r="30" spans="4:26" ht="16.5" x14ac:dyDescent="0.3">
      <c r="D30" s="204"/>
      <c r="E30" s="210"/>
      <c r="F30" s="260" t="s">
        <v>391</v>
      </c>
      <c r="G30" s="251"/>
      <c r="H30" s="251"/>
      <c r="I30" s="251"/>
      <c r="J30" s="251"/>
      <c r="K30" s="251"/>
      <c r="L30" s="251"/>
      <c r="M30" s="251"/>
      <c r="N30" s="251"/>
      <c r="O30" s="251"/>
      <c r="P30" s="251"/>
      <c r="Q30" s="251"/>
      <c r="R30" s="251"/>
      <c r="S30" s="251"/>
      <c r="T30" s="251"/>
      <c r="U30" s="251"/>
      <c r="V30" s="251"/>
      <c r="W30" s="251"/>
      <c r="X30" s="251"/>
      <c r="Y30" s="251"/>
      <c r="Z30" s="252"/>
    </row>
    <row r="31" spans="4:26" ht="16.5" x14ac:dyDescent="0.3">
      <c r="D31" s="203"/>
      <c r="E31" s="211"/>
      <c r="F31" s="257"/>
      <c r="G31" s="249"/>
      <c r="H31" s="249"/>
      <c r="I31" s="249"/>
      <c r="J31" s="249"/>
      <c r="K31" s="249"/>
      <c r="L31" s="249"/>
      <c r="M31" s="249"/>
      <c r="N31" s="249"/>
      <c r="O31" s="249"/>
      <c r="P31" s="249"/>
      <c r="Q31" s="249"/>
      <c r="R31" s="249"/>
      <c r="S31" s="249"/>
      <c r="T31" s="249"/>
      <c r="U31" s="249"/>
      <c r="V31" s="249"/>
      <c r="W31" s="249"/>
      <c r="X31" s="249"/>
      <c r="Y31" s="249"/>
      <c r="Z31" s="250"/>
    </row>
    <row r="32" spans="4:26" ht="16.5" x14ac:dyDescent="0.3">
      <c r="D32" s="203"/>
      <c r="E32" s="211"/>
      <c r="F32" s="257" t="s">
        <v>398</v>
      </c>
      <c r="G32" s="249"/>
      <c r="H32" s="249"/>
      <c r="I32" s="249"/>
      <c r="J32" s="249"/>
      <c r="K32" s="249"/>
      <c r="L32" s="249"/>
      <c r="M32" s="249"/>
      <c r="N32" s="249"/>
      <c r="O32" s="249"/>
      <c r="P32" s="249"/>
      <c r="Q32" s="249"/>
      <c r="R32" s="249"/>
      <c r="S32" s="249"/>
      <c r="T32" s="249"/>
      <c r="U32" s="249"/>
      <c r="V32" s="249"/>
      <c r="W32" s="249"/>
      <c r="X32" s="249"/>
      <c r="Y32" s="249"/>
      <c r="Z32" s="250"/>
    </row>
    <row r="33" spans="4:26" ht="16.5" x14ac:dyDescent="0.3">
      <c r="D33" s="203" t="s">
        <v>408</v>
      </c>
      <c r="E33" s="211" t="s">
        <v>385</v>
      </c>
      <c r="F33" s="257" t="s">
        <v>396</v>
      </c>
      <c r="G33" s="249"/>
      <c r="H33" s="249"/>
      <c r="I33" s="249"/>
      <c r="J33" s="249"/>
      <c r="K33" s="249"/>
      <c r="L33" s="249"/>
      <c r="M33" s="249"/>
      <c r="N33" s="249"/>
      <c r="O33" s="249"/>
      <c r="P33" s="249"/>
      <c r="Q33" s="249"/>
      <c r="R33" s="249"/>
      <c r="S33" s="249"/>
      <c r="T33" s="249"/>
      <c r="U33" s="249"/>
      <c r="V33" s="249"/>
      <c r="W33" s="249"/>
      <c r="X33" s="249"/>
      <c r="Y33" s="249"/>
      <c r="Z33" s="250"/>
    </row>
    <row r="34" spans="4:26" ht="16.5" x14ac:dyDescent="0.3">
      <c r="D34" s="204"/>
      <c r="E34" s="210"/>
      <c r="F34" s="260" t="s">
        <v>397</v>
      </c>
      <c r="G34" s="251"/>
      <c r="H34" s="251"/>
      <c r="I34" s="251"/>
      <c r="J34" s="251"/>
      <c r="K34" s="251"/>
      <c r="L34" s="251"/>
      <c r="M34" s="251"/>
      <c r="N34" s="251"/>
      <c r="O34" s="251"/>
      <c r="P34" s="251"/>
      <c r="Q34" s="251"/>
      <c r="R34" s="251"/>
      <c r="S34" s="251"/>
      <c r="T34" s="251"/>
      <c r="U34" s="251"/>
      <c r="V34" s="251"/>
      <c r="W34" s="251"/>
      <c r="X34" s="251"/>
      <c r="Y34" s="251"/>
      <c r="Z34" s="252"/>
    </row>
    <row r="35" spans="4:26" ht="16.5" x14ac:dyDescent="0.3">
      <c r="D35" s="203"/>
      <c r="E35" s="211"/>
      <c r="F35" s="257"/>
      <c r="G35" s="249"/>
      <c r="H35" s="249"/>
      <c r="I35" s="249"/>
      <c r="J35" s="249"/>
      <c r="K35" s="249"/>
      <c r="L35" s="249"/>
      <c r="M35" s="249"/>
      <c r="N35" s="249"/>
      <c r="O35" s="249"/>
      <c r="P35" s="249"/>
      <c r="Q35" s="249"/>
      <c r="R35" s="249"/>
      <c r="S35" s="249"/>
      <c r="T35" s="249"/>
      <c r="U35" s="249"/>
      <c r="V35" s="249"/>
      <c r="W35" s="249"/>
      <c r="X35" s="249"/>
      <c r="Y35" s="249"/>
      <c r="Z35" s="250"/>
    </row>
    <row r="36" spans="4:26" ht="16.5" x14ac:dyDescent="0.3">
      <c r="D36" s="203"/>
      <c r="E36" s="211"/>
      <c r="F36" s="257" t="s">
        <v>395</v>
      </c>
      <c r="G36" s="249"/>
      <c r="H36" s="249"/>
      <c r="I36" s="249"/>
      <c r="J36" s="249"/>
      <c r="K36" s="249"/>
      <c r="L36" s="249"/>
      <c r="M36" s="249"/>
      <c r="N36" s="249"/>
      <c r="O36" s="249"/>
      <c r="P36" s="249"/>
      <c r="Q36" s="249"/>
      <c r="R36" s="249"/>
      <c r="S36" s="249"/>
      <c r="T36" s="249"/>
      <c r="U36" s="249"/>
      <c r="V36" s="249"/>
      <c r="W36" s="249"/>
      <c r="X36" s="249"/>
      <c r="Y36" s="249"/>
      <c r="Z36" s="250"/>
    </row>
    <row r="37" spans="4:26" ht="16.5" x14ac:dyDescent="0.3">
      <c r="D37" s="203" t="s">
        <v>128</v>
      </c>
      <c r="E37" s="211" t="s">
        <v>385</v>
      </c>
      <c r="F37" s="257" t="s">
        <v>393</v>
      </c>
      <c r="G37" s="249"/>
      <c r="H37" s="249"/>
      <c r="I37" s="249"/>
      <c r="J37" s="249"/>
      <c r="K37" s="249"/>
      <c r="L37" s="249"/>
      <c r="M37" s="249"/>
      <c r="N37" s="249"/>
      <c r="O37" s="249"/>
      <c r="P37" s="249"/>
      <c r="Q37" s="249"/>
      <c r="R37" s="249"/>
      <c r="S37" s="249"/>
      <c r="T37" s="249"/>
      <c r="U37" s="249"/>
      <c r="V37" s="249"/>
      <c r="W37" s="249"/>
      <c r="X37" s="249"/>
      <c r="Y37" s="249"/>
      <c r="Z37" s="250"/>
    </row>
    <row r="38" spans="4:26" ht="16.5" x14ac:dyDescent="0.3">
      <c r="D38" s="204"/>
      <c r="E38" s="210"/>
      <c r="F38" s="260" t="s">
        <v>394</v>
      </c>
      <c r="G38" s="251"/>
      <c r="H38" s="251"/>
      <c r="I38" s="251"/>
      <c r="J38" s="251"/>
      <c r="K38" s="251"/>
      <c r="L38" s="251"/>
      <c r="M38" s="251"/>
      <c r="N38" s="251"/>
      <c r="O38" s="251"/>
      <c r="P38" s="251"/>
      <c r="Q38" s="251"/>
      <c r="R38" s="251"/>
      <c r="S38" s="251"/>
      <c r="T38" s="251"/>
      <c r="U38" s="251"/>
      <c r="V38" s="251"/>
      <c r="W38" s="251"/>
      <c r="X38" s="251"/>
      <c r="Y38" s="251"/>
      <c r="Z38" s="252"/>
    </row>
    <row r="39" spans="4:26" ht="16.5" x14ac:dyDescent="0.3">
      <c r="D39" s="203"/>
      <c r="E39" s="211"/>
      <c r="F39" s="257"/>
      <c r="G39" s="249"/>
      <c r="H39" s="249"/>
      <c r="I39" s="249"/>
      <c r="J39" s="249"/>
      <c r="K39" s="249"/>
      <c r="L39" s="249"/>
      <c r="M39" s="249"/>
      <c r="N39" s="249"/>
      <c r="O39" s="249"/>
      <c r="P39" s="249"/>
      <c r="Q39" s="249"/>
      <c r="R39" s="249"/>
      <c r="S39" s="249"/>
      <c r="T39" s="249"/>
      <c r="U39" s="249"/>
      <c r="V39" s="249"/>
      <c r="W39" s="249"/>
      <c r="X39" s="249"/>
      <c r="Y39" s="249"/>
      <c r="Z39" s="250"/>
    </row>
    <row r="40" spans="4:26" ht="16.5" x14ac:dyDescent="0.3">
      <c r="D40" s="203" t="s">
        <v>130</v>
      </c>
      <c r="E40" s="211" t="s">
        <v>385</v>
      </c>
      <c r="F40" s="257" t="s">
        <v>479</v>
      </c>
      <c r="G40" s="249"/>
      <c r="H40" s="249"/>
      <c r="I40" s="249"/>
      <c r="J40" s="249"/>
      <c r="K40" s="249"/>
      <c r="L40" s="249"/>
      <c r="M40" s="249"/>
      <c r="N40" s="249"/>
      <c r="O40" s="249"/>
      <c r="P40" s="249"/>
      <c r="Q40" s="249"/>
      <c r="R40" s="249"/>
      <c r="S40" s="249"/>
      <c r="T40" s="249"/>
      <c r="U40" s="249"/>
      <c r="V40" s="249"/>
      <c r="W40" s="249"/>
      <c r="X40" s="249"/>
      <c r="Y40" s="249"/>
      <c r="Z40" s="250"/>
    </row>
    <row r="41" spans="4:26" ht="16.5" x14ac:dyDescent="0.3">
      <c r="D41" s="204"/>
      <c r="E41" s="210"/>
      <c r="F41" s="260" t="s">
        <v>480</v>
      </c>
      <c r="G41" s="251"/>
      <c r="H41" s="251"/>
      <c r="I41" s="251"/>
      <c r="J41" s="251"/>
      <c r="K41" s="251"/>
      <c r="L41" s="251"/>
      <c r="M41" s="251"/>
      <c r="N41" s="251"/>
      <c r="O41" s="251"/>
      <c r="P41" s="251"/>
      <c r="Q41" s="251"/>
      <c r="R41" s="251"/>
      <c r="S41" s="251"/>
      <c r="T41" s="251"/>
      <c r="U41" s="251"/>
      <c r="V41" s="251"/>
      <c r="W41" s="251"/>
      <c r="X41" s="251"/>
      <c r="Y41" s="251"/>
      <c r="Z41" s="252"/>
    </row>
    <row r="42" spans="4:26" ht="16.5" x14ac:dyDescent="0.3">
      <c r="D42" s="203"/>
      <c r="E42" s="211"/>
      <c r="F42" s="257"/>
      <c r="G42" s="249"/>
      <c r="H42" s="249"/>
      <c r="I42" s="249"/>
      <c r="J42" s="249"/>
      <c r="K42" s="249"/>
      <c r="L42" s="249"/>
      <c r="M42" s="249"/>
      <c r="N42" s="249"/>
      <c r="O42" s="249"/>
      <c r="P42" s="249"/>
      <c r="Q42" s="249"/>
      <c r="R42" s="249"/>
      <c r="S42" s="249"/>
      <c r="T42" s="249"/>
      <c r="U42" s="249"/>
      <c r="V42" s="249"/>
      <c r="W42" s="249"/>
      <c r="X42" s="249"/>
      <c r="Y42" s="249"/>
      <c r="Z42" s="250"/>
    </row>
    <row r="43" spans="4:26" ht="16.5" x14ac:dyDescent="0.3">
      <c r="D43" s="204" t="s">
        <v>132</v>
      </c>
      <c r="E43" s="210" t="s">
        <v>385</v>
      </c>
      <c r="F43" s="260" t="s">
        <v>399</v>
      </c>
      <c r="G43" s="251"/>
      <c r="H43" s="251"/>
      <c r="I43" s="251"/>
      <c r="J43" s="251"/>
      <c r="K43" s="251"/>
      <c r="L43" s="251"/>
      <c r="M43" s="251"/>
      <c r="N43" s="251"/>
      <c r="O43" s="251"/>
      <c r="P43" s="251"/>
      <c r="Q43" s="251"/>
      <c r="R43" s="251"/>
      <c r="S43" s="251"/>
      <c r="T43" s="251"/>
      <c r="U43" s="251"/>
      <c r="V43" s="251"/>
      <c r="W43" s="251"/>
      <c r="X43" s="251"/>
      <c r="Y43" s="251"/>
      <c r="Z43" s="252"/>
    </row>
    <row r="44" spans="4:26" ht="16.5" x14ac:dyDescent="0.3">
      <c r="D44" s="203"/>
      <c r="E44" s="211"/>
      <c r="F44" s="257"/>
      <c r="G44" s="249"/>
      <c r="H44" s="249"/>
      <c r="I44" s="249"/>
      <c r="J44" s="249"/>
      <c r="K44" s="249"/>
      <c r="L44" s="249"/>
      <c r="M44" s="249"/>
      <c r="N44" s="249"/>
      <c r="O44" s="249"/>
      <c r="P44" s="249"/>
      <c r="Q44" s="249"/>
      <c r="R44" s="249"/>
      <c r="S44" s="249"/>
      <c r="T44" s="249"/>
      <c r="U44" s="249"/>
      <c r="V44" s="249"/>
      <c r="W44" s="249"/>
      <c r="X44" s="249"/>
      <c r="Y44" s="249"/>
      <c r="Z44" s="250"/>
    </row>
    <row r="45" spans="4:26" ht="16.5" x14ac:dyDescent="0.3">
      <c r="D45" s="208" t="s">
        <v>410</v>
      </c>
      <c r="E45" s="210" t="s">
        <v>385</v>
      </c>
      <c r="F45" s="260" t="s">
        <v>400</v>
      </c>
      <c r="G45" s="251"/>
      <c r="H45" s="251"/>
      <c r="I45" s="251"/>
      <c r="J45" s="251"/>
      <c r="K45" s="251"/>
      <c r="L45" s="251"/>
      <c r="M45" s="251"/>
      <c r="N45" s="251"/>
      <c r="O45" s="251"/>
      <c r="P45" s="251"/>
      <c r="Q45" s="251"/>
      <c r="R45" s="251"/>
      <c r="S45" s="251"/>
      <c r="T45" s="251"/>
      <c r="U45" s="251"/>
      <c r="V45" s="251"/>
      <c r="W45" s="251"/>
      <c r="X45" s="251"/>
      <c r="Y45" s="251"/>
      <c r="Z45" s="252"/>
    </row>
    <row r="46" spans="4:26" ht="16.5" x14ac:dyDescent="0.3">
      <c r="D46" s="203"/>
      <c r="E46" s="211"/>
      <c r="F46" s="257"/>
      <c r="G46" s="249"/>
      <c r="H46" s="249"/>
      <c r="I46" s="249"/>
      <c r="J46" s="249"/>
      <c r="K46" s="249"/>
      <c r="L46" s="249"/>
      <c r="M46" s="249"/>
      <c r="N46" s="249"/>
      <c r="O46" s="249"/>
      <c r="P46" s="249"/>
      <c r="Q46" s="249"/>
      <c r="R46" s="249"/>
      <c r="S46" s="249"/>
      <c r="T46" s="249"/>
      <c r="U46" s="249"/>
      <c r="V46" s="249"/>
      <c r="W46" s="249"/>
      <c r="X46" s="249"/>
      <c r="Y46" s="249"/>
      <c r="Z46" s="250"/>
    </row>
    <row r="47" spans="4:26" ht="16.5" x14ac:dyDescent="0.3">
      <c r="D47" s="203"/>
      <c r="E47" s="211"/>
      <c r="F47" s="257" t="s">
        <v>403</v>
      </c>
      <c r="G47" s="249"/>
      <c r="H47" s="249"/>
      <c r="I47" s="249"/>
      <c r="J47" s="249"/>
      <c r="K47" s="249"/>
      <c r="L47" s="249"/>
      <c r="M47" s="249"/>
      <c r="N47" s="249"/>
      <c r="O47" s="249"/>
      <c r="P47" s="249"/>
      <c r="Q47" s="249"/>
      <c r="R47" s="249"/>
      <c r="S47" s="249"/>
      <c r="T47" s="249"/>
      <c r="U47" s="249"/>
      <c r="V47" s="249"/>
      <c r="W47" s="249"/>
      <c r="X47" s="249"/>
      <c r="Y47" s="249"/>
      <c r="Z47" s="250"/>
    </row>
    <row r="48" spans="4:26" ht="16.5" x14ac:dyDescent="0.3">
      <c r="D48" s="203" t="s">
        <v>133</v>
      </c>
      <c r="E48" s="211" t="s">
        <v>385</v>
      </c>
      <c r="F48" s="257" t="s">
        <v>401</v>
      </c>
      <c r="G48" s="249"/>
      <c r="H48" s="249"/>
      <c r="I48" s="249"/>
      <c r="J48" s="249"/>
      <c r="K48" s="249"/>
      <c r="L48" s="249"/>
      <c r="M48" s="249"/>
      <c r="N48" s="249"/>
      <c r="O48" s="249"/>
      <c r="P48" s="249"/>
      <c r="Q48" s="249"/>
      <c r="R48" s="249"/>
      <c r="S48" s="249"/>
      <c r="T48" s="249"/>
      <c r="U48" s="249"/>
      <c r="V48" s="249"/>
      <c r="W48" s="249"/>
      <c r="X48" s="249"/>
      <c r="Y48" s="249"/>
      <c r="Z48" s="250"/>
    </row>
    <row r="49" spans="4:26" ht="16.5" x14ac:dyDescent="0.3">
      <c r="D49" s="204"/>
      <c r="E49" s="210"/>
      <c r="F49" s="260" t="s">
        <v>402</v>
      </c>
      <c r="G49" s="251"/>
      <c r="H49" s="251"/>
      <c r="I49" s="251"/>
      <c r="J49" s="251"/>
      <c r="K49" s="251"/>
      <c r="L49" s="251"/>
      <c r="M49" s="251"/>
      <c r="N49" s="251"/>
      <c r="O49" s="251"/>
      <c r="P49" s="251"/>
      <c r="Q49" s="251"/>
      <c r="R49" s="251"/>
      <c r="S49" s="251"/>
      <c r="T49" s="251"/>
      <c r="U49" s="251"/>
      <c r="V49" s="251"/>
      <c r="W49" s="251"/>
      <c r="X49" s="251"/>
      <c r="Y49" s="251"/>
      <c r="Z49" s="252"/>
    </row>
    <row r="50" spans="4:26" ht="16.5" x14ac:dyDescent="0.3">
      <c r="D50" s="203"/>
      <c r="E50" s="211"/>
      <c r="F50" s="257"/>
      <c r="G50" s="249"/>
      <c r="H50" s="249"/>
      <c r="I50" s="249"/>
      <c r="J50" s="249"/>
      <c r="K50" s="249"/>
      <c r="L50" s="249"/>
      <c r="M50" s="249"/>
      <c r="N50" s="249"/>
      <c r="O50" s="249"/>
      <c r="P50" s="249"/>
      <c r="Q50" s="249"/>
      <c r="R50" s="249"/>
      <c r="S50" s="249"/>
      <c r="T50" s="249"/>
      <c r="U50" s="249"/>
      <c r="V50" s="249"/>
      <c r="W50" s="249"/>
      <c r="X50" s="249"/>
      <c r="Y50" s="249"/>
      <c r="Z50" s="250"/>
    </row>
    <row r="51" spans="4:26" ht="16.5" x14ac:dyDescent="0.3">
      <c r="D51" s="203"/>
      <c r="E51" s="211"/>
      <c r="F51" s="257" t="s">
        <v>404</v>
      </c>
      <c r="G51" s="249"/>
      <c r="H51" s="249"/>
      <c r="I51" s="249"/>
      <c r="J51" s="249"/>
      <c r="K51" s="249"/>
      <c r="L51" s="249"/>
      <c r="M51" s="249"/>
      <c r="N51" s="249"/>
      <c r="O51" s="249"/>
      <c r="P51" s="249"/>
      <c r="Q51" s="249"/>
      <c r="R51" s="249"/>
      <c r="S51" s="249"/>
      <c r="T51" s="249"/>
      <c r="U51" s="249"/>
      <c r="V51" s="249"/>
      <c r="W51" s="249"/>
      <c r="X51" s="249"/>
      <c r="Y51" s="249"/>
      <c r="Z51" s="250"/>
    </row>
    <row r="52" spans="4:26" ht="16.5" x14ac:dyDescent="0.3">
      <c r="D52" s="203" t="s">
        <v>135</v>
      </c>
      <c r="E52" s="211" t="s">
        <v>385</v>
      </c>
      <c r="F52" s="257" t="s">
        <v>477</v>
      </c>
      <c r="G52" s="249"/>
      <c r="H52" s="249"/>
      <c r="I52" s="249"/>
      <c r="J52" s="249"/>
      <c r="K52" s="249"/>
      <c r="L52" s="249"/>
      <c r="M52" s="249"/>
      <c r="N52" s="249"/>
      <c r="O52" s="249"/>
      <c r="P52" s="249"/>
      <c r="Q52" s="249"/>
      <c r="R52" s="249"/>
      <c r="S52" s="249"/>
      <c r="T52" s="249"/>
      <c r="U52" s="249"/>
      <c r="V52" s="249"/>
      <c r="W52" s="249"/>
      <c r="X52" s="249"/>
      <c r="Y52" s="249"/>
      <c r="Z52" s="250"/>
    </row>
    <row r="53" spans="4:26" ht="16.5" x14ac:dyDescent="0.3">
      <c r="D53" s="204"/>
      <c r="E53" s="210"/>
      <c r="F53" s="260" t="s">
        <v>478</v>
      </c>
      <c r="G53" s="251"/>
      <c r="H53" s="251"/>
      <c r="I53" s="251"/>
      <c r="J53" s="251"/>
      <c r="K53" s="251"/>
      <c r="L53" s="251"/>
      <c r="M53" s="251"/>
      <c r="N53" s="251"/>
      <c r="O53" s="251"/>
      <c r="P53" s="251"/>
      <c r="Q53" s="251"/>
      <c r="R53" s="251"/>
      <c r="S53" s="251"/>
      <c r="T53" s="251"/>
      <c r="U53" s="251"/>
      <c r="V53" s="251"/>
      <c r="W53" s="251"/>
      <c r="X53" s="251"/>
      <c r="Y53" s="251"/>
      <c r="Z53" s="252"/>
    </row>
    <row r="54" spans="4:26" ht="16.5" x14ac:dyDescent="0.3">
      <c r="D54" s="24"/>
      <c r="E54" s="33"/>
      <c r="F54" s="259"/>
      <c r="G54" s="255"/>
      <c r="H54" s="255"/>
      <c r="I54" s="255"/>
      <c r="J54" s="255"/>
      <c r="K54" s="255"/>
      <c r="L54" s="255"/>
      <c r="M54" s="255"/>
      <c r="N54" s="255"/>
      <c r="O54" s="255"/>
      <c r="P54" s="255"/>
      <c r="Q54" s="255"/>
      <c r="R54" s="255"/>
      <c r="S54" s="255"/>
      <c r="T54" s="255"/>
      <c r="U54" s="212"/>
      <c r="V54" s="212"/>
      <c r="W54" s="212"/>
      <c r="X54" s="212"/>
      <c r="Y54" s="212"/>
      <c r="Z54" s="213"/>
    </row>
    <row r="55" spans="4:26" ht="16.5" x14ac:dyDescent="0.3">
      <c r="D55" s="258" t="s">
        <v>138</v>
      </c>
      <c r="E55" s="258"/>
      <c r="F55" s="258"/>
      <c r="G55" s="258"/>
      <c r="H55" s="258"/>
      <c r="I55" s="258"/>
      <c r="J55" s="258"/>
      <c r="K55" s="258"/>
      <c r="L55" s="258"/>
      <c r="M55" s="258"/>
      <c r="N55" s="258"/>
      <c r="O55" s="258"/>
      <c r="P55" s="258"/>
      <c r="Q55" s="258"/>
      <c r="R55" s="258"/>
      <c r="S55" s="258"/>
    </row>
    <row r="56" spans="4:26" ht="16.5" x14ac:dyDescent="0.3">
      <c r="D56" s="24"/>
      <c r="E56" s="33"/>
      <c r="F56" s="24"/>
      <c r="G56" s="24"/>
      <c r="H56" s="24"/>
      <c r="I56" s="24"/>
      <c r="J56" s="24"/>
      <c r="K56" s="24"/>
      <c r="L56" s="24"/>
      <c r="M56" s="24"/>
      <c r="N56" s="24"/>
      <c r="O56" s="24"/>
      <c r="P56" s="24"/>
      <c r="Q56" s="24"/>
      <c r="R56" s="24"/>
    </row>
    <row r="57" spans="4:26" ht="16.5" x14ac:dyDescent="0.3">
      <c r="D57" s="214" t="s">
        <v>141</v>
      </c>
      <c r="E57" s="205"/>
      <c r="F57" s="216"/>
      <c r="G57" s="216"/>
      <c r="H57" s="216"/>
      <c r="I57" s="216"/>
      <c r="J57" s="216"/>
      <c r="K57" s="216"/>
      <c r="L57" s="216"/>
      <c r="M57" s="216"/>
      <c r="N57" s="216"/>
      <c r="O57" s="216"/>
      <c r="P57" s="216"/>
      <c r="Q57" s="216"/>
      <c r="R57" s="216"/>
      <c r="S57" s="217"/>
      <c r="T57" s="217"/>
      <c r="U57" s="217"/>
      <c r="V57" s="217"/>
      <c r="W57" s="217"/>
      <c r="X57" s="217"/>
      <c r="Y57" s="217"/>
      <c r="Z57" s="171"/>
    </row>
    <row r="58" spans="4:26" ht="16.5" x14ac:dyDescent="0.3">
      <c r="D58" s="173" t="s">
        <v>33</v>
      </c>
      <c r="E58" s="206" t="s">
        <v>385</v>
      </c>
      <c r="F58" s="249" t="s">
        <v>405</v>
      </c>
      <c r="G58" s="249"/>
      <c r="H58" s="249"/>
      <c r="I58" s="249"/>
      <c r="J58" s="249"/>
      <c r="K58" s="249"/>
      <c r="L58" s="249"/>
      <c r="M58" s="249"/>
      <c r="N58" s="249"/>
      <c r="O58" s="249"/>
      <c r="P58" s="249"/>
      <c r="Q58" s="249"/>
      <c r="R58" s="249"/>
      <c r="S58" s="249"/>
      <c r="T58" s="249"/>
      <c r="U58" s="249"/>
      <c r="V58" s="249"/>
      <c r="W58" s="249"/>
      <c r="X58" s="249"/>
      <c r="Y58" s="249"/>
      <c r="Z58" s="250"/>
    </row>
    <row r="59" spans="4:26" ht="16.5" x14ac:dyDescent="0.3">
      <c r="D59" s="165" t="s">
        <v>147</v>
      </c>
      <c r="E59" s="207"/>
      <c r="F59" s="251"/>
      <c r="G59" s="251"/>
      <c r="H59" s="251"/>
      <c r="I59" s="251"/>
      <c r="J59" s="251"/>
      <c r="K59" s="251"/>
      <c r="L59" s="251"/>
      <c r="M59" s="251"/>
      <c r="N59" s="251"/>
      <c r="O59" s="251"/>
      <c r="P59" s="251"/>
      <c r="Q59" s="251"/>
      <c r="R59" s="251"/>
      <c r="S59" s="251"/>
      <c r="T59" s="251"/>
      <c r="U59" s="251"/>
      <c r="V59" s="251"/>
      <c r="W59" s="251"/>
      <c r="X59" s="251"/>
      <c r="Y59" s="251"/>
      <c r="Z59" s="252"/>
    </row>
    <row r="60" spans="4:26" ht="16.5" x14ac:dyDescent="0.3">
      <c r="D60" s="193"/>
      <c r="E60" s="206"/>
      <c r="F60" s="249"/>
      <c r="G60" s="249"/>
      <c r="H60" s="249"/>
      <c r="I60" s="249"/>
      <c r="J60" s="249"/>
      <c r="K60" s="249"/>
      <c r="L60" s="249"/>
      <c r="M60" s="249"/>
      <c r="N60" s="249"/>
      <c r="O60" s="249"/>
      <c r="P60" s="249"/>
      <c r="Q60" s="249"/>
      <c r="R60" s="249"/>
      <c r="S60" s="249"/>
      <c r="T60" s="249"/>
      <c r="U60" s="249"/>
      <c r="V60" s="249"/>
      <c r="W60" s="249"/>
      <c r="X60" s="249"/>
      <c r="Y60" s="249"/>
      <c r="Z60" s="250"/>
    </row>
    <row r="61" spans="4:26" ht="16.5" x14ac:dyDescent="0.3">
      <c r="D61" s="193" t="s">
        <v>146</v>
      </c>
      <c r="E61" s="206"/>
      <c r="F61" s="249" t="s">
        <v>481</v>
      </c>
      <c r="G61" s="249"/>
      <c r="H61" s="249"/>
      <c r="I61" s="249"/>
      <c r="J61" s="249"/>
      <c r="K61" s="249"/>
      <c r="L61" s="249"/>
      <c r="M61" s="249"/>
      <c r="N61" s="249"/>
      <c r="O61" s="249"/>
      <c r="P61" s="249"/>
      <c r="Q61" s="249"/>
      <c r="R61" s="249"/>
      <c r="S61" s="249"/>
      <c r="T61" s="249"/>
      <c r="U61" s="249"/>
      <c r="V61" s="249"/>
      <c r="W61" s="249"/>
      <c r="X61" s="249"/>
      <c r="Y61" s="249"/>
      <c r="Z61" s="250"/>
    </row>
    <row r="62" spans="4:26" ht="16.5" x14ac:dyDescent="0.3">
      <c r="D62" s="165" t="s">
        <v>186</v>
      </c>
      <c r="E62" s="207" t="s">
        <v>385</v>
      </c>
      <c r="F62" s="251"/>
      <c r="G62" s="251"/>
      <c r="H62" s="251"/>
      <c r="I62" s="251"/>
      <c r="J62" s="251"/>
      <c r="K62" s="251"/>
      <c r="L62" s="251"/>
      <c r="M62" s="251"/>
      <c r="N62" s="251"/>
      <c r="O62" s="251"/>
      <c r="P62" s="251"/>
      <c r="Q62" s="251"/>
      <c r="R62" s="251"/>
      <c r="S62" s="251"/>
      <c r="T62" s="251"/>
      <c r="U62" s="251"/>
      <c r="V62" s="251"/>
      <c r="W62" s="251"/>
      <c r="X62" s="251"/>
      <c r="Y62" s="251"/>
      <c r="Z62" s="252"/>
    </row>
    <row r="63" spans="4:26" ht="16.5" x14ac:dyDescent="0.3">
      <c r="D63" s="193"/>
      <c r="E63" s="206"/>
      <c r="F63" s="249"/>
      <c r="G63" s="249"/>
      <c r="H63" s="249"/>
      <c r="I63" s="249"/>
      <c r="J63" s="249"/>
      <c r="K63" s="249"/>
      <c r="L63" s="249"/>
      <c r="M63" s="249"/>
      <c r="N63" s="249"/>
      <c r="O63" s="249"/>
      <c r="P63" s="249"/>
      <c r="Q63" s="249"/>
      <c r="R63" s="249"/>
      <c r="S63" s="249"/>
      <c r="T63" s="249"/>
      <c r="U63" s="249"/>
      <c r="V63" s="249"/>
      <c r="W63" s="249"/>
      <c r="X63" s="249"/>
      <c r="Y63" s="249"/>
      <c r="Z63" s="250"/>
    </row>
    <row r="64" spans="4:26" ht="16.5" x14ac:dyDescent="0.3">
      <c r="D64" s="193" t="s">
        <v>47</v>
      </c>
      <c r="E64" s="206"/>
      <c r="F64" s="249"/>
      <c r="G64" s="249"/>
      <c r="H64" s="249"/>
      <c r="I64" s="249"/>
      <c r="J64" s="249"/>
      <c r="K64" s="249"/>
      <c r="L64" s="249"/>
      <c r="M64" s="249"/>
      <c r="N64" s="249"/>
      <c r="O64" s="249"/>
      <c r="P64" s="249"/>
      <c r="Q64" s="249"/>
      <c r="R64" s="249"/>
      <c r="S64" s="249"/>
      <c r="T64" s="249"/>
      <c r="U64" s="249"/>
      <c r="V64" s="249"/>
      <c r="W64" s="249"/>
      <c r="X64" s="249"/>
      <c r="Y64" s="249"/>
      <c r="Z64" s="250"/>
    </row>
    <row r="65" spans="4:26" ht="16.5" x14ac:dyDescent="0.3">
      <c r="D65" s="193" t="s">
        <v>153</v>
      </c>
      <c r="E65" s="206" t="s">
        <v>385</v>
      </c>
      <c r="F65" s="249" t="s">
        <v>405</v>
      </c>
      <c r="G65" s="249"/>
      <c r="H65" s="249"/>
      <c r="I65" s="249"/>
      <c r="J65" s="249"/>
      <c r="K65" s="249"/>
      <c r="L65" s="249"/>
      <c r="M65" s="249"/>
      <c r="N65" s="249"/>
      <c r="O65" s="249"/>
      <c r="P65" s="249"/>
      <c r="Q65" s="249"/>
      <c r="R65" s="249"/>
      <c r="S65" s="249"/>
      <c r="T65" s="249"/>
      <c r="U65" s="249"/>
      <c r="V65" s="249"/>
      <c r="W65" s="249"/>
      <c r="X65" s="249"/>
      <c r="Y65" s="249"/>
      <c r="Z65" s="250"/>
    </row>
    <row r="66" spans="4:26" ht="16.5" x14ac:dyDescent="0.3">
      <c r="D66" s="193" t="s">
        <v>154</v>
      </c>
      <c r="E66" s="206"/>
      <c r="F66" s="249"/>
      <c r="G66" s="249"/>
      <c r="H66" s="249"/>
      <c r="I66" s="249"/>
      <c r="J66" s="249"/>
      <c r="K66" s="249"/>
      <c r="L66" s="249"/>
      <c r="M66" s="249"/>
      <c r="N66" s="249"/>
      <c r="O66" s="249"/>
      <c r="P66" s="249"/>
      <c r="Q66" s="249"/>
      <c r="R66" s="249"/>
      <c r="S66" s="249"/>
      <c r="T66" s="249"/>
      <c r="U66" s="249"/>
      <c r="V66" s="249"/>
      <c r="W66" s="249"/>
      <c r="X66" s="249"/>
      <c r="Y66" s="249"/>
      <c r="Z66" s="250"/>
    </row>
    <row r="67" spans="4:26" ht="16.5" x14ac:dyDescent="0.3">
      <c r="D67" s="165" t="s">
        <v>61</v>
      </c>
      <c r="E67" s="207"/>
      <c r="F67" s="251"/>
      <c r="G67" s="251"/>
      <c r="H67" s="251"/>
      <c r="I67" s="251"/>
      <c r="J67" s="251"/>
      <c r="K67" s="251"/>
      <c r="L67" s="251"/>
      <c r="M67" s="251"/>
      <c r="N67" s="251"/>
      <c r="O67" s="251"/>
      <c r="P67" s="251"/>
      <c r="Q67" s="251"/>
      <c r="R67" s="251"/>
      <c r="S67" s="251"/>
      <c r="T67" s="251"/>
      <c r="U67" s="251"/>
      <c r="V67" s="251"/>
      <c r="W67" s="251"/>
      <c r="X67" s="251"/>
      <c r="Y67" s="251"/>
      <c r="Z67" s="252"/>
    </row>
    <row r="68" spans="4:26" ht="16.5" x14ac:dyDescent="0.3">
      <c r="D68" s="193"/>
      <c r="E68" s="206"/>
      <c r="F68" s="249"/>
      <c r="G68" s="249"/>
      <c r="H68" s="249"/>
      <c r="I68" s="249"/>
      <c r="J68" s="249"/>
      <c r="K68" s="249"/>
      <c r="L68" s="249"/>
      <c r="M68" s="249"/>
      <c r="N68" s="249"/>
      <c r="O68" s="249"/>
      <c r="P68" s="249"/>
      <c r="Q68" s="249"/>
      <c r="R68" s="249"/>
      <c r="S68" s="249"/>
      <c r="T68" s="249"/>
      <c r="U68" s="249"/>
      <c r="V68" s="249"/>
      <c r="W68" s="249"/>
      <c r="X68" s="249"/>
      <c r="Y68" s="249"/>
      <c r="Z68" s="250"/>
    </row>
    <row r="69" spans="4:26" ht="16.5" x14ac:dyDescent="0.3">
      <c r="D69" s="193"/>
      <c r="E69" s="206"/>
      <c r="F69" s="249"/>
      <c r="G69" s="249"/>
      <c r="H69" s="249"/>
      <c r="I69" s="249"/>
      <c r="J69" s="249"/>
      <c r="K69" s="249"/>
      <c r="L69" s="249"/>
      <c r="M69" s="249"/>
      <c r="N69" s="249"/>
      <c r="O69" s="249"/>
      <c r="P69" s="249"/>
      <c r="Q69" s="249"/>
      <c r="R69" s="249"/>
      <c r="S69" s="249"/>
      <c r="T69" s="249"/>
      <c r="U69" s="249"/>
      <c r="V69" s="249"/>
      <c r="W69" s="249"/>
      <c r="X69" s="249"/>
      <c r="Y69" s="249"/>
      <c r="Z69" s="250"/>
    </row>
    <row r="70" spans="4:26" ht="16.5" x14ac:dyDescent="0.3">
      <c r="D70" s="193" t="s">
        <v>157</v>
      </c>
      <c r="E70" s="206"/>
      <c r="F70" s="249" t="s">
        <v>405</v>
      </c>
      <c r="G70" s="249"/>
      <c r="H70" s="249"/>
      <c r="I70" s="249"/>
      <c r="J70" s="249"/>
      <c r="K70" s="249"/>
      <c r="L70" s="249"/>
      <c r="M70" s="249"/>
      <c r="N70" s="249"/>
      <c r="O70" s="249"/>
      <c r="P70" s="249"/>
      <c r="Q70" s="249"/>
      <c r="R70" s="249"/>
      <c r="S70" s="249"/>
      <c r="T70" s="249"/>
      <c r="U70" s="249"/>
      <c r="V70" s="249"/>
      <c r="W70" s="249"/>
      <c r="X70" s="249"/>
      <c r="Y70" s="249"/>
      <c r="Z70" s="250"/>
    </row>
    <row r="71" spans="4:26" ht="16.5" x14ac:dyDescent="0.3">
      <c r="D71" s="193" t="s">
        <v>159</v>
      </c>
      <c r="E71" s="206" t="s">
        <v>385</v>
      </c>
      <c r="F71" s="253"/>
      <c r="G71" s="253"/>
      <c r="H71" s="253"/>
      <c r="I71" s="253"/>
      <c r="J71" s="253"/>
      <c r="K71" s="253"/>
      <c r="L71" s="253"/>
      <c r="M71" s="253"/>
      <c r="N71" s="253"/>
      <c r="O71" s="253"/>
      <c r="P71" s="253"/>
      <c r="Q71" s="253"/>
      <c r="R71" s="253"/>
      <c r="S71" s="253"/>
      <c r="T71" s="253"/>
      <c r="U71" s="253"/>
      <c r="V71" s="253"/>
      <c r="W71" s="253"/>
      <c r="X71" s="253"/>
      <c r="Y71" s="253"/>
      <c r="Z71" s="254"/>
    </row>
    <row r="72" spans="4:26" ht="16.5" x14ac:dyDescent="0.3">
      <c r="D72" s="165" t="s">
        <v>47</v>
      </c>
      <c r="E72" s="207"/>
      <c r="F72" s="255"/>
      <c r="G72" s="255"/>
      <c r="H72" s="255"/>
      <c r="I72" s="255"/>
      <c r="J72" s="255"/>
      <c r="K72" s="255"/>
      <c r="L72" s="255"/>
      <c r="M72" s="255"/>
      <c r="N72" s="255"/>
      <c r="O72" s="255"/>
      <c r="P72" s="255"/>
      <c r="Q72" s="255"/>
      <c r="R72" s="255"/>
      <c r="S72" s="255"/>
      <c r="T72" s="255"/>
      <c r="U72" s="255"/>
      <c r="V72" s="255"/>
      <c r="W72" s="255"/>
      <c r="X72" s="255"/>
      <c r="Y72" s="255"/>
      <c r="Z72" s="256"/>
    </row>
    <row r="73" spans="4:26" ht="16.5" x14ac:dyDescent="0.3">
      <c r="D73" s="219"/>
      <c r="E73" s="215"/>
      <c r="F73" s="266"/>
      <c r="G73" s="266"/>
      <c r="H73" s="266"/>
      <c r="I73" s="266"/>
      <c r="J73" s="266"/>
      <c r="K73" s="266"/>
      <c r="L73" s="266"/>
      <c r="M73" s="266"/>
      <c r="N73" s="266"/>
      <c r="O73" s="266"/>
      <c r="P73" s="266"/>
      <c r="Q73" s="266"/>
      <c r="R73" s="266"/>
      <c r="S73" s="266"/>
      <c r="T73" s="266"/>
      <c r="U73" s="266"/>
      <c r="V73" s="266"/>
      <c r="W73" s="266"/>
      <c r="X73" s="266"/>
      <c r="Y73" s="266"/>
      <c r="Z73" s="267"/>
    </row>
    <row r="74" spans="4:26" ht="16.5" x14ac:dyDescent="0.3">
      <c r="D74" s="268" t="s">
        <v>162</v>
      </c>
      <c r="E74" s="269"/>
      <c r="F74" s="269"/>
      <c r="G74" s="269"/>
      <c r="H74" s="269"/>
      <c r="I74" s="269"/>
      <c r="J74" s="269"/>
      <c r="K74" s="269"/>
      <c r="L74" s="269"/>
      <c r="M74" s="269"/>
      <c r="N74" s="269"/>
      <c r="O74" s="269"/>
      <c r="P74" s="269"/>
      <c r="Q74" s="269"/>
      <c r="R74" s="269"/>
      <c r="S74" s="269"/>
      <c r="T74" s="184"/>
      <c r="U74" s="184"/>
      <c r="V74" s="184"/>
      <c r="W74" s="184"/>
      <c r="X74" s="184"/>
      <c r="Y74" s="184"/>
      <c r="Z74" s="220"/>
    </row>
    <row r="75" spans="4:26" ht="16.5" x14ac:dyDescent="0.3">
      <c r="D75" s="193"/>
      <c r="E75" s="218"/>
      <c r="F75" s="194"/>
      <c r="G75" s="194"/>
      <c r="H75" s="194"/>
      <c r="I75" s="194"/>
      <c r="J75" s="194"/>
      <c r="K75" s="194"/>
      <c r="L75" s="194"/>
      <c r="M75" s="194"/>
      <c r="N75" s="194"/>
      <c r="O75" s="194"/>
      <c r="P75" s="194"/>
      <c r="Q75" s="194"/>
      <c r="R75" s="194"/>
      <c r="S75" s="184"/>
      <c r="T75" s="184"/>
      <c r="U75" s="184"/>
      <c r="V75" s="184"/>
      <c r="W75" s="184"/>
      <c r="X75" s="184"/>
      <c r="Y75" s="184"/>
      <c r="Z75" s="220"/>
    </row>
    <row r="76" spans="4:26" ht="16.5" x14ac:dyDescent="0.3">
      <c r="D76" s="219" t="s">
        <v>170</v>
      </c>
      <c r="E76" s="205"/>
      <c r="F76" s="266"/>
      <c r="G76" s="266"/>
      <c r="H76" s="266"/>
      <c r="I76" s="266"/>
      <c r="J76" s="266"/>
      <c r="K76" s="266"/>
      <c r="L76" s="266"/>
      <c r="M76" s="266"/>
      <c r="N76" s="266"/>
      <c r="O76" s="266"/>
      <c r="P76" s="266"/>
      <c r="Q76" s="266"/>
      <c r="R76" s="266"/>
      <c r="S76" s="266"/>
      <c r="T76" s="266"/>
      <c r="U76" s="266"/>
      <c r="V76" s="266"/>
      <c r="W76" s="266"/>
      <c r="X76" s="266"/>
      <c r="Y76" s="266"/>
      <c r="Z76" s="267"/>
    </row>
    <row r="77" spans="4:26" ht="16.5" x14ac:dyDescent="0.3">
      <c r="D77" s="221" t="s">
        <v>99</v>
      </c>
      <c r="E77" s="206" t="s">
        <v>385</v>
      </c>
      <c r="F77" s="249" t="s">
        <v>406</v>
      </c>
      <c r="G77" s="249"/>
      <c r="H77" s="249"/>
      <c r="I77" s="249"/>
      <c r="J77" s="249"/>
      <c r="K77" s="249"/>
      <c r="L77" s="249"/>
      <c r="M77" s="249"/>
      <c r="N77" s="249"/>
      <c r="O77" s="249"/>
      <c r="P77" s="249"/>
      <c r="Q77" s="249"/>
      <c r="R77" s="249"/>
      <c r="S77" s="249"/>
      <c r="T77" s="249"/>
      <c r="U77" s="249"/>
      <c r="V77" s="249"/>
      <c r="W77" s="249"/>
      <c r="X77" s="249"/>
      <c r="Y77" s="249"/>
      <c r="Z77" s="250"/>
    </row>
    <row r="78" spans="4:26" ht="16.5" x14ac:dyDescent="0.3">
      <c r="D78" s="193" t="s">
        <v>96</v>
      </c>
      <c r="E78" s="222"/>
      <c r="F78" s="249"/>
      <c r="G78" s="249"/>
      <c r="H78" s="249"/>
      <c r="I78" s="249"/>
      <c r="J78" s="249"/>
      <c r="K78" s="249"/>
      <c r="L78" s="249"/>
      <c r="M78" s="249"/>
      <c r="N78" s="249"/>
      <c r="O78" s="249"/>
      <c r="P78" s="249"/>
      <c r="Q78" s="249"/>
      <c r="R78" s="249"/>
      <c r="S78" s="249"/>
      <c r="T78" s="249"/>
      <c r="U78" s="249"/>
      <c r="V78" s="249"/>
      <c r="W78" s="249"/>
      <c r="X78" s="249"/>
      <c r="Y78" s="249"/>
      <c r="Z78" s="250"/>
    </row>
    <row r="79" spans="4:26" ht="16.5" x14ac:dyDescent="0.3">
      <c r="D79" s="165" t="s">
        <v>108</v>
      </c>
      <c r="E79" s="223"/>
      <c r="F79" s="251"/>
      <c r="G79" s="251"/>
      <c r="H79" s="251"/>
      <c r="I79" s="251"/>
      <c r="J79" s="251"/>
      <c r="K79" s="251"/>
      <c r="L79" s="251"/>
      <c r="M79" s="251"/>
      <c r="N79" s="251"/>
      <c r="O79" s="251"/>
      <c r="P79" s="251"/>
      <c r="Q79" s="251"/>
      <c r="R79" s="251"/>
      <c r="S79" s="251"/>
      <c r="T79" s="251"/>
      <c r="U79" s="251"/>
      <c r="V79" s="251"/>
      <c r="W79" s="251"/>
      <c r="X79" s="251"/>
      <c r="Y79" s="251"/>
      <c r="Z79" s="252"/>
    </row>
    <row r="80" spans="4:26" ht="16.5" x14ac:dyDescent="0.3">
      <c r="D80" s="193"/>
      <c r="E80" s="222"/>
      <c r="F80" s="249"/>
      <c r="G80" s="249"/>
      <c r="H80" s="249"/>
      <c r="I80" s="249"/>
      <c r="J80" s="249"/>
      <c r="K80" s="249"/>
      <c r="L80" s="249"/>
      <c r="M80" s="249"/>
      <c r="N80" s="249"/>
      <c r="O80" s="249"/>
      <c r="P80" s="249"/>
      <c r="Q80" s="249"/>
      <c r="R80" s="249"/>
      <c r="S80" s="249"/>
      <c r="T80" s="249"/>
      <c r="U80" s="249"/>
      <c r="V80" s="249"/>
      <c r="W80" s="249"/>
      <c r="X80" s="249"/>
      <c r="Y80" s="249"/>
      <c r="Z80" s="250"/>
    </row>
    <row r="81" spans="4:26" ht="16.5" x14ac:dyDescent="0.3">
      <c r="D81" s="193" t="s">
        <v>364</v>
      </c>
      <c r="E81" s="206"/>
      <c r="F81" s="249"/>
      <c r="G81" s="249"/>
      <c r="H81" s="249"/>
      <c r="I81" s="249"/>
      <c r="J81" s="249"/>
      <c r="K81" s="249"/>
      <c r="L81" s="249"/>
      <c r="M81" s="249"/>
      <c r="N81" s="249"/>
      <c r="O81" s="249"/>
      <c r="P81" s="249"/>
      <c r="Q81" s="249"/>
      <c r="R81" s="249"/>
      <c r="S81" s="249"/>
      <c r="T81" s="249"/>
      <c r="U81" s="249"/>
      <c r="V81" s="249"/>
      <c r="W81" s="249"/>
      <c r="X81" s="249"/>
      <c r="Y81" s="249"/>
      <c r="Z81" s="250"/>
    </row>
    <row r="82" spans="4:26" ht="16.5" x14ac:dyDescent="0.3">
      <c r="D82" s="193" t="s">
        <v>123</v>
      </c>
      <c r="E82" s="206" t="s">
        <v>418</v>
      </c>
      <c r="F82" s="249" t="s">
        <v>407</v>
      </c>
      <c r="G82" s="249"/>
      <c r="H82" s="249"/>
      <c r="I82" s="249"/>
      <c r="J82" s="249"/>
      <c r="K82" s="249"/>
      <c r="L82" s="249"/>
      <c r="M82" s="249"/>
      <c r="N82" s="249"/>
      <c r="O82" s="249"/>
      <c r="P82" s="249"/>
      <c r="Q82" s="249"/>
      <c r="R82" s="249"/>
      <c r="S82" s="249"/>
      <c r="T82" s="249"/>
      <c r="U82" s="249"/>
      <c r="V82" s="249"/>
      <c r="W82" s="249"/>
      <c r="X82" s="249"/>
      <c r="Y82" s="249"/>
      <c r="Z82" s="250"/>
    </row>
    <row r="83" spans="4:26" ht="16.5" x14ac:dyDescent="0.3">
      <c r="D83" s="165"/>
      <c r="E83" s="207"/>
      <c r="F83" s="251" t="s">
        <v>469</v>
      </c>
      <c r="G83" s="251"/>
      <c r="H83" s="251"/>
      <c r="I83" s="251"/>
      <c r="J83" s="251"/>
      <c r="K83" s="251"/>
      <c r="L83" s="251"/>
      <c r="M83" s="251"/>
      <c r="N83" s="251"/>
      <c r="O83" s="251"/>
      <c r="P83" s="251"/>
      <c r="Q83" s="251"/>
      <c r="R83" s="251"/>
      <c r="S83" s="251"/>
      <c r="T83" s="251"/>
      <c r="U83" s="251"/>
      <c r="V83" s="251"/>
      <c r="W83" s="251"/>
      <c r="X83" s="251"/>
      <c r="Y83" s="251"/>
      <c r="Z83" s="252"/>
    </row>
    <row r="84" spans="4:26" ht="16.5" x14ac:dyDescent="0.3">
      <c r="D84" s="193"/>
      <c r="E84" s="206"/>
      <c r="F84" s="249"/>
      <c r="G84" s="249"/>
      <c r="H84" s="249"/>
      <c r="I84" s="249"/>
      <c r="J84" s="249"/>
      <c r="K84" s="249"/>
      <c r="L84" s="249"/>
      <c r="M84" s="249"/>
      <c r="N84" s="249"/>
      <c r="O84" s="249"/>
      <c r="P84" s="249"/>
      <c r="Q84" s="249"/>
      <c r="R84" s="249"/>
      <c r="S84" s="249"/>
      <c r="T84" s="249"/>
      <c r="U84" s="249"/>
      <c r="V84" s="249"/>
      <c r="W84" s="249"/>
      <c r="X84" s="249"/>
      <c r="Y84" s="249"/>
      <c r="Z84" s="250"/>
    </row>
    <row r="85" spans="4:26" ht="16.5" x14ac:dyDescent="0.3">
      <c r="D85" s="193"/>
      <c r="E85" s="206"/>
      <c r="F85" s="249"/>
      <c r="G85" s="249"/>
      <c r="H85" s="249"/>
      <c r="I85" s="249"/>
      <c r="J85" s="249"/>
      <c r="K85" s="249"/>
      <c r="L85" s="249"/>
      <c r="M85" s="249"/>
      <c r="N85" s="249"/>
      <c r="O85" s="249"/>
      <c r="P85" s="249"/>
      <c r="Q85" s="249"/>
      <c r="R85" s="249"/>
      <c r="S85" s="249"/>
      <c r="T85" s="249"/>
      <c r="U85" s="249"/>
      <c r="V85" s="249"/>
      <c r="W85" s="249"/>
      <c r="X85" s="249"/>
      <c r="Y85" s="249"/>
      <c r="Z85" s="250"/>
    </row>
    <row r="86" spans="4:26" ht="16.5" x14ac:dyDescent="0.3">
      <c r="D86" s="165" t="s">
        <v>386</v>
      </c>
      <c r="E86" s="207" t="s">
        <v>182</v>
      </c>
      <c r="F86" s="251" t="s">
        <v>409</v>
      </c>
      <c r="G86" s="251"/>
      <c r="H86" s="251"/>
      <c r="I86" s="251"/>
      <c r="J86" s="251"/>
      <c r="K86" s="251"/>
      <c r="L86" s="251"/>
      <c r="M86" s="251"/>
      <c r="N86" s="251"/>
      <c r="O86" s="251"/>
      <c r="P86" s="251"/>
      <c r="Q86" s="251"/>
      <c r="R86" s="251"/>
      <c r="S86" s="251"/>
      <c r="T86" s="251"/>
      <c r="U86" s="251"/>
      <c r="V86" s="251"/>
      <c r="W86" s="251"/>
      <c r="X86" s="251"/>
      <c r="Y86" s="251"/>
      <c r="Z86" s="252"/>
    </row>
    <row r="87" spans="4:26" ht="16.5" x14ac:dyDescent="0.3">
      <c r="D87" s="193"/>
      <c r="E87" s="206"/>
      <c r="F87" s="249"/>
      <c r="G87" s="249"/>
      <c r="H87" s="249"/>
      <c r="I87" s="249"/>
      <c r="J87" s="249"/>
      <c r="K87" s="249"/>
      <c r="L87" s="249"/>
      <c r="M87" s="249"/>
      <c r="N87" s="249"/>
      <c r="O87" s="249"/>
      <c r="P87" s="249"/>
      <c r="Q87" s="249"/>
      <c r="R87" s="249"/>
      <c r="S87" s="249"/>
      <c r="T87" s="249"/>
      <c r="U87" s="249"/>
      <c r="V87" s="249"/>
      <c r="W87" s="249"/>
      <c r="X87" s="249"/>
      <c r="Y87" s="249"/>
      <c r="Z87" s="250"/>
    </row>
    <row r="88" spans="4:26" ht="16.5" x14ac:dyDescent="0.3">
      <c r="D88" s="193"/>
      <c r="E88" s="206"/>
      <c r="F88" s="249"/>
      <c r="G88" s="249"/>
      <c r="H88" s="249"/>
      <c r="I88" s="249"/>
      <c r="J88" s="249"/>
      <c r="K88" s="249"/>
      <c r="L88" s="249"/>
      <c r="M88" s="249"/>
      <c r="N88" s="249"/>
      <c r="O88" s="249"/>
      <c r="P88" s="249"/>
      <c r="Q88" s="249"/>
      <c r="R88" s="249"/>
      <c r="S88" s="249"/>
      <c r="T88" s="249"/>
      <c r="U88" s="249"/>
      <c r="V88" s="249"/>
      <c r="W88" s="249"/>
      <c r="X88" s="249"/>
      <c r="Y88" s="249"/>
      <c r="Z88" s="250"/>
    </row>
    <row r="89" spans="4:26" ht="16.5" x14ac:dyDescent="0.3">
      <c r="D89" s="193" t="s">
        <v>411</v>
      </c>
      <c r="E89" s="206" t="s">
        <v>417</v>
      </c>
      <c r="F89" s="249" t="s">
        <v>470</v>
      </c>
      <c r="G89" s="249"/>
      <c r="H89" s="249"/>
      <c r="I89" s="249"/>
      <c r="J89" s="249"/>
      <c r="K89" s="249"/>
      <c r="L89" s="249"/>
      <c r="M89" s="249"/>
      <c r="N89" s="249"/>
      <c r="O89" s="249"/>
      <c r="P89" s="249"/>
      <c r="Q89" s="249"/>
      <c r="R89" s="249"/>
      <c r="S89" s="249"/>
      <c r="T89" s="249"/>
      <c r="U89" s="249"/>
      <c r="V89" s="249"/>
      <c r="W89" s="249"/>
      <c r="X89" s="249"/>
      <c r="Y89" s="249"/>
      <c r="Z89" s="250"/>
    </row>
    <row r="90" spans="4:26" ht="16.5" x14ac:dyDescent="0.3">
      <c r="D90" s="165"/>
      <c r="E90" s="207"/>
      <c r="F90" s="255"/>
      <c r="G90" s="255"/>
      <c r="H90" s="255"/>
      <c r="I90" s="255"/>
      <c r="J90" s="255"/>
      <c r="K90" s="255"/>
      <c r="L90" s="255"/>
      <c r="M90" s="255"/>
      <c r="N90" s="255"/>
      <c r="O90" s="255"/>
      <c r="P90" s="255"/>
      <c r="Q90" s="255"/>
      <c r="R90" s="255"/>
      <c r="S90" s="255"/>
      <c r="T90" s="255"/>
      <c r="U90" s="255"/>
      <c r="V90" s="255"/>
      <c r="W90" s="255"/>
      <c r="X90" s="255"/>
      <c r="Y90" s="255"/>
      <c r="Z90" s="256"/>
    </row>
  </sheetData>
  <mergeCells count="65">
    <mergeCell ref="F89:Z89"/>
    <mergeCell ref="F90:Z90"/>
    <mergeCell ref="F84:Z84"/>
    <mergeCell ref="F85:Z85"/>
    <mergeCell ref="F86:Z86"/>
    <mergeCell ref="F87:Z87"/>
    <mergeCell ref="F88:Z88"/>
    <mergeCell ref="F73:Z73"/>
    <mergeCell ref="F76:Z76"/>
    <mergeCell ref="F77:Z77"/>
    <mergeCell ref="F78:Z78"/>
    <mergeCell ref="F79:Z79"/>
    <mergeCell ref="D74:S74"/>
    <mergeCell ref="F52:Z52"/>
    <mergeCell ref="F53:Z53"/>
    <mergeCell ref="F58:Z58"/>
    <mergeCell ref="F59:Z59"/>
    <mergeCell ref="F63:Z63"/>
    <mergeCell ref="F45:Z45"/>
    <mergeCell ref="F46:Z46"/>
    <mergeCell ref="F47:Z47"/>
    <mergeCell ref="F48:Z48"/>
    <mergeCell ref="F51:Z51"/>
    <mergeCell ref="F40:Z40"/>
    <mergeCell ref="F41:Z41"/>
    <mergeCell ref="F42:Z42"/>
    <mergeCell ref="F43:Z43"/>
    <mergeCell ref="F44:Z44"/>
    <mergeCell ref="F21:R21"/>
    <mergeCell ref="D23:S23"/>
    <mergeCell ref="F25:Z25"/>
    <mergeCell ref="F26:Z26"/>
    <mergeCell ref="F27:Z27"/>
    <mergeCell ref="F28:Z28"/>
    <mergeCell ref="D55:S55"/>
    <mergeCell ref="F54:T54"/>
    <mergeCell ref="F49:Z49"/>
    <mergeCell ref="F50:Z50"/>
    <mergeCell ref="F29:Z29"/>
    <mergeCell ref="F30:Z30"/>
    <mergeCell ref="F31:Z31"/>
    <mergeCell ref="F32:Z32"/>
    <mergeCell ref="F33:Z33"/>
    <mergeCell ref="F34:Z34"/>
    <mergeCell ref="F35:Z35"/>
    <mergeCell ref="F36:Z36"/>
    <mergeCell ref="F37:Z37"/>
    <mergeCell ref="F38:Z38"/>
    <mergeCell ref="F39:Z39"/>
    <mergeCell ref="F82:Z82"/>
    <mergeCell ref="F83:Z83"/>
    <mergeCell ref="F60:Z60"/>
    <mergeCell ref="F61:Z61"/>
    <mergeCell ref="F62:Z62"/>
    <mergeCell ref="F80:Z80"/>
    <mergeCell ref="F81:Z81"/>
    <mergeCell ref="F64:Z64"/>
    <mergeCell ref="F65:Z65"/>
    <mergeCell ref="F66:Z66"/>
    <mergeCell ref="F67:Z67"/>
    <mergeCell ref="F68:Z68"/>
    <mergeCell ref="F69:Z69"/>
    <mergeCell ref="F70:Z70"/>
    <mergeCell ref="F71:Z71"/>
    <mergeCell ref="F72:Z7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72"/>
  <sheetViews>
    <sheetView showGridLines="0" zoomScaleNormal="100" workbookViewId="0">
      <pane xSplit="6" ySplit="8" topLeftCell="G15" activePane="bottomRight" state="frozen"/>
      <selection pane="topRight" activeCell="H1" sqref="H1"/>
      <selection pane="bottomLeft" activeCell="A4" sqref="A4"/>
      <selection pane="bottomRight" activeCell="G13" sqref="G13"/>
    </sheetView>
  </sheetViews>
  <sheetFormatPr defaultRowHeight="15" x14ac:dyDescent="0.25"/>
  <cols>
    <col min="1" max="1" width="2.28515625" customWidth="1"/>
    <col min="2" max="2" width="1.28515625" customWidth="1"/>
    <col min="3" max="3" width="1.85546875" customWidth="1"/>
    <col min="4" max="4" width="83.5703125" customWidth="1"/>
    <col min="5" max="5" width="7" customWidth="1"/>
    <col min="6" max="6" width="7.28515625" customWidth="1"/>
    <col min="7" max="7" width="12" customWidth="1"/>
    <col min="8" max="8" width="15.42578125" customWidth="1"/>
    <col min="9" max="9" width="12" customWidth="1"/>
    <col min="10" max="10" width="11.7109375" customWidth="1"/>
    <col min="11" max="11" width="11.5703125" customWidth="1"/>
  </cols>
  <sheetData>
    <row r="6" spans="1:13" ht="26.25" x14ac:dyDescent="0.4">
      <c r="A6" s="115" t="s">
        <v>119</v>
      </c>
      <c r="B6" s="112"/>
      <c r="C6" s="112"/>
      <c r="D6" s="112"/>
      <c r="E6" s="112"/>
      <c r="F6" s="112"/>
      <c r="G6" s="112"/>
      <c r="H6" s="112"/>
      <c r="I6" s="112"/>
      <c r="J6" s="112"/>
      <c r="K6" s="112"/>
    </row>
    <row r="7" spans="1:13" x14ac:dyDescent="0.25">
      <c r="A7" s="30" t="s">
        <v>124</v>
      </c>
    </row>
    <row r="8" spans="1:13" x14ac:dyDescent="0.25">
      <c r="D8" t="s">
        <v>125</v>
      </c>
      <c r="G8">
        <v>2020</v>
      </c>
      <c r="H8">
        <f>2021</f>
        <v>2021</v>
      </c>
      <c r="I8">
        <f t="shared" ref="I8:K8" si="0">H8+1</f>
        <v>2022</v>
      </c>
      <c r="J8">
        <f t="shared" si="0"/>
        <v>2023</v>
      </c>
      <c r="K8">
        <f t="shared" si="0"/>
        <v>2024</v>
      </c>
    </row>
    <row r="9" spans="1:13" ht="16.5" x14ac:dyDescent="0.3">
      <c r="D9" s="5" t="s">
        <v>0</v>
      </c>
      <c r="E9" s="5"/>
      <c r="F9" s="5"/>
      <c r="G9" s="28">
        <v>12158.89</v>
      </c>
      <c r="H9" s="28">
        <v>11638.61</v>
      </c>
      <c r="I9" s="28">
        <v>12543.88</v>
      </c>
      <c r="J9" s="28">
        <v>14246.35</v>
      </c>
      <c r="K9" s="28">
        <v>15293.21</v>
      </c>
    </row>
    <row r="10" spans="1:13" ht="16.5" x14ac:dyDescent="0.3">
      <c r="D10" s="24" t="s">
        <v>1</v>
      </c>
      <c r="E10" s="24"/>
      <c r="F10" s="24"/>
      <c r="G10" s="28">
        <v>218</v>
      </c>
      <c r="H10" s="28">
        <v>234.67</v>
      </c>
      <c r="I10" s="28">
        <v>275.69</v>
      </c>
      <c r="J10" s="28">
        <v>308.77</v>
      </c>
      <c r="K10" s="28">
        <v>251.05</v>
      </c>
    </row>
    <row r="11" spans="1:13" x14ac:dyDescent="0.25">
      <c r="D11" s="5" t="s">
        <v>2</v>
      </c>
      <c r="E11" s="5"/>
      <c r="F11" s="5"/>
      <c r="G11" s="109">
        <f>SUM(G9:G10)</f>
        <v>12376.89</v>
      </c>
      <c r="H11" s="109">
        <f t="shared" ref="H11:K11" si="1">SUM(H9:H10)</f>
        <v>11873.28</v>
      </c>
      <c r="I11" s="109">
        <f t="shared" si="1"/>
        <v>12819.57</v>
      </c>
      <c r="J11" s="109">
        <f t="shared" si="1"/>
        <v>14555.12</v>
      </c>
      <c r="K11" s="109">
        <f t="shared" si="1"/>
        <v>15544.259999999998</v>
      </c>
    </row>
    <row r="12" spans="1:13" ht="16.5" x14ac:dyDescent="0.3">
      <c r="D12" s="24" t="s">
        <v>3</v>
      </c>
      <c r="E12" s="24"/>
      <c r="F12" s="24"/>
      <c r="G12" s="33"/>
      <c r="H12" s="33"/>
      <c r="I12" s="33"/>
      <c r="J12" s="33"/>
      <c r="K12" s="33"/>
    </row>
    <row r="13" spans="1:13" ht="16.5" x14ac:dyDescent="0.3">
      <c r="D13" s="24" t="s">
        <v>4</v>
      </c>
      <c r="E13" s="24"/>
      <c r="F13" s="24"/>
      <c r="G13" s="28">
        <v>2977.2</v>
      </c>
      <c r="H13" s="28">
        <v>2778.14</v>
      </c>
      <c r="I13" s="28">
        <v>3535.24</v>
      </c>
      <c r="J13" s="28">
        <v>5164.57</v>
      </c>
      <c r="K13" s="28">
        <v>5587.78</v>
      </c>
    </row>
    <row r="14" spans="1:13" ht="16.5" x14ac:dyDescent="0.3">
      <c r="D14" s="24" t="s">
        <v>5</v>
      </c>
      <c r="E14" s="24"/>
      <c r="F14" s="24"/>
      <c r="G14" s="28">
        <v>3448.67</v>
      </c>
      <c r="H14" s="28">
        <v>3130.16</v>
      </c>
      <c r="I14" s="28">
        <v>3259.52</v>
      </c>
      <c r="J14" s="28">
        <v>3966.92</v>
      </c>
      <c r="K14" s="28">
        <v>4379.3599999999997</v>
      </c>
      <c r="M14" s="1"/>
    </row>
    <row r="15" spans="1:13" ht="16.5" x14ac:dyDescent="0.3">
      <c r="D15" s="24" t="s">
        <v>6</v>
      </c>
      <c r="E15" s="24"/>
      <c r="F15" s="24"/>
      <c r="G15" s="28">
        <v>16.75</v>
      </c>
      <c r="H15" s="28">
        <v>17.309999999999999</v>
      </c>
      <c r="I15" s="28">
        <v>15.24</v>
      </c>
      <c r="J15" s="28">
        <v>13.55</v>
      </c>
      <c r="K15" s="28">
        <v>10.57</v>
      </c>
    </row>
    <row r="16" spans="1:13" ht="16.5" x14ac:dyDescent="0.3">
      <c r="D16" s="24" t="s">
        <v>7</v>
      </c>
      <c r="E16" s="24"/>
      <c r="F16" s="24"/>
      <c r="G16" s="28">
        <v>1129.08</v>
      </c>
      <c r="H16" s="28">
        <v>1074.21</v>
      </c>
      <c r="I16" s="28">
        <v>1080.8900000000001</v>
      </c>
      <c r="J16" s="28">
        <v>1189.22</v>
      </c>
      <c r="K16" s="28">
        <v>1213.57</v>
      </c>
    </row>
    <row r="17" spans="4:11" ht="16.5" x14ac:dyDescent="0.3">
      <c r="D17" s="4" t="s">
        <v>8</v>
      </c>
      <c r="E17" s="4"/>
      <c r="F17" s="4"/>
      <c r="G17" s="28">
        <v>1377.67</v>
      </c>
      <c r="H17" s="28">
        <v>1225.9100000000001</v>
      </c>
      <c r="I17" s="28">
        <v>1129.3</v>
      </c>
      <c r="J17" s="28">
        <v>1117.24</v>
      </c>
      <c r="K17" s="28">
        <v>1233.9000000000001</v>
      </c>
    </row>
    <row r="18" spans="4:11" ht="16.5" x14ac:dyDescent="0.3">
      <c r="D18" s="4" t="s">
        <v>9</v>
      </c>
      <c r="E18" s="4"/>
      <c r="F18" s="4"/>
      <c r="G18" s="28">
        <v>847.98</v>
      </c>
      <c r="H18" s="28">
        <v>866.65</v>
      </c>
      <c r="I18" s="28">
        <v>884.66</v>
      </c>
      <c r="J18" s="28">
        <v>877.87</v>
      </c>
      <c r="K18" s="28">
        <v>1216.73</v>
      </c>
    </row>
    <row r="19" spans="4:11" ht="16.5" x14ac:dyDescent="0.3">
      <c r="D19" s="24" t="s">
        <v>10</v>
      </c>
      <c r="E19" s="24"/>
      <c r="F19" s="24"/>
      <c r="G19" s="28">
        <v>1443.2</v>
      </c>
      <c r="H19" s="28">
        <v>1453.27</v>
      </c>
      <c r="I19" s="28">
        <v>1736.19</v>
      </c>
      <c r="J19" s="28">
        <v>1762.8</v>
      </c>
      <c r="K19" s="28">
        <v>1976.49</v>
      </c>
    </row>
    <row r="20" spans="4:11" ht="16.5" x14ac:dyDescent="0.3">
      <c r="D20" s="5" t="s">
        <v>11</v>
      </c>
      <c r="E20" s="5"/>
      <c r="F20" s="5"/>
      <c r="G20" s="28">
        <f>SUM(G13:G19)</f>
        <v>11240.55</v>
      </c>
      <c r="H20" s="28">
        <f t="shared" ref="H20:K20" si="2">SUM(H13:H19)</f>
        <v>10545.65</v>
      </c>
      <c r="I20" s="28">
        <f t="shared" si="2"/>
        <v>11641.04</v>
      </c>
      <c r="J20" s="28">
        <f t="shared" si="2"/>
        <v>14092.169999999998</v>
      </c>
      <c r="K20" s="28">
        <f t="shared" si="2"/>
        <v>15618.399999999998</v>
      </c>
    </row>
    <row r="21" spans="4:11" ht="16.5" x14ac:dyDescent="0.3">
      <c r="D21" s="24"/>
      <c r="E21" s="24"/>
      <c r="F21" s="24"/>
      <c r="G21" s="33"/>
      <c r="H21" s="33"/>
      <c r="I21" s="33"/>
      <c r="J21" s="33"/>
      <c r="K21" s="33"/>
    </row>
    <row r="22" spans="4:11" ht="16.5" x14ac:dyDescent="0.3">
      <c r="D22" s="24" t="s">
        <v>12</v>
      </c>
      <c r="E22" s="24"/>
      <c r="F22" s="24"/>
      <c r="G22" s="28">
        <v>0</v>
      </c>
      <c r="H22" s="28"/>
      <c r="I22" s="28">
        <v>0</v>
      </c>
      <c r="J22" s="28">
        <v>0</v>
      </c>
      <c r="K22" s="28">
        <v>0</v>
      </c>
    </row>
    <row r="23" spans="4:11" ht="16.5" x14ac:dyDescent="0.3">
      <c r="D23" s="24"/>
      <c r="E23" s="24"/>
      <c r="F23" s="24"/>
      <c r="G23" s="28"/>
      <c r="H23" s="28"/>
      <c r="I23" s="28"/>
      <c r="J23" s="28"/>
      <c r="K23" s="28"/>
    </row>
    <row r="24" spans="4:11" ht="16.5" x14ac:dyDescent="0.3">
      <c r="D24" s="24" t="s">
        <v>13</v>
      </c>
      <c r="E24" s="24"/>
      <c r="F24" s="24"/>
      <c r="G24" s="28">
        <v>0</v>
      </c>
      <c r="H24" s="28">
        <v>0</v>
      </c>
      <c r="I24" s="28">
        <v>0</v>
      </c>
      <c r="J24" s="28">
        <v>0</v>
      </c>
      <c r="K24" s="28">
        <v>0</v>
      </c>
    </row>
    <row r="25" spans="4:11" ht="16.5" x14ac:dyDescent="0.3">
      <c r="D25" s="24"/>
      <c r="E25" s="24"/>
      <c r="F25" s="24"/>
      <c r="G25" s="33"/>
      <c r="H25" s="33"/>
      <c r="I25" s="33"/>
      <c r="J25" s="33"/>
      <c r="K25" s="33"/>
    </row>
    <row r="26" spans="4:11" ht="16.5" x14ac:dyDescent="0.3">
      <c r="D26" s="24" t="s">
        <v>14</v>
      </c>
      <c r="E26" s="24"/>
      <c r="F26" s="24"/>
      <c r="G26" s="28">
        <v>1137.33</v>
      </c>
      <c r="H26" s="28">
        <v>1327.63</v>
      </c>
      <c r="I26" s="28">
        <v>1178.53</v>
      </c>
      <c r="J26" s="28">
        <v>462.95</v>
      </c>
      <c r="K26" s="28">
        <v>-74.14</v>
      </c>
    </row>
    <row r="27" spans="4:11" ht="16.5" x14ac:dyDescent="0.3">
      <c r="D27" s="24"/>
      <c r="E27" s="24"/>
      <c r="F27" s="24"/>
      <c r="G27" s="28"/>
      <c r="H27" s="28"/>
      <c r="I27" s="28"/>
      <c r="J27" s="28"/>
      <c r="K27" s="28"/>
    </row>
    <row r="28" spans="4:11" ht="16.5" x14ac:dyDescent="0.3">
      <c r="D28" s="24" t="s">
        <v>15</v>
      </c>
      <c r="E28" s="24"/>
      <c r="F28" s="24"/>
      <c r="G28" s="28">
        <v>630.29</v>
      </c>
      <c r="H28" s="28">
        <v>423.91</v>
      </c>
      <c r="I28" s="28">
        <v>736.95</v>
      </c>
      <c r="J28" s="28">
        <v>1276.1500000000001</v>
      </c>
      <c r="K28" s="28">
        <v>1757.27</v>
      </c>
    </row>
    <row r="29" spans="4:11" x14ac:dyDescent="0.25">
      <c r="D29" s="5" t="s">
        <v>16</v>
      </c>
      <c r="E29" s="5"/>
      <c r="F29" s="5"/>
      <c r="G29" s="109">
        <v>1766.63</v>
      </c>
      <c r="H29" s="109">
        <v>1751.54</v>
      </c>
      <c r="I29" s="109">
        <v>1915.48</v>
      </c>
      <c r="J29" s="109">
        <v>1739.1</v>
      </c>
      <c r="K29" s="109">
        <v>1683.13</v>
      </c>
    </row>
    <row r="30" spans="4:11" ht="16.5" x14ac:dyDescent="0.3">
      <c r="D30" s="24"/>
      <c r="E30" s="24"/>
      <c r="F30" s="24"/>
      <c r="G30" s="28"/>
      <c r="H30" s="28"/>
      <c r="I30" s="28"/>
      <c r="J30" s="28"/>
      <c r="K30" s="28"/>
    </row>
    <row r="31" spans="4:11" ht="16.5" x14ac:dyDescent="0.3">
      <c r="D31" s="24" t="s">
        <v>17</v>
      </c>
      <c r="E31" s="24"/>
      <c r="F31" s="24"/>
      <c r="G31" s="28"/>
      <c r="H31" s="28"/>
      <c r="I31" s="28"/>
      <c r="J31" s="28"/>
      <c r="K31" s="28"/>
    </row>
    <row r="32" spans="4:11" ht="16.5" x14ac:dyDescent="0.3">
      <c r="D32" s="24" t="s">
        <v>18</v>
      </c>
      <c r="E32" s="24"/>
      <c r="F32" s="24"/>
      <c r="G32" s="28">
        <v>328.55</v>
      </c>
      <c r="H32" s="28">
        <v>272.29000000000002</v>
      </c>
      <c r="I32" s="28">
        <v>382.27</v>
      </c>
      <c r="J32" s="28">
        <v>349.79</v>
      </c>
      <c r="K32" s="28">
        <v>364.74</v>
      </c>
    </row>
    <row r="33" spans="4:11" ht="16.5" x14ac:dyDescent="0.3">
      <c r="D33" s="24" t="s">
        <v>19</v>
      </c>
      <c r="E33" s="24"/>
      <c r="F33" s="24"/>
      <c r="G33" s="28">
        <v>130.07</v>
      </c>
      <c r="H33" s="28">
        <v>116.44</v>
      </c>
      <c r="I33" s="28">
        <v>129.13</v>
      </c>
      <c r="J33" s="28">
        <v>-8.02</v>
      </c>
      <c r="K33" s="28">
        <v>-128.9</v>
      </c>
    </row>
    <row r="34" spans="4:11" ht="16.5" x14ac:dyDescent="0.3">
      <c r="D34" s="5" t="s">
        <v>20</v>
      </c>
      <c r="E34" s="5"/>
      <c r="F34" s="5"/>
      <c r="G34" s="28">
        <f>SUM(G32:G33)</f>
        <v>458.62</v>
      </c>
      <c r="H34" s="28">
        <f t="shared" ref="H34:K34" si="3">SUM(H32:H33)</f>
        <v>388.73</v>
      </c>
      <c r="I34" s="28">
        <f t="shared" si="3"/>
        <v>511.4</v>
      </c>
      <c r="J34" s="28">
        <f t="shared" si="3"/>
        <v>341.77000000000004</v>
      </c>
      <c r="K34" s="28">
        <f t="shared" si="3"/>
        <v>235.84</v>
      </c>
    </row>
    <row r="35" spans="4:11" x14ac:dyDescent="0.25">
      <c r="D35" s="5" t="s">
        <v>21</v>
      </c>
      <c r="E35" s="5"/>
      <c r="F35" s="5"/>
      <c r="G35" s="109">
        <f>G29-G34</f>
        <v>1308.0100000000002</v>
      </c>
      <c r="H35" s="109">
        <f t="shared" ref="H35:K35" si="4">H29-H34</f>
        <v>1362.81</v>
      </c>
      <c r="I35" s="109">
        <f t="shared" si="4"/>
        <v>1404.08</v>
      </c>
      <c r="J35" s="109">
        <f t="shared" si="4"/>
        <v>1397.33</v>
      </c>
      <c r="K35" s="109">
        <f t="shared" si="4"/>
        <v>1447.2900000000002</v>
      </c>
    </row>
    <row r="36" spans="4:11" ht="16.5" x14ac:dyDescent="0.3">
      <c r="D36" s="24"/>
      <c r="E36" s="24"/>
      <c r="F36" s="24"/>
      <c r="G36" s="28"/>
      <c r="H36" s="28"/>
      <c r="I36" s="28"/>
      <c r="J36" s="28"/>
      <c r="K36" s="28"/>
    </row>
    <row r="37" spans="4:11" ht="16.5" x14ac:dyDescent="0.3">
      <c r="D37" s="24" t="s">
        <v>24</v>
      </c>
      <c r="E37" s="24"/>
      <c r="F37" s="24"/>
      <c r="G37" s="28">
        <v>41.96</v>
      </c>
      <c r="H37" s="28">
        <v>31.88</v>
      </c>
      <c r="I37" s="28">
        <v>46.01</v>
      </c>
      <c r="J37" s="28">
        <v>70.94</v>
      </c>
      <c r="K37" s="28">
        <v>70.94</v>
      </c>
    </row>
    <row r="38" spans="4:11" ht="16.5" x14ac:dyDescent="0.3">
      <c r="D38" s="24" t="s">
        <v>23</v>
      </c>
      <c r="E38" s="24"/>
      <c r="F38" s="24"/>
      <c r="G38" s="28">
        <v>1267.04</v>
      </c>
      <c r="H38" s="28">
        <v>1330.93</v>
      </c>
      <c r="I38" s="28">
        <v>1358.07</v>
      </c>
      <c r="J38" s="28">
        <v>1376.35</v>
      </c>
      <c r="K38" s="28">
        <v>1376.35</v>
      </c>
    </row>
    <row r="39" spans="4:11" ht="16.5" x14ac:dyDescent="0.3">
      <c r="D39" s="24"/>
      <c r="E39" s="24"/>
      <c r="F39" s="24"/>
      <c r="G39" s="33"/>
      <c r="H39" s="33"/>
      <c r="I39" s="33"/>
      <c r="J39" s="33"/>
      <c r="K39" s="33"/>
    </row>
    <row r="40" spans="4:11" ht="16.5" x14ac:dyDescent="0.3">
      <c r="D40" s="24"/>
      <c r="E40" s="24"/>
      <c r="F40" s="24"/>
      <c r="G40" s="33"/>
      <c r="H40" s="33"/>
      <c r="I40" s="33"/>
      <c r="J40" s="33"/>
      <c r="K40" s="33"/>
    </row>
    <row r="41" spans="4:11" ht="16.5" x14ac:dyDescent="0.3">
      <c r="D41" s="24"/>
      <c r="E41" s="24"/>
      <c r="F41" s="24"/>
      <c r="G41" s="33"/>
      <c r="H41" s="33"/>
      <c r="I41" s="33"/>
      <c r="J41" s="33"/>
      <c r="K41" s="33"/>
    </row>
    <row r="42" spans="4:11" ht="16.5" x14ac:dyDescent="0.3">
      <c r="D42" s="24" t="s">
        <v>25</v>
      </c>
      <c r="E42" s="24"/>
      <c r="F42" s="24"/>
      <c r="G42" s="33"/>
      <c r="H42" s="33"/>
      <c r="I42" s="33"/>
      <c r="J42" s="33"/>
      <c r="K42" s="33"/>
    </row>
    <row r="43" spans="4:11" ht="16.5" x14ac:dyDescent="0.3">
      <c r="D43" s="24"/>
      <c r="E43" s="24"/>
      <c r="F43" s="24"/>
      <c r="G43" s="33"/>
      <c r="H43" s="33"/>
      <c r="I43" s="33"/>
      <c r="J43" s="33"/>
      <c r="K43" s="33"/>
    </row>
    <row r="44" spans="4:11" ht="16.5" x14ac:dyDescent="0.3">
      <c r="D44" s="24" t="s">
        <v>26</v>
      </c>
      <c r="E44" s="24"/>
      <c r="F44" s="24"/>
      <c r="G44" s="33"/>
      <c r="H44" s="33"/>
      <c r="I44" s="33"/>
      <c r="J44" s="33"/>
      <c r="K44" s="33"/>
    </row>
    <row r="45" spans="4:11" ht="16.5" x14ac:dyDescent="0.3">
      <c r="D45" s="24" t="s">
        <v>27</v>
      </c>
      <c r="E45" s="24"/>
      <c r="F45" s="24"/>
      <c r="G45" s="33"/>
      <c r="H45" s="33"/>
      <c r="I45" s="33"/>
      <c r="J45" s="33"/>
      <c r="K45" s="33"/>
    </row>
    <row r="46" spans="4:11" ht="16.5" x14ac:dyDescent="0.3">
      <c r="D46" s="24" t="s">
        <v>28</v>
      </c>
      <c r="E46" s="24"/>
      <c r="F46" s="24"/>
      <c r="G46" s="28">
        <v>24504.63</v>
      </c>
      <c r="H46" s="28">
        <v>23970.959999999999</v>
      </c>
      <c r="I46" s="28">
        <v>23018.74</v>
      </c>
      <c r="J46" s="28">
        <v>22633.63</v>
      </c>
      <c r="K46" s="28">
        <v>21949.05</v>
      </c>
    </row>
    <row r="47" spans="4:11" ht="16.5" x14ac:dyDescent="0.3">
      <c r="D47" s="24" t="s">
        <v>29</v>
      </c>
      <c r="E47" s="24"/>
      <c r="F47" s="24"/>
      <c r="G47" s="28">
        <v>167.6</v>
      </c>
      <c r="H47" s="28">
        <v>133.56</v>
      </c>
      <c r="I47" s="28">
        <v>102.48</v>
      </c>
      <c r="J47" s="28">
        <v>140.41999999999999</v>
      </c>
      <c r="K47" s="28">
        <v>174.6</v>
      </c>
    </row>
    <row r="48" spans="4:11" ht="16.5" x14ac:dyDescent="0.3">
      <c r="D48" s="24" t="s">
        <v>30</v>
      </c>
      <c r="E48" s="24"/>
      <c r="F48" s="24"/>
      <c r="G48" s="28">
        <v>62.63</v>
      </c>
      <c r="H48" s="28">
        <v>62.87</v>
      </c>
      <c r="I48" s="28">
        <v>62.87</v>
      </c>
      <c r="J48" s="28">
        <v>62.87</v>
      </c>
      <c r="K48" s="28">
        <v>62.87</v>
      </c>
    </row>
    <row r="49" spans="4:11" ht="16.5" x14ac:dyDescent="0.3">
      <c r="D49" s="24" t="s">
        <v>31</v>
      </c>
      <c r="E49" s="24"/>
      <c r="F49" s="24"/>
      <c r="G49" s="28">
        <v>171.87</v>
      </c>
      <c r="H49" s="28">
        <v>163.63999999999999</v>
      </c>
      <c r="I49" s="28">
        <v>134.02000000000001</v>
      </c>
      <c r="J49" s="28">
        <v>129.38999999999999</v>
      </c>
      <c r="K49" s="28">
        <v>118.66</v>
      </c>
    </row>
    <row r="50" spans="4:11" ht="16.5" x14ac:dyDescent="0.3">
      <c r="D50" s="24" t="s">
        <v>32</v>
      </c>
      <c r="E50" s="24"/>
      <c r="F50" s="24"/>
      <c r="G50" s="28"/>
      <c r="H50" s="28"/>
      <c r="I50" s="28"/>
      <c r="J50" s="28"/>
      <c r="K50" s="28"/>
    </row>
    <row r="51" spans="4:11" ht="16.5" x14ac:dyDescent="0.3">
      <c r="D51" s="24" t="s">
        <v>33</v>
      </c>
      <c r="E51" s="24"/>
      <c r="F51" s="24"/>
      <c r="G51" s="28"/>
      <c r="H51" s="28"/>
      <c r="I51" s="28"/>
      <c r="J51" s="28"/>
      <c r="K51" s="28"/>
    </row>
    <row r="52" spans="4:11" ht="16.5" x14ac:dyDescent="0.3">
      <c r="D52" s="24" t="s">
        <v>34</v>
      </c>
      <c r="E52" s="24"/>
      <c r="F52" s="24"/>
      <c r="G52" s="28">
        <v>164.65</v>
      </c>
      <c r="H52" s="28">
        <v>139.41</v>
      </c>
      <c r="I52" s="28">
        <v>114.48</v>
      </c>
      <c r="J52" s="28">
        <v>76.989999999999995</v>
      </c>
      <c r="K52" s="28">
        <v>51.58</v>
      </c>
    </row>
    <row r="53" spans="4:11" ht="16.5" x14ac:dyDescent="0.3">
      <c r="D53" s="24" t="s">
        <v>35</v>
      </c>
      <c r="E53" s="24"/>
      <c r="F53" s="24"/>
      <c r="G53" s="28">
        <v>40.69</v>
      </c>
      <c r="H53" s="28">
        <v>6.43</v>
      </c>
      <c r="I53" s="28">
        <v>6.21</v>
      </c>
      <c r="J53" s="28">
        <v>6.26</v>
      </c>
      <c r="K53" s="28">
        <v>6.57</v>
      </c>
    </row>
    <row r="54" spans="4:11" ht="16.5" x14ac:dyDescent="0.3">
      <c r="D54" s="24" t="s">
        <v>36</v>
      </c>
      <c r="E54" s="24"/>
      <c r="F54" s="24"/>
      <c r="G54" s="28">
        <v>55.65</v>
      </c>
      <c r="H54" s="28">
        <v>101.09</v>
      </c>
      <c r="I54" s="28">
        <v>218.41</v>
      </c>
      <c r="J54" s="28">
        <v>231.65</v>
      </c>
      <c r="K54" s="28">
        <v>276.66000000000003</v>
      </c>
    </row>
    <row r="55" spans="4:11" ht="16.5" x14ac:dyDescent="0.3">
      <c r="D55" s="24" t="s">
        <v>37</v>
      </c>
      <c r="E55" s="24"/>
      <c r="F55" s="24"/>
      <c r="G55" s="28">
        <v>148.25</v>
      </c>
      <c r="H55" s="28">
        <v>194.13</v>
      </c>
      <c r="I55" s="28">
        <v>360.62</v>
      </c>
      <c r="J55" s="28">
        <v>283.87</v>
      </c>
      <c r="K55" s="28">
        <v>395.87</v>
      </c>
    </row>
    <row r="56" spans="4:11" x14ac:dyDescent="0.25">
      <c r="D56" s="5" t="s">
        <v>38</v>
      </c>
      <c r="E56" s="5"/>
      <c r="F56" s="5"/>
      <c r="G56" s="109">
        <f>SUM(G46:G55)</f>
        <v>25315.97</v>
      </c>
      <c r="H56" s="109">
        <f t="shared" ref="H56:K56" si="5">SUM(H46:H55)</f>
        <v>24772.09</v>
      </c>
      <c r="I56" s="109">
        <f t="shared" si="5"/>
        <v>24017.829999999998</v>
      </c>
      <c r="J56" s="109">
        <f t="shared" si="5"/>
        <v>23565.079999999998</v>
      </c>
      <c r="K56" s="109">
        <f t="shared" si="5"/>
        <v>23035.859999999997</v>
      </c>
    </row>
    <row r="57" spans="4:11" ht="16.5" x14ac:dyDescent="0.3">
      <c r="D57" s="24"/>
      <c r="E57" s="24"/>
      <c r="F57" s="24"/>
      <c r="G57" s="28"/>
      <c r="H57" s="28"/>
      <c r="I57" s="28"/>
      <c r="J57" s="28"/>
      <c r="K57" s="28"/>
    </row>
    <row r="58" spans="4:11" ht="16.5" x14ac:dyDescent="0.3">
      <c r="D58" s="24"/>
      <c r="E58" s="24"/>
      <c r="F58" s="24"/>
      <c r="G58" s="28"/>
      <c r="H58" s="28"/>
      <c r="I58" s="28"/>
      <c r="J58" s="28"/>
      <c r="K58" s="28"/>
    </row>
    <row r="59" spans="4:11" ht="16.5" x14ac:dyDescent="0.3">
      <c r="D59" s="24" t="s">
        <v>39</v>
      </c>
      <c r="E59" s="24"/>
      <c r="F59" s="24"/>
      <c r="G59" s="28"/>
      <c r="H59" s="28"/>
      <c r="I59" s="28"/>
      <c r="J59" s="28"/>
      <c r="K59" s="28"/>
    </row>
    <row r="60" spans="4:11" ht="16.5" x14ac:dyDescent="0.3">
      <c r="D60" s="24" t="s">
        <v>40</v>
      </c>
      <c r="E60" s="24"/>
      <c r="F60" s="24"/>
      <c r="G60" s="28">
        <v>720.17</v>
      </c>
      <c r="H60" s="28">
        <v>597.66999999999996</v>
      </c>
      <c r="I60" s="28">
        <v>659.42</v>
      </c>
      <c r="J60" s="28">
        <v>880.22</v>
      </c>
      <c r="K60" s="28">
        <v>878.49</v>
      </c>
    </row>
    <row r="61" spans="4:11" ht="16.5" x14ac:dyDescent="0.3">
      <c r="D61" s="24" t="s">
        <v>33</v>
      </c>
      <c r="E61" s="24"/>
      <c r="F61" s="24"/>
      <c r="G61" s="28"/>
      <c r="H61" s="28"/>
      <c r="I61" s="28"/>
      <c r="J61" s="28"/>
      <c r="K61" s="28"/>
    </row>
    <row r="62" spans="4:11" ht="16.5" x14ac:dyDescent="0.3">
      <c r="D62" s="24" t="s">
        <v>34</v>
      </c>
      <c r="E62" s="24"/>
      <c r="F62" s="24"/>
      <c r="G62" s="28">
        <v>15.01</v>
      </c>
      <c r="H62" s="28">
        <v>168.96</v>
      </c>
      <c r="I62" s="28">
        <v>345.16</v>
      </c>
      <c r="J62" s="28">
        <v>0</v>
      </c>
      <c r="K62" s="28">
        <v>5.07</v>
      </c>
    </row>
    <row r="63" spans="4:11" ht="16.5" x14ac:dyDescent="0.3">
      <c r="D63" s="24" t="s">
        <v>41</v>
      </c>
      <c r="E63" s="24"/>
      <c r="F63" s="24"/>
      <c r="G63" s="28">
        <v>1839.18</v>
      </c>
      <c r="H63" s="28">
        <v>2314.98</v>
      </c>
      <c r="I63" s="28">
        <v>2095.4899999999998</v>
      </c>
      <c r="J63" s="28">
        <v>2191.52</v>
      </c>
      <c r="K63" s="28">
        <v>2256.42</v>
      </c>
    </row>
    <row r="64" spans="4:11" ht="16.5" x14ac:dyDescent="0.3">
      <c r="D64" s="24" t="s">
        <v>42</v>
      </c>
      <c r="E64" s="24"/>
      <c r="F64" s="24"/>
      <c r="G64" s="28">
        <v>1262.4100000000001</v>
      </c>
      <c r="H64" s="28">
        <v>839.6</v>
      </c>
      <c r="I64" s="28">
        <v>2152.6999999999998</v>
      </c>
      <c r="J64" s="28">
        <v>1129.2</v>
      </c>
      <c r="K64" s="28">
        <v>1275.3800000000001</v>
      </c>
    </row>
    <row r="65" spans="4:11" ht="16.5" x14ac:dyDescent="0.3">
      <c r="D65" s="24" t="s">
        <v>43</v>
      </c>
      <c r="E65" s="24"/>
      <c r="F65" s="24"/>
      <c r="G65" s="28">
        <v>716.19</v>
      </c>
      <c r="H65" s="28">
        <v>1018.33</v>
      </c>
      <c r="I65" s="28">
        <v>1096.76</v>
      </c>
      <c r="J65" s="28">
        <v>1459.15</v>
      </c>
      <c r="K65" s="28">
        <v>1435.97</v>
      </c>
    </row>
    <row r="66" spans="4:11" ht="16.5" x14ac:dyDescent="0.3">
      <c r="D66" s="24" t="s">
        <v>35</v>
      </c>
      <c r="E66" s="24"/>
      <c r="F66" s="24"/>
      <c r="G66" s="28">
        <v>17.52</v>
      </c>
      <c r="H66" s="28">
        <v>1.23</v>
      </c>
      <c r="I66" s="28">
        <v>16.09</v>
      </c>
      <c r="J66" s="28">
        <v>1.49</v>
      </c>
      <c r="K66" s="28">
        <v>1.86</v>
      </c>
    </row>
    <row r="67" spans="4:11" ht="16.5" x14ac:dyDescent="0.3">
      <c r="D67" s="24" t="s">
        <v>36</v>
      </c>
      <c r="E67" s="24"/>
      <c r="F67" s="24"/>
      <c r="G67" s="28">
        <v>192.07</v>
      </c>
      <c r="H67" s="28">
        <v>236.09</v>
      </c>
      <c r="I67" s="28">
        <v>237.49</v>
      </c>
      <c r="J67" s="28">
        <v>288.19</v>
      </c>
      <c r="K67" s="28">
        <v>322.70999999999998</v>
      </c>
    </row>
    <row r="68" spans="4:11" ht="16.5" x14ac:dyDescent="0.3">
      <c r="D68" s="24" t="s">
        <v>44</v>
      </c>
      <c r="E68" s="24"/>
      <c r="F68" s="24"/>
      <c r="G68" s="28">
        <v>24.06</v>
      </c>
      <c r="H68" s="28">
        <v>3.39</v>
      </c>
      <c r="I68" s="28">
        <v>16.03</v>
      </c>
      <c r="J68" s="28">
        <v>11.42</v>
      </c>
      <c r="K68" s="28">
        <v>26.47</v>
      </c>
    </row>
    <row r="69" spans="4:11" ht="16.5" x14ac:dyDescent="0.3">
      <c r="D69" s="24" t="s">
        <v>45</v>
      </c>
      <c r="E69" s="24"/>
      <c r="F69" s="24"/>
      <c r="G69" s="28">
        <v>419.18</v>
      </c>
      <c r="H69" s="28">
        <v>417.15</v>
      </c>
      <c r="I69" s="28">
        <v>466.06</v>
      </c>
      <c r="J69" s="28">
        <v>573.95000000000005</v>
      </c>
      <c r="K69" s="28">
        <v>394.56</v>
      </c>
    </row>
    <row r="70" spans="4:11" x14ac:dyDescent="0.25">
      <c r="D70" s="2" t="s">
        <v>46</v>
      </c>
      <c r="E70" s="5"/>
      <c r="F70" s="5"/>
      <c r="G70" s="109">
        <f>SUM(G60:G69)</f>
        <v>5205.7900000000018</v>
      </c>
      <c r="H70" s="109">
        <f t="shared" ref="H70:K70" si="6">SUM(H60:H69)</f>
        <v>5597.4</v>
      </c>
      <c r="I70" s="109">
        <f t="shared" si="6"/>
        <v>7085.2</v>
      </c>
      <c r="J70" s="109">
        <f t="shared" si="6"/>
        <v>6535.1399999999994</v>
      </c>
      <c r="K70" s="109">
        <f t="shared" si="6"/>
        <v>6596.9300000000012</v>
      </c>
    </row>
    <row r="71" spans="4:11" ht="16.5" x14ac:dyDescent="0.3">
      <c r="D71" s="2"/>
      <c r="E71" s="24"/>
      <c r="F71" s="24"/>
      <c r="G71" s="28"/>
      <c r="H71" s="28"/>
      <c r="I71" s="28"/>
      <c r="J71" s="28"/>
      <c r="K71" s="28"/>
    </row>
    <row r="72" spans="4:11" ht="16.5" x14ac:dyDescent="0.3">
      <c r="D72" s="24" t="s">
        <v>47</v>
      </c>
      <c r="E72" s="24"/>
      <c r="F72" s="24"/>
      <c r="G72" s="28">
        <v>4935.26</v>
      </c>
      <c r="H72" s="28">
        <v>5492.04</v>
      </c>
      <c r="I72" s="28">
        <v>6390.44</v>
      </c>
      <c r="J72" s="28">
        <v>7611.67</v>
      </c>
      <c r="K72" s="28">
        <v>7534.99</v>
      </c>
    </row>
    <row r="73" spans="4:11" x14ac:dyDescent="0.25">
      <c r="D73" s="5" t="s">
        <v>48</v>
      </c>
      <c r="E73" s="5"/>
      <c r="F73" s="5"/>
      <c r="G73" s="109">
        <f>SUM(G56,G70,G72)</f>
        <v>35457.020000000004</v>
      </c>
      <c r="H73" s="109">
        <f t="shared" ref="H73:K73" si="7">SUM(H56,H70,H72)</f>
        <v>35861.53</v>
      </c>
      <c r="I73" s="109">
        <f t="shared" si="7"/>
        <v>37493.47</v>
      </c>
      <c r="J73" s="109">
        <f t="shared" si="7"/>
        <v>37711.89</v>
      </c>
      <c r="K73" s="109">
        <f t="shared" si="7"/>
        <v>37167.78</v>
      </c>
    </row>
    <row r="74" spans="4:11" ht="16.5" x14ac:dyDescent="0.3">
      <c r="D74" s="24"/>
      <c r="E74" s="24"/>
      <c r="F74" s="24"/>
      <c r="G74" s="33"/>
      <c r="H74" s="33"/>
      <c r="I74" s="33"/>
      <c r="J74" s="33"/>
      <c r="K74" s="33"/>
    </row>
    <row r="75" spans="4:11" ht="16.5" x14ac:dyDescent="0.3">
      <c r="D75" s="24"/>
      <c r="E75" s="24"/>
      <c r="F75" s="24"/>
      <c r="G75" s="33"/>
      <c r="H75" s="33"/>
      <c r="I75" s="33"/>
      <c r="J75" s="33"/>
      <c r="K75" s="33"/>
    </row>
    <row r="76" spans="4:11" ht="16.5" x14ac:dyDescent="0.3">
      <c r="D76" s="24" t="s">
        <v>49</v>
      </c>
      <c r="E76" s="24"/>
      <c r="F76" s="24"/>
      <c r="G76" s="33"/>
      <c r="H76" s="33"/>
      <c r="I76" s="33"/>
      <c r="J76" s="33"/>
      <c r="K76" s="33"/>
    </row>
    <row r="77" spans="4:11" ht="16.5" x14ac:dyDescent="0.3">
      <c r="D77" s="24" t="s">
        <v>50</v>
      </c>
      <c r="E77" s="24"/>
      <c r="F77" s="24"/>
      <c r="G77" s="33"/>
      <c r="H77" s="33"/>
      <c r="I77" s="33"/>
      <c r="J77" s="33"/>
      <c r="K77" s="33"/>
    </row>
    <row r="78" spans="4:11" ht="16.5" x14ac:dyDescent="0.3">
      <c r="D78" s="24" t="s">
        <v>51</v>
      </c>
      <c r="E78" s="24"/>
      <c r="F78" s="24"/>
      <c r="G78" s="28">
        <v>133.22</v>
      </c>
      <c r="H78" s="28">
        <v>133.22</v>
      </c>
      <c r="I78" s="28">
        <v>133.22</v>
      </c>
      <c r="J78" s="28">
        <v>133.22</v>
      </c>
      <c r="K78" s="28">
        <v>133.22</v>
      </c>
    </row>
    <row r="79" spans="4:11" ht="16.5" x14ac:dyDescent="0.3">
      <c r="D79" s="24" t="s">
        <v>52</v>
      </c>
      <c r="E79" s="24"/>
      <c r="F79" s="24"/>
      <c r="G79" s="28">
        <v>9278.42</v>
      </c>
      <c r="H79" s="28">
        <v>9739.56</v>
      </c>
      <c r="I79" s="28">
        <v>10263.209999999999</v>
      </c>
      <c r="J79" s="28">
        <v>10777.15</v>
      </c>
      <c r="K79" s="28">
        <v>11312.42</v>
      </c>
    </row>
    <row r="80" spans="4:11" ht="16.5" x14ac:dyDescent="0.3">
      <c r="D80" s="24" t="s">
        <v>22</v>
      </c>
      <c r="E80" s="24"/>
      <c r="F80" s="24"/>
      <c r="G80" s="28">
        <v>364.53</v>
      </c>
      <c r="H80" s="28">
        <v>396.31</v>
      </c>
      <c r="I80" s="28">
        <v>434.16</v>
      </c>
      <c r="J80" s="28">
        <v>478.73</v>
      </c>
      <c r="K80" s="28">
        <v>539.71</v>
      </c>
    </row>
    <row r="81" spans="4:11" x14ac:dyDescent="0.25">
      <c r="D81" s="5" t="s">
        <v>53</v>
      </c>
      <c r="E81" s="5"/>
      <c r="F81" s="5"/>
      <c r="G81" s="109">
        <f>SUM(G78:G80)</f>
        <v>9776.17</v>
      </c>
      <c r="H81" s="109">
        <f t="shared" ref="H81:K81" si="8">SUM(H78:H80)</f>
        <v>10269.089999999998</v>
      </c>
      <c r="I81" s="109">
        <f t="shared" si="8"/>
        <v>10830.589999999998</v>
      </c>
      <c r="J81" s="109">
        <f t="shared" si="8"/>
        <v>11389.099999999999</v>
      </c>
      <c r="K81" s="109">
        <f t="shared" si="8"/>
        <v>11985.349999999999</v>
      </c>
    </row>
    <row r="82" spans="4:11" ht="16.5" x14ac:dyDescent="0.3">
      <c r="D82" s="24"/>
      <c r="E82" s="24"/>
      <c r="F82" s="24"/>
      <c r="G82" s="28"/>
      <c r="H82" s="28"/>
      <c r="I82" s="28"/>
      <c r="J82" s="28"/>
      <c r="K82" s="28"/>
    </row>
    <row r="83" spans="4:11" ht="16.5" x14ac:dyDescent="0.3">
      <c r="D83" s="24" t="s">
        <v>54</v>
      </c>
      <c r="E83" s="24"/>
      <c r="F83" s="24"/>
      <c r="G83" s="28"/>
      <c r="H83" s="28"/>
      <c r="I83" s="28"/>
      <c r="J83" s="28"/>
      <c r="K83" s="28"/>
    </row>
    <row r="84" spans="4:11" ht="16.5" x14ac:dyDescent="0.3">
      <c r="D84" s="24" t="s">
        <v>55</v>
      </c>
      <c r="E84" s="24"/>
      <c r="F84" s="24"/>
      <c r="G84" s="28"/>
      <c r="H84" s="28"/>
      <c r="I84" s="28"/>
      <c r="J84" s="28"/>
      <c r="K84" s="28"/>
    </row>
    <row r="85" spans="4:11" ht="16.5" x14ac:dyDescent="0.3">
      <c r="D85" s="24" t="s">
        <v>56</v>
      </c>
      <c r="E85" s="24"/>
      <c r="F85" s="24"/>
      <c r="G85" s="28"/>
      <c r="H85" s="28"/>
      <c r="I85" s="28"/>
      <c r="J85" s="28"/>
      <c r="K85" s="28"/>
    </row>
    <row r="86" spans="4:11" ht="16.5" x14ac:dyDescent="0.3">
      <c r="D86" s="24" t="s">
        <v>57</v>
      </c>
      <c r="E86" s="24"/>
      <c r="F86" s="24"/>
      <c r="G86" s="28">
        <v>9760.11</v>
      </c>
      <c r="H86" s="28">
        <v>10898.78</v>
      </c>
      <c r="I86" s="28">
        <v>10576.98</v>
      </c>
      <c r="J86" s="28">
        <v>9568.91</v>
      </c>
      <c r="K86" s="28">
        <v>10856.11</v>
      </c>
    </row>
    <row r="87" spans="4:11" ht="16.5" x14ac:dyDescent="0.3">
      <c r="D87" s="24" t="s">
        <v>116</v>
      </c>
      <c r="E87" s="24"/>
      <c r="F87" s="24"/>
      <c r="G87" s="28">
        <v>0</v>
      </c>
      <c r="H87" s="28">
        <v>203.76</v>
      </c>
      <c r="I87" s="28">
        <v>188.83</v>
      </c>
      <c r="J87" s="28">
        <v>166.57</v>
      </c>
      <c r="K87" s="28">
        <v>148.1</v>
      </c>
    </row>
    <row r="88" spans="4:11" ht="16.5" x14ac:dyDescent="0.3">
      <c r="D88" s="24" t="s">
        <v>58</v>
      </c>
      <c r="E88" s="24"/>
      <c r="F88" s="24"/>
      <c r="G88" s="28"/>
      <c r="H88" s="28"/>
      <c r="I88" s="28"/>
      <c r="J88" s="28"/>
      <c r="K88" s="28"/>
    </row>
    <row r="89" spans="4:11" ht="16.5" x14ac:dyDescent="0.3">
      <c r="D89" s="24" t="s">
        <v>59</v>
      </c>
      <c r="E89" s="24"/>
      <c r="F89" s="24"/>
      <c r="G89" s="28">
        <v>0</v>
      </c>
      <c r="H89" s="28">
        <v>0</v>
      </c>
      <c r="I89" s="28">
        <v>0</v>
      </c>
      <c r="J89" s="28">
        <v>0</v>
      </c>
      <c r="K89" s="28">
        <v>0</v>
      </c>
    </row>
    <row r="90" spans="4:11" ht="16.5" x14ac:dyDescent="0.3">
      <c r="D90" s="24" t="s">
        <v>60</v>
      </c>
      <c r="E90" s="24"/>
      <c r="F90" s="24"/>
      <c r="G90" s="28">
        <v>71.650000000000006</v>
      </c>
      <c r="H90" s="28">
        <v>64.14</v>
      </c>
      <c r="I90" s="28">
        <v>63.98</v>
      </c>
      <c r="J90" s="28">
        <v>62.65</v>
      </c>
      <c r="K90" s="28">
        <v>57.86</v>
      </c>
    </row>
    <row r="91" spans="4:11" ht="16.5" x14ac:dyDescent="0.3">
      <c r="D91" s="24" t="s">
        <v>61</v>
      </c>
      <c r="E91" s="24"/>
      <c r="F91" s="24"/>
      <c r="G91" s="28">
        <v>1887.69</v>
      </c>
      <c r="H91" s="28">
        <v>1997.65</v>
      </c>
      <c r="I91" s="28">
        <v>1860.56</v>
      </c>
      <c r="J91" s="28">
        <v>2007.26</v>
      </c>
      <c r="K91" s="28">
        <v>2157.46</v>
      </c>
    </row>
    <row r="92" spans="4:11" ht="16.5" x14ac:dyDescent="0.3">
      <c r="D92" s="24" t="s">
        <v>36</v>
      </c>
      <c r="E92" s="24"/>
      <c r="F92" s="24"/>
      <c r="G92" s="28">
        <v>345.52</v>
      </c>
      <c r="H92" s="28">
        <v>66.95</v>
      </c>
      <c r="I92" s="28">
        <v>66.58</v>
      </c>
      <c r="J92" s="28">
        <v>66.7</v>
      </c>
      <c r="K92" s="28">
        <v>66.150000000000006</v>
      </c>
    </row>
    <row r="93" spans="4:11" ht="16.5" x14ac:dyDescent="0.3">
      <c r="D93" s="24" t="s">
        <v>62</v>
      </c>
      <c r="E93" s="24"/>
      <c r="F93" s="24"/>
      <c r="G93" s="28">
        <v>424.67</v>
      </c>
      <c r="H93" s="28">
        <v>475.95</v>
      </c>
      <c r="I93" s="28">
        <v>498</v>
      </c>
      <c r="J93" s="28">
        <v>514.88</v>
      </c>
      <c r="K93" s="28">
        <v>538.53</v>
      </c>
    </row>
    <row r="94" spans="4:11" ht="16.5" x14ac:dyDescent="0.3">
      <c r="D94" s="24" t="s">
        <v>63</v>
      </c>
      <c r="E94" s="24"/>
      <c r="F94" s="24"/>
      <c r="G94" s="28">
        <v>4042.28</v>
      </c>
      <c r="H94" s="28">
        <v>4158.34</v>
      </c>
      <c r="I94" s="28">
        <v>4287.5200000000004</v>
      </c>
      <c r="J94" s="28">
        <v>4279.45</v>
      </c>
      <c r="K94" s="28">
        <v>4150.4799999999996</v>
      </c>
    </row>
    <row r="95" spans="4:11" ht="16.5" x14ac:dyDescent="0.3">
      <c r="D95" s="24" t="s">
        <v>64</v>
      </c>
      <c r="E95" s="24"/>
      <c r="F95" s="24"/>
      <c r="G95" s="28">
        <v>195.39</v>
      </c>
      <c r="H95" s="28">
        <v>191.32</v>
      </c>
      <c r="I95" s="28">
        <v>285.97000000000003</v>
      </c>
      <c r="J95" s="28">
        <v>272.20999999999998</v>
      </c>
      <c r="K95" s="28">
        <v>262.77999999999997</v>
      </c>
    </row>
    <row r="96" spans="4:11" x14ac:dyDescent="0.25">
      <c r="D96" s="2" t="s">
        <v>66</v>
      </c>
      <c r="E96" s="5"/>
      <c r="F96" s="5"/>
      <c r="G96" s="109">
        <f>SUM(G86:G95)</f>
        <v>16727.310000000001</v>
      </c>
      <c r="H96" s="109">
        <f t="shared" ref="H96:K96" si="9">SUM(H86:H95)</f>
        <v>18056.89</v>
      </c>
      <c r="I96" s="109">
        <f t="shared" si="9"/>
        <v>17828.419999999998</v>
      </c>
      <c r="J96" s="109">
        <f t="shared" si="9"/>
        <v>16938.629999999997</v>
      </c>
      <c r="K96" s="109">
        <f t="shared" si="9"/>
        <v>18237.47</v>
      </c>
    </row>
    <row r="97" spans="4:13" ht="16.5" x14ac:dyDescent="0.3">
      <c r="D97" s="24"/>
      <c r="E97" s="24"/>
      <c r="F97" s="24"/>
      <c r="G97" s="33"/>
      <c r="H97" s="33"/>
      <c r="I97" s="33"/>
      <c r="J97" s="33"/>
      <c r="K97" s="33"/>
    </row>
    <row r="98" spans="4:13" ht="16.5" x14ac:dyDescent="0.3">
      <c r="D98" s="24" t="s">
        <v>67</v>
      </c>
      <c r="E98" s="24"/>
      <c r="F98" s="24"/>
      <c r="G98" s="33"/>
      <c r="H98" s="33"/>
      <c r="I98" s="33"/>
      <c r="J98" s="33"/>
      <c r="K98" s="33"/>
    </row>
    <row r="99" spans="4:13" ht="16.5" x14ac:dyDescent="0.3">
      <c r="D99" s="24" t="s">
        <v>56</v>
      </c>
      <c r="E99" s="24"/>
      <c r="F99" s="24"/>
      <c r="G99" s="33"/>
      <c r="H99" s="33"/>
      <c r="I99" s="33"/>
      <c r="J99" s="33"/>
      <c r="K99" s="33"/>
    </row>
    <row r="100" spans="4:13" ht="16.5" x14ac:dyDescent="0.3">
      <c r="D100" s="24" t="s">
        <v>57</v>
      </c>
      <c r="E100" s="24"/>
      <c r="F100" s="24"/>
      <c r="G100" s="28">
        <v>2421.4899999999998</v>
      </c>
      <c r="H100" s="28">
        <v>3142.71</v>
      </c>
      <c r="I100" s="28">
        <v>4161.91</v>
      </c>
      <c r="J100" s="28">
        <v>4493.54</v>
      </c>
      <c r="K100" s="28">
        <v>3506.97</v>
      </c>
    </row>
    <row r="101" spans="4:13" ht="16.5" x14ac:dyDescent="0.3">
      <c r="D101" s="24" t="s">
        <v>116</v>
      </c>
      <c r="E101" s="24"/>
      <c r="F101" s="24"/>
      <c r="G101" s="28">
        <v>0</v>
      </c>
      <c r="H101" s="28">
        <v>31.83</v>
      </c>
      <c r="I101" s="28">
        <v>33.08</v>
      </c>
      <c r="J101" s="28">
        <v>33.82</v>
      </c>
      <c r="K101" s="28">
        <v>32.450000000000003</v>
      </c>
    </row>
    <row r="102" spans="4:13" ht="16.5" x14ac:dyDescent="0.3">
      <c r="D102" s="24" t="s">
        <v>58</v>
      </c>
      <c r="E102" s="24"/>
      <c r="F102" s="24"/>
      <c r="G102" s="28"/>
      <c r="H102" s="28"/>
      <c r="I102" s="28"/>
      <c r="J102" s="28"/>
      <c r="K102" s="28"/>
    </row>
    <row r="103" spans="4:13" ht="16.5" x14ac:dyDescent="0.3">
      <c r="D103" s="24" t="s">
        <v>59</v>
      </c>
      <c r="E103" s="24"/>
      <c r="F103" s="24"/>
      <c r="G103" s="28">
        <v>19.32</v>
      </c>
      <c r="H103" s="28">
        <v>39.92</v>
      </c>
      <c r="I103" s="28">
        <v>44.83</v>
      </c>
      <c r="J103" s="28">
        <v>43.73</v>
      </c>
      <c r="K103" s="28">
        <v>39.630000000000003</v>
      </c>
    </row>
    <row r="104" spans="4:13" ht="16.5" x14ac:dyDescent="0.3">
      <c r="D104" s="24" t="s">
        <v>70</v>
      </c>
      <c r="E104" s="24"/>
      <c r="F104" s="24"/>
      <c r="G104" s="28">
        <v>796.74</v>
      </c>
      <c r="H104" s="28">
        <v>892.35</v>
      </c>
      <c r="I104" s="28">
        <v>996.75</v>
      </c>
      <c r="J104" s="28">
        <v>1046.0899999999999</v>
      </c>
      <c r="K104" s="28">
        <v>1232.31</v>
      </c>
    </row>
    <row r="105" spans="4:13" ht="16.5" x14ac:dyDescent="0.3">
      <c r="D105" s="24" t="s">
        <v>36</v>
      </c>
      <c r="E105" s="24"/>
      <c r="F105" s="24"/>
      <c r="G105" s="28">
        <v>3147.9</v>
      </c>
      <c r="H105" s="28">
        <v>819.03</v>
      </c>
      <c r="I105" s="28">
        <v>855.17</v>
      </c>
      <c r="J105" s="28">
        <v>894.36</v>
      </c>
      <c r="K105" s="28">
        <v>1024.29</v>
      </c>
    </row>
    <row r="106" spans="4:13" ht="16.5" x14ac:dyDescent="0.3">
      <c r="D106" s="24" t="s">
        <v>68</v>
      </c>
      <c r="E106" s="24"/>
      <c r="F106" s="24"/>
      <c r="G106" s="28">
        <v>645.33000000000004</v>
      </c>
      <c r="H106" s="28">
        <v>575.07000000000005</v>
      </c>
      <c r="I106" s="28">
        <v>583.88</v>
      </c>
      <c r="J106" s="28">
        <v>760.87</v>
      </c>
      <c r="K106" s="28">
        <v>907.27</v>
      </c>
    </row>
    <row r="107" spans="4:13" ht="16.5" x14ac:dyDescent="0.3">
      <c r="D107" s="24" t="s">
        <v>62</v>
      </c>
      <c r="E107" s="24"/>
      <c r="F107" s="24"/>
      <c r="G107" s="28">
        <v>68.94</v>
      </c>
      <c r="H107" s="28">
        <v>91.88</v>
      </c>
      <c r="I107" s="28">
        <v>62.24</v>
      </c>
      <c r="J107" s="28">
        <v>52.56</v>
      </c>
      <c r="K107" s="28">
        <v>59.98</v>
      </c>
    </row>
    <row r="108" spans="4:13" ht="16.5" x14ac:dyDescent="0.3">
      <c r="D108" s="24" t="s">
        <v>69</v>
      </c>
      <c r="E108" s="24"/>
      <c r="F108" s="24"/>
      <c r="G108" s="28">
        <v>113.86</v>
      </c>
      <c r="H108" s="28">
        <v>69.84</v>
      </c>
      <c r="I108" s="28">
        <v>62.23</v>
      </c>
      <c r="J108" s="28">
        <v>85.43</v>
      </c>
      <c r="K108" s="28">
        <v>2.2599999999999998</v>
      </c>
    </row>
    <row r="109" spans="4:13" x14ac:dyDescent="0.25">
      <c r="D109" s="2" t="s">
        <v>71</v>
      </c>
      <c r="E109" s="5"/>
      <c r="F109" s="5"/>
      <c r="G109" s="109">
        <f>SUM(G100:G108)</f>
        <v>7213.58</v>
      </c>
      <c r="H109" s="109">
        <f t="shared" ref="H109:K109" si="10">SUM(H100:H108)</f>
        <v>5662.63</v>
      </c>
      <c r="I109" s="109">
        <f t="shared" si="10"/>
        <v>6800.0899999999992</v>
      </c>
      <c r="J109" s="109">
        <f t="shared" si="10"/>
        <v>7410.4</v>
      </c>
      <c r="K109" s="109">
        <f t="shared" si="10"/>
        <v>6805.16</v>
      </c>
      <c r="M109" s="1"/>
    </row>
    <row r="110" spans="4:13" ht="16.5" x14ac:dyDescent="0.3">
      <c r="D110" s="2"/>
      <c r="E110" s="5"/>
      <c r="F110" s="5"/>
      <c r="G110" s="28"/>
      <c r="H110" s="28"/>
      <c r="I110" s="28"/>
      <c r="J110" s="28"/>
      <c r="K110" s="28"/>
      <c r="M110" s="1"/>
    </row>
    <row r="111" spans="4:13" x14ac:dyDescent="0.25">
      <c r="D111" s="2" t="s">
        <v>412</v>
      </c>
      <c r="E111" s="5"/>
      <c r="F111" s="5"/>
      <c r="G111" s="109">
        <f>SUM(G96,G109)</f>
        <v>23940.89</v>
      </c>
      <c r="H111" s="109">
        <f t="shared" ref="H111:K111" si="11">SUM(H96,H109)</f>
        <v>23719.52</v>
      </c>
      <c r="I111" s="109">
        <f t="shared" si="11"/>
        <v>24628.51</v>
      </c>
      <c r="J111" s="109">
        <f t="shared" si="11"/>
        <v>24349.03</v>
      </c>
      <c r="K111" s="109">
        <f t="shared" si="11"/>
        <v>25042.63</v>
      </c>
    </row>
    <row r="112" spans="4:13" ht="16.5" x14ac:dyDescent="0.3">
      <c r="D112" s="24" t="s">
        <v>47</v>
      </c>
      <c r="E112" s="24"/>
      <c r="F112" s="24"/>
      <c r="G112" s="28">
        <v>1739.96</v>
      </c>
      <c r="H112" s="28">
        <v>1872.92</v>
      </c>
      <c r="I112" s="28">
        <v>2034.37</v>
      </c>
      <c r="J112" s="28">
        <v>1973.76</v>
      </c>
      <c r="K112" s="28">
        <v>139.80000000000001</v>
      </c>
    </row>
    <row r="113" spans="4:11" x14ac:dyDescent="0.25">
      <c r="D113" s="5" t="s">
        <v>72</v>
      </c>
      <c r="E113" s="5"/>
      <c r="F113" s="5"/>
      <c r="G113" s="109">
        <f>SUM(G81,G96,G109,G112)</f>
        <v>35457.020000000004</v>
      </c>
      <c r="H113" s="109">
        <f t="shared" ref="H113:K113" si="12">SUM(H81,H96,H109,H112)</f>
        <v>35861.529999999992</v>
      </c>
      <c r="I113" s="109">
        <f t="shared" si="12"/>
        <v>37493.469999999994</v>
      </c>
      <c r="J113" s="109">
        <f t="shared" si="12"/>
        <v>37711.89</v>
      </c>
      <c r="K113" s="109">
        <f t="shared" si="12"/>
        <v>37167.78</v>
      </c>
    </row>
    <row r="114" spans="4:11" ht="16.5" x14ac:dyDescent="0.3">
      <c r="D114" s="24"/>
      <c r="E114" s="24"/>
      <c r="F114" s="24"/>
      <c r="G114" s="33"/>
      <c r="H114" s="33"/>
      <c r="I114" s="33"/>
      <c r="J114" s="33"/>
      <c r="K114" s="33"/>
    </row>
    <row r="115" spans="4:11" ht="16.5" x14ac:dyDescent="0.3">
      <c r="D115" s="24" t="s">
        <v>73</v>
      </c>
      <c r="E115" s="24"/>
      <c r="F115" s="24"/>
      <c r="G115" s="33"/>
      <c r="H115" s="33"/>
      <c r="I115" s="33"/>
      <c r="J115" s="33"/>
      <c r="K115" s="33"/>
    </row>
    <row r="116" spans="4:11" ht="16.5" x14ac:dyDescent="0.3">
      <c r="D116" s="24"/>
      <c r="E116" s="24"/>
      <c r="F116" s="24"/>
      <c r="G116" s="33"/>
      <c r="H116" s="33"/>
      <c r="I116" s="33"/>
      <c r="J116" s="33"/>
      <c r="K116" s="33"/>
    </row>
    <row r="117" spans="4:11" ht="16.5" x14ac:dyDescent="0.3">
      <c r="D117" s="24" t="s">
        <v>74</v>
      </c>
      <c r="E117" s="24"/>
      <c r="F117" s="24"/>
      <c r="G117" s="33"/>
      <c r="H117" s="33"/>
      <c r="I117" s="33"/>
      <c r="J117" s="33"/>
      <c r="K117" s="33"/>
    </row>
    <row r="118" spans="4:11" ht="16.5" x14ac:dyDescent="0.3">
      <c r="D118" s="24" t="s">
        <v>16</v>
      </c>
      <c r="E118" s="24"/>
      <c r="F118" s="24"/>
      <c r="G118" s="28">
        <v>1767.62</v>
      </c>
      <c r="H118" s="28">
        <v>1751.54</v>
      </c>
      <c r="I118" s="28">
        <v>1915.48</v>
      </c>
      <c r="J118" s="28">
        <v>1739.1</v>
      </c>
      <c r="K118" s="28">
        <v>1683.13</v>
      </c>
    </row>
    <row r="119" spans="4:11" ht="16.5" x14ac:dyDescent="0.3">
      <c r="D119" s="24" t="s">
        <v>75</v>
      </c>
      <c r="E119" s="24"/>
      <c r="F119" s="24"/>
      <c r="G119" s="28"/>
      <c r="H119" s="28"/>
      <c r="I119" s="28"/>
      <c r="J119" s="28"/>
      <c r="K119" s="28"/>
    </row>
    <row r="120" spans="4:11" ht="16.5" x14ac:dyDescent="0.3">
      <c r="D120" s="24" t="s">
        <v>9</v>
      </c>
      <c r="E120" s="24"/>
      <c r="F120" s="24"/>
      <c r="G120" s="28">
        <v>847.98</v>
      </c>
      <c r="H120" s="28">
        <v>866.65</v>
      </c>
      <c r="I120" s="28">
        <v>884.66</v>
      </c>
      <c r="J120" s="28">
        <v>877.87</v>
      </c>
      <c r="K120" s="28">
        <v>1216.73</v>
      </c>
    </row>
    <row r="121" spans="4:11" ht="16.5" x14ac:dyDescent="0.3">
      <c r="D121" s="24" t="s">
        <v>76</v>
      </c>
      <c r="E121" s="24"/>
      <c r="F121" s="24"/>
      <c r="G121" s="28">
        <v>6.88</v>
      </c>
      <c r="H121" s="28">
        <v>0.22</v>
      </c>
      <c r="I121" s="28">
        <v>6.36</v>
      </c>
      <c r="J121" s="28">
        <v>0.75</v>
      </c>
      <c r="K121" s="28">
        <v>8.1</v>
      </c>
    </row>
    <row r="122" spans="4:11" ht="16.5" x14ac:dyDescent="0.3">
      <c r="D122" s="24" t="s">
        <v>77</v>
      </c>
      <c r="E122" s="24"/>
      <c r="F122" s="24"/>
      <c r="G122" s="28">
        <v>-46.27</v>
      </c>
      <c r="H122" s="28">
        <v>-17.53</v>
      </c>
      <c r="I122" s="28">
        <v>-12.78</v>
      </c>
      <c r="J122" s="28">
        <v>-51.87</v>
      </c>
      <c r="K122" s="28">
        <v>-38.06</v>
      </c>
    </row>
    <row r="123" spans="4:11" ht="16.5" x14ac:dyDescent="0.3">
      <c r="D123" s="24" t="s">
        <v>118</v>
      </c>
      <c r="E123" s="24"/>
      <c r="F123" s="24"/>
      <c r="G123" s="28">
        <v>0</v>
      </c>
      <c r="H123" s="28">
        <v>0</v>
      </c>
      <c r="I123" s="28" t="s">
        <v>65</v>
      </c>
      <c r="J123" s="28">
        <v>0</v>
      </c>
      <c r="K123" s="28">
        <v>-4.21</v>
      </c>
    </row>
    <row r="124" spans="4:11" ht="16.5" x14ac:dyDescent="0.3">
      <c r="D124" s="24" t="s">
        <v>78</v>
      </c>
      <c r="E124" s="24"/>
      <c r="F124" s="24"/>
      <c r="G124" s="28">
        <v>-12.59</v>
      </c>
      <c r="H124" s="28">
        <v>-11.3</v>
      </c>
      <c r="I124" s="28">
        <v>-8.9</v>
      </c>
      <c r="J124" s="28">
        <v>-5.0599999999999996</v>
      </c>
      <c r="K124" s="28">
        <v>-4.07</v>
      </c>
    </row>
    <row r="125" spans="4:11" ht="16.5" x14ac:dyDescent="0.3">
      <c r="D125" s="24" t="s">
        <v>79</v>
      </c>
      <c r="E125" s="24"/>
      <c r="F125" s="24"/>
      <c r="G125" s="28">
        <v>27.71</v>
      </c>
      <c r="H125" s="28">
        <v>6</v>
      </c>
      <c r="I125" s="28">
        <v>11.26</v>
      </c>
      <c r="J125" s="28">
        <v>17.670000000000002</v>
      </c>
      <c r="K125" s="28">
        <v>0</v>
      </c>
    </row>
    <row r="126" spans="4:11" ht="16.5" x14ac:dyDescent="0.3">
      <c r="D126" s="24" t="s">
        <v>80</v>
      </c>
      <c r="E126" s="24"/>
      <c r="F126" s="24"/>
      <c r="G126" s="28">
        <v>45.99</v>
      </c>
      <c r="H126" s="28">
        <v>56.73</v>
      </c>
      <c r="I126" s="28">
        <v>33.25</v>
      </c>
      <c r="J126" s="28">
        <v>43.85</v>
      </c>
      <c r="K126" s="28">
        <v>44.32</v>
      </c>
    </row>
    <row r="127" spans="4:11" ht="16.5" x14ac:dyDescent="0.3">
      <c r="D127" s="24" t="s">
        <v>81</v>
      </c>
      <c r="E127" s="24"/>
      <c r="F127" s="24"/>
      <c r="G127" s="28">
        <v>1377.67</v>
      </c>
      <c r="H127" s="28">
        <v>1213.31</v>
      </c>
      <c r="I127" s="28">
        <v>1129.3</v>
      </c>
      <c r="J127" s="28">
        <v>1117.24</v>
      </c>
      <c r="K127" s="28">
        <v>1233.9000000000001</v>
      </c>
    </row>
    <row r="128" spans="4:11" ht="16.5" x14ac:dyDescent="0.3">
      <c r="D128" s="24" t="s">
        <v>82</v>
      </c>
      <c r="E128" s="24"/>
      <c r="F128" s="24"/>
      <c r="G128" s="28">
        <v>-45.95</v>
      </c>
      <c r="H128" s="28">
        <v>-56.35</v>
      </c>
      <c r="I128" s="28">
        <v>-72.959999999999994</v>
      </c>
      <c r="J128" s="28">
        <v>-92.23</v>
      </c>
      <c r="K128" s="28">
        <v>-116.45</v>
      </c>
    </row>
    <row r="129" spans="4:13" ht="16.5" x14ac:dyDescent="0.3">
      <c r="D129" s="24" t="s">
        <v>83</v>
      </c>
      <c r="E129" s="24"/>
      <c r="F129" s="24"/>
      <c r="G129" s="28">
        <v>7.0000000000000007E-2</v>
      </c>
      <c r="H129" s="28">
        <v>-0.02</v>
      </c>
      <c r="I129" s="28">
        <v>0.01</v>
      </c>
      <c r="J129" s="28">
        <v>0.02</v>
      </c>
      <c r="K129" s="28">
        <v>0</v>
      </c>
    </row>
    <row r="130" spans="4:13" ht="16.5" x14ac:dyDescent="0.3">
      <c r="D130" s="24" t="s">
        <v>117</v>
      </c>
      <c r="E130" s="24"/>
      <c r="F130" s="24"/>
      <c r="G130" s="28">
        <v>0</v>
      </c>
      <c r="H130" s="28">
        <v>0</v>
      </c>
      <c r="I130" s="28">
        <v>0</v>
      </c>
      <c r="J130" s="28">
        <v>0</v>
      </c>
      <c r="K130" s="28">
        <v>-1.1499999999999999</v>
      </c>
    </row>
    <row r="131" spans="4:13" ht="16.5" x14ac:dyDescent="0.3">
      <c r="D131" s="24" t="s">
        <v>84</v>
      </c>
      <c r="E131" s="24"/>
      <c r="F131" s="24"/>
      <c r="G131" s="28">
        <v>-19.07</v>
      </c>
      <c r="H131" s="28">
        <v>-59.1</v>
      </c>
      <c r="I131" s="28">
        <v>-54.21</v>
      </c>
      <c r="J131" s="28">
        <v>-30.86</v>
      </c>
      <c r="K131" s="28">
        <v>-14.12</v>
      </c>
    </row>
    <row r="132" spans="4:13" ht="16.5" x14ac:dyDescent="0.3">
      <c r="D132" s="24" t="s">
        <v>166</v>
      </c>
      <c r="E132" s="24"/>
      <c r="F132" s="24"/>
      <c r="G132" s="28">
        <f>SUM(G121:G131)</f>
        <v>1334.44</v>
      </c>
      <c r="H132" s="28">
        <f>SUM(H121:H131)</f>
        <v>1131.96</v>
      </c>
      <c r="I132" s="28">
        <f t="shared" ref="I132:K132" si="13">SUM(I121:I131)</f>
        <v>1031.33</v>
      </c>
      <c r="J132" s="28">
        <f t="shared" si="13"/>
        <v>999.50999999999988</v>
      </c>
      <c r="K132" s="28">
        <f t="shared" si="13"/>
        <v>1108.26</v>
      </c>
      <c r="L132" s="1"/>
    </row>
    <row r="133" spans="4:13" ht="16.5" x14ac:dyDescent="0.3">
      <c r="D133" s="24" t="s">
        <v>85</v>
      </c>
      <c r="E133" s="24"/>
      <c r="F133" s="24"/>
      <c r="G133" s="28">
        <f>SUM(G118,G120,G132)</f>
        <v>3950.04</v>
      </c>
      <c r="H133" s="28">
        <f t="shared" ref="H133:K133" si="14">SUM(H118,H120,H132)</f>
        <v>3750.15</v>
      </c>
      <c r="I133" s="28">
        <f t="shared" si="14"/>
        <v>3831.47</v>
      </c>
      <c r="J133" s="28">
        <f t="shared" si="14"/>
        <v>3616.4799999999996</v>
      </c>
      <c r="K133" s="28">
        <f t="shared" si="14"/>
        <v>4008.12</v>
      </c>
      <c r="M133" s="1"/>
    </row>
    <row r="134" spans="4:13" ht="16.5" x14ac:dyDescent="0.3">
      <c r="D134" s="24"/>
      <c r="E134" s="24"/>
      <c r="F134" s="24"/>
      <c r="G134" s="28"/>
      <c r="H134" s="28"/>
      <c r="I134" s="28"/>
      <c r="J134" s="28"/>
      <c r="K134" s="28"/>
    </row>
    <row r="135" spans="4:13" ht="16.5" x14ac:dyDescent="0.3">
      <c r="D135" s="24" t="s">
        <v>86</v>
      </c>
      <c r="E135" s="24"/>
      <c r="F135" s="24"/>
      <c r="G135" s="28"/>
      <c r="H135" s="28"/>
      <c r="I135" s="28"/>
      <c r="J135" s="28"/>
      <c r="K135" s="28"/>
    </row>
    <row r="136" spans="4:13" ht="16.5" x14ac:dyDescent="0.3">
      <c r="D136" s="24" t="s">
        <v>87</v>
      </c>
      <c r="E136" s="24"/>
      <c r="F136" s="24"/>
      <c r="G136" s="28">
        <v>56.35</v>
      </c>
      <c r="H136" s="28">
        <v>-793.92</v>
      </c>
      <c r="I136" s="28">
        <v>-31.49</v>
      </c>
      <c r="J136" s="28">
        <v>282.44</v>
      </c>
      <c r="K136" s="28">
        <v>129.19</v>
      </c>
    </row>
    <row r="137" spans="4:13" ht="16.5" x14ac:dyDescent="0.3">
      <c r="D137" s="24" t="s">
        <v>88</v>
      </c>
      <c r="E137" s="24"/>
      <c r="F137" s="24"/>
      <c r="G137" s="28">
        <v>-630.29</v>
      </c>
      <c r="H137" s="28">
        <v>-423.91</v>
      </c>
      <c r="I137" s="28">
        <v>-736.95</v>
      </c>
      <c r="J137" s="28">
        <v>-1276.1500000000001</v>
      </c>
      <c r="K137" s="28">
        <v>-1757.3</v>
      </c>
    </row>
    <row r="138" spans="4:13" ht="16.5" x14ac:dyDescent="0.3">
      <c r="D138" s="24" t="s">
        <v>40</v>
      </c>
      <c r="E138" s="24"/>
      <c r="F138" s="24"/>
      <c r="G138" s="28">
        <v>-19.72</v>
      </c>
      <c r="H138" s="28">
        <v>122.5</v>
      </c>
      <c r="I138" s="28">
        <v>-61.75</v>
      </c>
      <c r="J138" s="28">
        <v>-220.8</v>
      </c>
      <c r="K138" s="28">
        <v>1.73</v>
      </c>
    </row>
    <row r="139" spans="4:13" ht="16.5" x14ac:dyDescent="0.3">
      <c r="D139" s="24" t="s">
        <v>89</v>
      </c>
      <c r="E139" s="24"/>
      <c r="F139" s="24"/>
      <c r="G139" s="28">
        <v>353.46</v>
      </c>
      <c r="H139" s="28">
        <v>471.32</v>
      </c>
      <c r="I139" s="28">
        <v>-110.47</v>
      </c>
      <c r="J139" s="28">
        <v>-125.7</v>
      </c>
      <c r="K139" s="28">
        <v>420.06</v>
      </c>
    </row>
    <row r="140" spans="4:13" ht="16.5" x14ac:dyDescent="0.3">
      <c r="D140" s="24" t="s">
        <v>166</v>
      </c>
      <c r="E140" s="24"/>
      <c r="F140" s="24"/>
      <c r="G140" s="28">
        <f>SUM(G136:G139)</f>
        <v>-240.2</v>
      </c>
      <c r="H140" s="28">
        <f>SUM(H136:H139)</f>
        <v>-624.01</v>
      </c>
      <c r="I140" s="28">
        <f t="shared" ref="I140:K140" si="15">SUM(I136:I139)</f>
        <v>-940.66000000000008</v>
      </c>
      <c r="J140" s="28">
        <f t="shared" si="15"/>
        <v>-1340.21</v>
      </c>
      <c r="K140" s="28">
        <f t="shared" si="15"/>
        <v>-1206.32</v>
      </c>
    </row>
    <row r="141" spans="4:13" ht="16.5" x14ac:dyDescent="0.3">
      <c r="D141" s="24" t="s">
        <v>90</v>
      </c>
      <c r="E141" s="24"/>
      <c r="F141" s="24"/>
      <c r="G141" s="28">
        <f>SUM(G133,G140)</f>
        <v>3709.84</v>
      </c>
      <c r="H141" s="28">
        <v>3126.38</v>
      </c>
      <c r="I141" s="28">
        <v>2890.81</v>
      </c>
      <c r="J141" s="28">
        <v>2276.27</v>
      </c>
      <c r="K141" s="28">
        <v>2801.8</v>
      </c>
    </row>
    <row r="142" spans="4:13" ht="16.5" x14ac:dyDescent="0.3">
      <c r="D142" s="24" t="s">
        <v>91</v>
      </c>
      <c r="E142" s="24"/>
      <c r="F142" s="24"/>
      <c r="G142" s="28">
        <v>-302.33999999999997</v>
      </c>
      <c r="H142" s="28">
        <v>-320.45999999999998</v>
      </c>
      <c r="I142" s="28">
        <v>-391.74</v>
      </c>
      <c r="J142" s="28">
        <v>-297.92</v>
      </c>
      <c r="K142" s="28">
        <v>-450.39</v>
      </c>
    </row>
    <row r="143" spans="4:13" x14ac:dyDescent="0.25">
      <c r="D143" s="5" t="s">
        <v>92</v>
      </c>
      <c r="E143" s="5"/>
      <c r="F143" s="5"/>
      <c r="G143" s="109">
        <f>SUM(G141,G142)</f>
        <v>3407.5</v>
      </c>
      <c r="H143" s="109">
        <f t="shared" ref="H143:K143" si="16">SUM(H141,H142)</f>
        <v>2805.92</v>
      </c>
      <c r="I143" s="109">
        <f t="shared" si="16"/>
        <v>2499.0699999999997</v>
      </c>
      <c r="J143" s="109">
        <f t="shared" si="16"/>
        <v>1978.35</v>
      </c>
      <c r="K143" s="109">
        <f t="shared" si="16"/>
        <v>2351.4100000000003</v>
      </c>
    </row>
    <row r="144" spans="4:13" ht="16.5" x14ac:dyDescent="0.3">
      <c r="D144" s="24"/>
      <c r="E144" s="24"/>
      <c r="F144" s="24"/>
      <c r="G144" s="28"/>
      <c r="H144" s="28"/>
      <c r="I144" s="28"/>
      <c r="J144" s="28"/>
      <c r="K144" s="28"/>
    </row>
    <row r="145" spans="4:11" ht="16.5" x14ac:dyDescent="0.3">
      <c r="D145" s="24" t="s">
        <v>93</v>
      </c>
      <c r="E145" s="24"/>
      <c r="F145" s="24"/>
      <c r="G145" s="28"/>
      <c r="H145" s="28"/>
      <c r="I145" s="28"/>
      <c r="J145" s="28"/>
      <c r="K145" s="28"/>
    </row>
    <row r="146" spans="4:11" ht="16.5" x14ac:dyDescent="0.3">
      <c r="D146" s="24" t="s">
        <v>94</v>
      </c>
      <c r="E146" s="24"/>
      <c r="F146" s="24"/>
      <c r="G146" s="28">
        <v>-918.8</v>
      </c>
      <c r="H146" s="28">
        <v>-682.81</v>
      </c>
      <c r="I146" s="28">
        <v>-778.07</v>
      </c>
      <c r="J146" s="28">
        <v>-695.54</v>
      </c>
      <c r="K146" s="28">
        <v>-771.16</v>
      </c>
    </row>
    <row r="147" spans="4:11" ht="16.5" x14ac:dyDescent="0.3">
      <c r="D147" s="24" t="s">
        <v>95</v>
      </c>
      <c r="E147" s="24"/>
      <c r="F147" s="24"/>
      <c r="G147" s="28">
        <v>5.82</v>
      </c>
      <c r="H147" s="28">
        <v>8.39</v>
      </c>
      <c r="I147" s="28">
        <v>7.77</v>
      </c>
      <c r="J147" s="28">
        <v>5.32</v>
      </c>
      <c r="K147" s="28">
        <v>5.91</v>
      </c>
    </row>
    <row r="148" spans="4:11" ht="16.5" x14ac:dyDescent="0.3">
      <c r="D148" s="24" t="s">
        <v>96</v>
      </c>
      <c r="E148" s="24"/>
      <c r="F148" s="24"/>
      <c r="G148" s="28">
        <v>0</v>
      </c>
      <c r="H148" s="28">
        <v>-452.05</v>
      </c>
      <c r="I148" s="28">
        <v>304.74</v>
      </c>
      <c r="J148" s="28">
        <v>0</v>
      </c>
      <c r="K148" s="28">
        <v>4.21</v>
      </c>
    </row>
    <row r="149" spans="4:11" ht="16.5" x14ac:dyDescent="0.3">
      <c r="D149" s="24" t="s">
        <v>97</v>
      </c>
      <c r="E149" s="24"/>
      <c r="F149" s="24"/>
      <c r="G149" s="28">
        <v>547.22</v>
      </c>
      <c r="H149" s="28">
        <v>-135.94999999999999</v>
      </c>
      <c r="I149" s="28">
        <v>-160.16</v>
      </c>
      <c r="J149" s="28">
        <v>397.03</v>
      </c>
      <c r="K149" s="28">
        <v>33.090000000000003</v>
      </c>
    </row>
    <row r="150" spans="4:11" ht="16.5" x14ac:dyDescent="0.3">
      <c r="D150" s="24" t="s">
        <v>98</v>
      </c>
      <c r="E150" s="24"/>
      <c r="F150" s="24"/>
      <c r="G150" s="28">
        <v>30</v>
      </c>
      <c r="H150" s="28">
        <v>30</v>
      </c>
      <c r="I150" s="28">
        <v>30</v>
      </c>
      <c r="J150" s="28">
        <v>30</v>
      </c>
      <c r="K150" s="28">
        <v>36.880000000000003</v>
      </c>
    </row>
    <row r="151" spans="4:11" ht="16.5" x14ac:dyDescent="0.3">
      <c r="D151" s="24" t="s">
        <v>99</v>
      </c>
      <c r="E151" s="24"/>
      <c r="F151" s="24"/>
      <c r="G151" s="28">
        <v>12.59</v>
      </c>
      <c r="H151" s="28">
        <v>11.3</v>
      </c>
      <c r="I151" s="28">
        <v>8.9</v>
      </c>
      <c r="J151" s="28">
        <v>5.0599999999999996</v>
      </c>
      <c r="K151" s="28">
        <v>4.07</v>
      </c>
    </row>
    <row r="152" spans="4:11" ht="16.5" x14ac:dyDescent="0.3">
      <c r="D152" s="24" t="s">
        <v>100</v>
      </c>
      <c r="E152" s="24"/>
      <c r="F152" s="24"/>
      <c r="G152" s="28">
        <v>38.17</v>
      </c>
      <c r="H152" s="28">
        <v>34.020000000000003</v>
      </c>
      <c r="I152" s="28">
        <v>90.22</v>
      </c>
      <c r="J152" s="28">
        <v>75.819999999999993</v>
      </c>
      <c r="K152" s="28">
        <v>100.22</v>
      </c>
    </row>
    <row r="153" spans="4:11" ht="16.5" x14ac:dyDescent="0.3">
      <c r="D153" s="24" t="s">
        <v>101</v>
      </c>
      <c r="E153" s="24"/>
      <c r="F153" s="24"/>
      <c r="G153" s="28">
        <v>-188.08</v>
      </c>
      <c r="H153" s="28">
        <v>-302.14</v>
      </c>
      <c r="I153" s="28">
        <v>-78.430000000000007</v>
      </c>
      <c r="J153" s="28">
        <v>-362.39</v>
      </c>
      <c r="K153" s="28">
        <v>23.18</v>
      </c>
    </row>
    <row r="154" spans="4:11" x14ac:dyDescent="0.25">
      <c r="D154" s="108" t="s">
        <v>102</v>
      </c>
      <c r="E154" s="108"/>
      <c r="F154" s="108"/>
      <c r="G154" s="109">
        <f>SUM(G146:G153)</f>
        <v>-473.07999999999993</v>
      </c>
      <c r="H154" s="109">
        <f t="shared" ref="H154:K154" si="17">SUM(H146:H153)</f>
        <v>-1489.2400000000002</v>
      </c>
      <c r="I154" s="109">
        <f t="shared" si="17"/>
        <v>-575.03</v>
      </c>
      <c r="J154" s="109">
        <f t="shared" si="17"/>
        <v>-544.69999999999993</v>
      </c>
      <c r="K154" s="109">
        <f t="shared" si="17"/>
        <v>-563.59999999999991</v>
      </c>
    </row>
    <row r="155" spans="4:11" ht="16.5" x14ac:dyDescent="0.3">
      <c r="D155" s="24"/>
      <c r="E155" s="24"/>
      <c r="F155" s="24"/>
      <c r="G155" s="28"/>
      <c r="H155" s="28"/>
      <c r="I155" s="28"/>
      <c r="J155" s="28"/>
      <c r="K155" s="28"/>
    </row>
    <row r="156" spans="4:11" ht="16.5" x14ac:dyDescent="0.3">
      <c r="D156" s="24"/>
      <c r="E156" s="24"/>
      <c r="F156" s="24"/>
      <c r="G156" s="28"/>
      <c r="H156" s="28"/>
      <c r="I156" s="28"/>
      <c r="J156" s="28"/>
      <c r="K156" s="28"/>
    </row>
    <row r="157" spans="4:11" ht="16.5" x14ac:dyDescent="0.3">
      <c r="D157" s="24" t="s">
        <v>103</v>
      </c>
      <c r="E157" s="24"/>
      <c r="F157" s="24"/>
      <c r="G157" s="28"/>
      <c r="H157" s="28"/>
      <c r="I157" s="28"/>
      <c r="J157" s="28"/>
      <c r="K157" s="28"/>
    </row>
    <row r="158" spans="4:11" ht="16.5" x14ac:dyDescent="0.3">
      <c r="D158" s="24" t="s">
        <v>104</v>
      </c>
      <c r="E158" s="24"/>
      <c r="F158" s="24"/>
      <c r="G158" s="28">
        <v>1777.75</v>
      </c>
      <c r="H158" s="28">
        <v>2514.88</v>
      </c>
      <c r="I158" s="28">
        <v>1830</v>
      </c>
      <c r="J158" s="28">
        <v>1110</v>
      </c>
      <c r="K158" s="28">
        <v>2520.3200000000002</v>
      </c>
    </row>
    <row r="159" spans="4:11" ht="16.5" x14ac:dyDescent="0.3">
      <c r="D159" s="24" t="s">
        <v>105</v>
      </c>
      <c r="E159" s="24"/>
      <c r="F159" s="24"/>
      <c r="G159" s="28">
        <v>-2266.9</v>
      </c>
      <c r="H159" s="28">
        <v>-1598.49</v>
      </c>
      <c r="I159" s="28">
        <v>-1383.4</v>
      </c>
      <c r="J159" s="28">
        <v>-1582.79</v>
      </c>
      <c r="K159" s="28">
        <v>-1589.83</v>
      </c>
    </row>
    <row r="160" spans="4:11" ht="16.5" x14ac:dyDescent="0.3">
      <c r="D160" s="24" t="s">
        <v>106</v>
      </c>
      <c r="E160" s="24"/>
      <c r="F160" s="24"/>
      <c r="G160" s="28">
        <v>-51.93</v>
      </c>
      <c r="H160" s="28">
        <v>-41.07</v>
      </c>
      <c r="I160" s="28">
        <v>-47.09</v>
      </c>
      <c r="J160" s="28">
        <v>-46.11</v>
      </c>
      <c r="K160" s="28">
        <v>-58.87</v>
      </c>
    </row>
    <row r="161" spans="4:15" ht="16.5" x14ac:dyDescent="0.3">
      <c r="D161" s="24" t="s">
        <v>107</v>
      </c>
      <c r="E161" s="24"/>
      <c r="F161" s="24"/>
      <c r="G161" s="28">
        <v>34.56</v>
      </c>
      <c r="H161" s="28">
        <v>-855.03</v>
      </c>
      <c r="I161" s="28">
        <v>700.7</v>
      </c>
      <c r="J161" s="28">
        <v>-205.11</v>
      </c>
      <c r="K161" s="28">
        <v>-632.23</v>
      </c>
    </row>
    <row r="162" spans="4:15" ht="16.5" x14ac:dyDescent="0.3">
      <c r="D162" s="24" t="s">
        <v>108</v>
      </c>
      <c r="E162" s="24"/>
      <c r="F162" s="24"/>
      <c r="G162" s="28">
        <v>-1350.87</v>
      </c>
      <c r="H162" s="28">
        <v>-1165.51</v>
      </c>
      <c r="I162" s="28">
        <v>-1108.52</v>
      </c>
      <c r="J162" s="28">
        <v>-1129.3499999999999</v>
      </c>
      <c r="K162" s="28">
        <v>-1274.82</v>
      </c>
    </row>
    <row r="163" spans="4:15" ht="16.5" x14ac:dyDescent="0.3">
      <c r="D163" s="24" t="s">
        <v>109</v>
      </c>
      <c r="E163" s="24"/>
      <c r="F163" s="24"/>
      <c r="G163" s="28">
        <v>-294.58</v>
      </c>
      <c r="H163" s="28">
        <v>-594.03</v>
      </c>
      <c r="I163" s="28">
        <v>-602.63</v>
      </c>
      <c r="J163" s="28">
        <v>-603.79</v>
      </c>
      <c r="K163" s="28">
        <v>-606.20000000000005</v>
      </c>
    </row>
    <row r="164" spans="4:15" ht="16.5" x14ac:dyDescent="0.3">
      <c r="D164" s="24" t="s">
        <v>110</v>
      </c>
      <c r="E164" s="24"/>
      <c r="F164" s="24"/>
      <c r="G164" s="28">
        <v>0</v>
      </c>
      <c r="H164" s="28">
        <v>0</v>
      </c>
      <c r="I164" s="28">
        <v>0</v>
      </c>
      <c r="J164" s="28">
        <v>0</v>
      </c>
      <c r="K164" s="28">
        <v>0</v>
      </c>
    </row>
    <row r="165" spans="4:15" x14ac:dyDescent="0.25">
      <c r="D165" s="108" t="s">
        <v>111</v>
      </c>
      <c r="E165" s="108"/>
      <c r="F165" s="108"/>
      <c r="G165" s="109">
        <f>SUM(G158:G164)</f>
        <v>-2151.9699999999998</v>
      </c>
      <c r="H165" s="109">
        <f t="shared" ref="H165:K165" si="18">SUM(H158:H164)</f>
        <v>-1739.2499999999998</v>
      </c>
      <c r="I165" s="109">
        <f t="shared" si="18"/>
        <v>-610.93999999999994</v>
      </c>
      <c r="J165" s="109">
        <f t="shared" si="18"/>
        <v>-2457.1499999999996</v>
      </c>
      <c r="K165" s="109">
        <f t="shared" si="18"/>
        <v>-1641.6299999999999</v>
      </c>
    </row>
    <row r="166" spans="4:15" ht="16.5" x14ac:dyDescent="0.3">
      <c r="D166" s="24"/>
      <c r="E166" s="24"/>
      <c r="F166" s="24"/>
      <c r="G166" s="28"/>
      <c r="H166" s="28"/>
      <c r="I166" s="28"/>
      <c r="J166" s="28"/>
      <c r="K166" s="28"/>
    </row>
    <row r="167" spans="4:15" x14ac:dyDescent="0.25">
      <c r="D167" s="108" t="s">
        <v>112</v>
      </c>
      <c r="E167" s="108"/>
      <c r="F167" s="108"/>
      <c r="G167" s="109">
        <f>SUM(G165,G154,G143)</f>
        <v>782.45000000000027</v>
      </c>
      <c r="H167" s="109">
        <f t="shared" ref="H167:K167" si="19">SUM(H165,H154,H143)</f>
        <v>-422.56999999999971</v>
      </c>
      <c r="I167" s="109">
        <f t="shared" si="19"/>
        <v>1313.1</v>
      </c>
      <c r="J167" s="109">
        <f t="shared" si="19"/>
        <v>-1023.4999999999995</v>
      </c>
      <c r="K167" s="109">
        <f t="shared" si="19"/>
        <v>146.18000000000075</v>
      </c>
      <c r="M167" s="1"/>
      <c r="N167" s="1"/>
      <c r="O167" s="1"/>
    </row>
    <row r="168" spans="4:15" ht="16.5" x14ac:dyDescent="0.3">
      <c r="D168" s="24"/>
      <c r="E168" s="24"/>
      <c r="F168" s="24"/>
      <c r="G168" s="28"/>
      <c r="H168" s="28"/>
      <c r="I168" s="28"/>
      <c r="J168" s="28"/>
      <c r="K168" s="28"/>
    </row>
    <row r="169" spans="4:15" ht="16.5" x14ac:dyDescent="0.3">
      <c r="D169" s="24" t="s">
        <v>113</v>
      </c>
      <c r="E169" s="24"/>
      <c r="F169" s="24"/>
      <c r="G169" s="28">
        <v>539.22</v>
      </c>
      <c r="H169" s="28">
        <v>1262.4100000000001</v>
      </c>
      <c r="I169" s="28">
        <v>839.6</v>
      </c>
      <c r="J169" s="28">
        <v>2152.6999999999998</v>
      </c>
      <c r="K169" s="28">
        <v>1129.2</v>
      </c>
      <c r="M169" s="1"/>
      <c r="N169" s="1"/>
      <c r="O169" s="1"/>
    </row>
    <row r="170" spans="4:15" ht="16.5" x14ac:dyDescent="0.3">
      <c r="D170" s="24" t="s">
        <v>114</v>
      </c>
      <c r="E170" s="24"/>
      <c r="F170" s="24"/>
      <c r="G170" s="28"/>
      <c r="H170" s="28"/>
      <c r="I170" s="28"/>
      <c r="J170" s="28" t="s">
        <v>65</v>
      </c>
      <c r="K170" s="28" t="s">
        <v>65</v>
      </c>
    </row>
    <row r="171" spans="4:15" ht="16.5" x14ac:dyDescent="0.3">
      <c r="D171" s="24" t="s">
        <v>115</v>
      </c>
      <c r="E171" s="24"/>
      <c r="F171" s="24"/>
      <c r="G171" s="28">
        <v>1262.4100000000001</v>
      </c>
      <c r="H171" s="28">
        <v>839.6</v>
      </c>
      <c r="I171" s="28">
        <v>2152.6999999999998</v>
      </c>
      <c r="J171" s="28">
        <v>1129.2</v>
      </c>
      <c r="K171" s="28">
        <v>1275.3800000000001</v>
      </c>
    </row>
    <row r="172" spans="4:15" ht="16.5" x14ac:dyDescent="0.3">
      <c r="G172" s="8"/>
      <c r="H172" s="8"/>
      <c r="I172" s="8"/>
      <c r="J172" s="8"/>
      <c r="K172" s="8"/>
    </row>
  </sheetData>
  <pageMargins left="0.7" right="0.7" top="0.75" bottom="0.75" header="0.3" footer="0.3"/>
  <pageSetup orientation="portrait" horizontalDpi="300" verticalDpi="0" copies="0" r:id="rId1"/>
  <ignoredErrors>
    <ignoredError sqref="G11"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Z201"/>
  <sheetViews>
    <sheetView zoomScaleNormal="100" workbookViewId="0">
      <pane xSplit="4" ySplit="8" topLeftCell="N15" activePane="bottomRight" state="frozen"/>
      <selection pane="topRight" activeCell="E1" sqref="E1"/>
      <selection pane="bottomLeft" activeCell="A9" sqref="A9"/>
      <selection pane="bottomRight" activeCell="E11" sqref="E11"/>
    </sheetView>
  </sheetViews>
  <sheetFormatPr defaultRowHeight="16.5" x14ac:dyDescent="0.3"/>
  <cols>
    <col min="1" max="2" width="1.28515625" style="3" customWidth="1"/>
    <col min="3" max="3" width="2.28515625" style="3" customWidth="1"/>
    <col min="4" max="4" width="61.85546875" style="3" customWidth="1"/>
    <col min="5" max="5" width="14.85546875" style="3" customWidth="1"/>
    <col min="6" max="6" width="12.7109375" style="4" customWidth="1"/>
    <col min="7" max="7" width="3.85546875" style="3" customWidth="1"/>
    <col min="8" max="9" width="12.7109375" style="3" customWidth="1"/>
    <col min="10" max="10" width="12.5703125" style="3" customWidth="1"/>
    <col min="11" max="13" width="12.7109375" style="3" customWidth="1"/>
    <col min="14" max="16" width="12.7109375" style="3" bestFit="1" customWidth="1"/>
    <col min="17" max="17" width="12.7109375" style="3" customWidth="1"/>
    <col min="18" max="18" width="12.42578125" style="3" customWidth="1"/>
    <col min="19" max="19" width="11.5703125" style="3" customWidth="1"/>
    <col min="20" max="20" width="11.7109375" style="3" customWidth="1"/>
    <col min="21" max="21" width="11.28515625" style="3" customWidth="1"/>
    <col min="22" max="22" width="12.42578125" style="3" customWidth="1"/>
    <col min="23" max="23" width="17.28515625" style="3" customWidth="1"/>
    <col min="24" max="24" width="9.140625" style="3"/>
    <col min="25" max="25" width="9.140625" style="3" customWidth="1"/>
    <col min="26" max="26" width="16" style="3" customWidth="1"/>
    <col min="27" max="16384" width="9.140625" style="3"/>
  </cols>
  <sheetData>
    <row r="6" spans="1:23" ht="29.25" customHeight="1" x14ac:dyDescent="0.4">
      <c r="A6" s="115" t="s">
        <v>119</v>
      </c>
      <c r="B6" s="113"/>
      <c r="C6" s="113"/>
      <c r="D6" s="113"/>
      <c r="E6" s="113"/>
      <c r="F6" s="119"/>
      <c r="G6" s="113"/>
      <c r="H6" s="113"/>
      <c r="I6" s="113"/>
      <c r="J6" s="113"/>
      <c r="K6" s="113"/>
      <c r="L6" s="113"/>
      <c r="M6" s="113"/>
      <c r="N6" s="113"/>
      <c r="O6" s="113"/>
      <c r="P6" s="113"/>
      <c r="Q6" s="113"/>
      <c r="R6" s="113"/>
      <c r="S6" s="113"/>
      <c r="T6" s="113"/>
      <c r="U6" s="113"/>
      <c r="V6" s="113"/>
    </row>
    <row r="7" spans="1:23" s="21" customFormat="1" x14ac:dyDescent="0.3">
      <c r="A7" s="112"/>
      <c r="B7" s="120" t="s">
        <v>120</v>
      </c>
      <c r="C7" s="112"/>
      <c r="D7" s="112"/>
      <c r="E7" s="112"/>
      <c r="F7" s="121"/>
      <c r="G7" s="112"/>
      <c r="H7" s="111">
        <v>2020</v>
      </c>
      <c r="I7" s="111">
        <f>H7+1</f>
        <v>2021</v>
      </c>
      <c r="J7" s="111">
        <f>I7+1</f>
        <v>2022</v>
      </c>
      <c r="K7" s="111">
        <f t="shared" ref="K7:L7" si="0">J7+1</f>
        <v>2023</v>
      </c>
      <c r="L7" s="111">
        <f t="shared" si="0"/>
        <v>2024</v>
      </c>
      <c r="M7" s="111">
        <f t="shared" ref="M7" si="1">L7+1</f>
        <v>2025</v>
      </c>
      <c r="N7" s="111">
        <f t="shared" ref="N7" si="2">M7+1</f>
        <v>2026</v>
      </c>
      <c r="O7" s="111">
        <f t="shared" ref="O7" si="3">N7+1</f>
        <v>2027</v>
      </c>
      <c r="P7" s="111">
        <f t="shared" ref="P7:Q7" si="4">O7+1</f>
        <v>2028</v>
      </c>
      <c r="Q7" s="111">
        <f t="shared" si="4"/>
        <v>2029</v>
      </c>
      <c r="R7" s="111">
        <f t="shared" ref="R7" si="5">Q7+1</f>
        <v>2030</v>
      </c>
      <c r="S7" s="111">
        <f t="shared" ref="S7" si="6">R7+1</f>
        <v>2031</v>
      </c>
      <c r="T7" s="111">
        <f t="shared" ref="T7" si="7">S7+1</f>
        <v>2032</v>
      </c>
      <c r="U7" s="111">
        <f t="shared" ref="U7" si="8">T7+1</f>
        <v>2033</v>
      </c>
      <c r="V7" s="111">
        <f t="shared" ref="V7" si="9">U7+1</f>
        <v>2034</v>
      </c>
      <c r="W7" s="97"/>
    </row>
    <row r="8" spans="1:23" s="21" customFormat="1" x14ac:dyDescent="0.3">
      <c r="A8" s="112"/>
      <c r="B8" s="120"/>
      <c r="C8" s="112"/>
      <c r="D8" s="112"/>
      <c r="E8" s="112"/>
      <c r="F8" s="121"/>
      <c r="G8" s="112"/>
      <c r="H8" s="167" t="s">
        <v>414</v>
      </c>
      <c r="I8" s="167" t="str">
        <f>H8</f>
        <v>Audited</v>
      </c>
      <c r="J8" s="167" t="str">
        <f t="shared" ref="J8:L8" si="10">I8</f>
        <v>Audited</v>
      </c>
      <c r="K8" s="167" t="str">
        <f t="shared" si="10"/>
        <v>Audited</v>
      </c>
      <c r="L8" s="167" t="str">
        <f t="shared" si="10"/>
        <v>Audited</v>
      </c>
      <c r="M8" s="168" t="s">
        <v>415</v>
      </c>
      <c r="N8" s="168" t="str">
        <f>M8</f>
        <v>Projecte</v>
      </c>
      <c r="O8" s="168" t="str">
        <f t="shared" ref="O8:V8" si="11">N8</f>
        <v>Projecte</v>
      </c>
      <c r="P8" s="168" t="str">
        <f t="shared" si="11"/>
        <v>Projecte</v>
      </c>
      <c r="Q8" s="168" t="str">
        <f t="shared" si="11"/>
        <v>Projecte</v>
      </c>
      <c r="R8" s="168" t="str">
        <f t="shared" si="11"/>
        <v>Projecte</v>
      </c>
      <c r="S8" s="168" t="str">
        <f t="shared" si="11"/>
        <v>Projecte</v>
      </c>
      <c r="T8" s="168" t="str">
        <f t="shared" si="11"/>
        <v>Projecte</v>
      </c>
      <c r="U8" s="168" t="str">
        <f t="shared" si="11"/>
        <v>Projecte</v>
      </c>
      <c r="V8" s="168" t="str">
        <f t="shared" si="11"/>
        <v>Projecte</v>
      </c>
      <c r="W8" s="97"/>
    </row>
    <row r="9" spans="1:23" s="21" customFormat="1" x14ac:dyDescent="0.3">
      <c r="A9" s="63"/>
      <c r="B9" s="20"/>
      <c r="C9" s="63"/>
      <c r="D9" s="90" t="s">
        <v>313</v>
      </c>
      <c r="E9" s="66"/>
      <c r="F9" s="92"/>
      <c r="G9" s="66"/>
      <c r="H9" s="66"/>
      <c r="I9" s="67" t="str">
        <f>IFERROR(IF(ABS(I85)&gt;1," ERROR","OK"),"OK")</f>
        <v>OK</v>
      </c>
      <c r="J9" s="67" t="str">
        <f t="shared" ref="J9:V9" si="12">IFERROR(IF(ABS(J85)&gt;1," ERROR","OK"),"OK")</f>
        <v>OK</v>
      </c>
      <c r="K9" s="67" t="str">
        <f t="shared" si="12"/>
        <v>OK</v>
      </c>
      <c r="L9" s="67" t="str">
        <f t="shared" si="12"/>
        <v>OK</v>
      </c>
      <c r="M9" s="67" t="str">
        <f t="shared" si="12"/>
        <v>OK</v>
      </c>
      <c r="N9" s="67" t="str">
        <f t="shared" si="12"/>
        <v>OK</v>
      </c>
      <c r="O9" s="67" t="str">
        <f t="shared" si="12"/>
        <v>OK</v>
      </c>
      <c r="P9" s="67" t="str">
        <f t="shared" si="12"/>
        <v>OK</v>
      </c>
      <c r="Q9" s="67" t="str">
        <f t="shared" si="12"/>
        <v>OK</v>
      </c>
      <c r="R9" s="67" t="str">
        <f t="shared" si="12"/>
        <v>OK</v>
      </c>
      <c r="S9" s="67" t="str">
        <f t="shared" si="12"/>
        <v>OK</v>
      </c>
      <c r="T9" s="67" t="str">
        <f t="shared" si="12"/>
        <v>OK</v>
      </c>
      <c r="U9" s="67" t="str">
        <f t="shared" si="12"/>
        <v>OK</v>
      </c>
      <c r="V9" s="67" t="str">
        <f t="shared" si="12"/>
        <v>OK</v>
      </c>
    </row>
    <row r="10" spans="1:23" s="21" customFormat="1" x14ac:dyDescent="0.3">
      <c r="A10" s="38" t="s">
        <v>194</v>
      </c>
      <c r="B10" s="34"/>
      <c r="C10" s="38"/>
      <c r="D10" s="38"/>
      <c r="E10" s="22"/>
      <c r="F10" s="4" t="s">
        <v>314</v>
      </c>
      <c r="G10" s="22"/>
      <c r="H10" s="22"/>
    </row>
    <row r="11" spans="1:23" s="21" customFormat="1" x14ac:dyDescent="0.3">
      <c r="A11" s="38"/>
      <c r="B11" s="34"/>
      <c r="C11" s="38"/>
      <c r="D11" s="38" t="s">
        <v>214</v>
      </c>
      <c r="E11" s="22" t="s">
        <v>211</v>
      </c>
      <c r="F11" s="4"/>
      <c r="G11" s="21">
        <f>IF(E11=scenario!D9,1,IF(Model!E11=scenario!D10,2,3))</f>
        <v>1</v>
      </c>
      <c r="H11" s="22"/>
    </row>
    <row r="12" spans="1:23" s="21" customFormat="1" x14ac:dyDescent="0.3">
      <c r="A12" s="38"/>
      <c r="B12" s="34"/>
      <c r="C12" s="38"/>
      <c r="D12" s="38"/>
      <c r="E12" s="4"/>
      <c r="F12" s="4"/>
      <c r="G12" s="22"/>
      <c r="H12" s="22"/>
    </row>
    <row r="13" spans="1:23" s="21" customFormat="1" x14ac:dyDescent="0.3">
      <c r="A13" s="91"/>
      <c r="B13" s="36"/>
      <c r="C13" s="91"/>
      <c r="D13" s="38" t="s">
        <v>195</v>
      </c>
      <c r="E13" s="4"/>
      <c r="F13" s="62" t="s">
        <v>207</v>
      </c>
      <c r="G13" s="62"/>
      <c r="H13" s="62"/>
      <c r="I13" s="51">
        <f>I35/H35-1</f>
        <v>-4.2790090213826959E-2</v>
      </c>
      <c r="J13" s="51">
        <f>J35/I35-1</f>
        <v>7.7781625125336928E-2</v>
      </c>
      <c r="K13" s="51">
        <f t="shared" ref="K13:L13" si="13">K35/J35-1</f>
        <v>0.13572116442440474</v>
      </c>
      <c r="L13" s="51">
        <f t="shared" si="13"/>
        <v>7.3482681528952876E-2</v>
      </c>
      <c r="M13" s="51">
        <f t="array" ref="M13:V13">CHOOSE(G11,scenario!I9:R9,scenario!I10:R10,scenario!I11:R11)</f>
        <v>6.1048845216216896E-2</v>
      </c>
      <c r="N13" s="51">
        <v>6.1048845216216896E-2</v>
      </c>
      <c r="O13" s="51">
        <v>6.1048845216216896E-2</v>
      </c>
      <c r="P13" s="51">
        <v>6.1048845216216896E-2</v>
      </c>
      <c r="Q13" s="51">
        <v>6.1048845216216896E-2</v>
      </c>
      <c r="R13" s="51">
        <v>6.1048845216216896E-2</v>
      </c>
      <c r="S13" s="51">
        <v>6.1048845216216896E-2</v>
      </c>
      <c r="T13" s="51">
        <v>6.1048845216216896E-2</v>
      </c>
      <c r="U13" s="51">
        <v>6.1048845216216896E-2</v>
      </c>
      <c r="V13" s="51">
        <v>6.1048845216216896E-2</v>
      </c>
    </row>
    <row r="14" spans="1:23" x14ac:dyDescent="0.3">
      <c r="A14" s="91"/>
      <c r="B14" s="36"/>
      <c r="C14" s="91" t="s">
        <v>206</v>
      </c>
      <c r="D14" s="38" t="s">
        <v>196</v>
      </c>
      <c r="E14" s="4"/>
      <c r="F14" s="62" t="s">
        <v>207</v>
      </c>
      <c r="G14" s="62"/>
      <c r="H14" s="51">
        <f>-H36/H35</f>
        <v>0.52986909166872964</v>
      </c>
      <c r="I14" s="51">
        <f>-I36/I35</f>
        <v>0.50913382268157448</v>
      </c>
      <c r="J14" s="51">
        <f t="shared" ref="J14:L14" si="14">-J36/J35</f>
        <v>0.54289422411566446</v>
      </c>
      <c r="K14" s="51">
        <f t="shared" si="14"/>
        <v>0.64192161501016043</v>
      </c>
      <c r="L14" s="51">
        <f t="shared" si="14"/>
        <v>0.65242744982904177</v>
      </c>
      <c r="M14" s="51">
        <f>AVERAGE(H14:L14)</f>
        <v>0.57524924066103422</v>
      </c>
      <c r="N14" s="51">
        <f>M14</f>
        <v>0.57524924066103422</v>
      </c>
      <c r="O14" s="51">
        <f t="shared" ref="O14:P14" si="15">N14</f>
        <v>0.57524924066103422</v>
      </c>
      <c r="P14" s="51">
        <f t="shared" si="15"/>
        <v>0.57524924066103422</v>
      </c>
      <c r="Q14" s="51">
        <f t="shared" ref="Q14:Q16" si="16">P14</f>
        <v>0.57524924066103422</v>
      </c>
      <c r="R14" s="51">
        <f t="shared" ref="R14:R16" si="17">Q14</f>
        <v>0.57524924066103422</v>
      </c>
      <c r="S14" s="51">
        <f t="shared" ref="S14:S16" si="18">R14</f>
        <v>0.57524924066103422</v>
      </c>
      <c r="T14" s="51">
        <f t="shared" ref="T14:T16" si="19">S14</f>
        <v>0.57524924066103422</v>
      </c>
      <c r="U14" s="51">
        <f t="shared" ref="U14:U16" si="20">T14</f>
        <v>0.57524924066103422</v>
      </c>
      <c r="V14" s="51">
        <f t="shared" ref="V14:V16" si="21">U14</f>
        <v>0.57524924066103422</v>
      </c>
    </row>
    <row r="15" spans="1:23" x14ac:dyDescent="0.3">
      <c r="A15" s="91"/>
      <c r="B15" s="36"/>
      <c r="C15" s="91"/>
      <c r="D15" s="38" t="s">
        <v>197</v>
      </c>
      <c r="E15" s="4"/>
      <c r="F15" s="4" t="s">
        <v>207</v>
      </c>
      <c r="G15" s="4"/>
      <c r="H15" s="51">
        <f>-H39/H35</f>
        <v>9.2860450254916363E-2</v>
      </c>
      <c r="I15" s="51">
        <f>-I39/I35</f>
        <v>9.2297104207461192E-2</v>
      </c>
      <c r="J15" s="51">
        <f t="shared" ref="J15:L15" si="22">-J39/J35</f>
        <v>8.6168713348660872E-2</v>
      </c>
      <c r="K15" s="51">
        <f t="shared" si="22"/>
        <v>8.3475416510193842E-2</v>
      </c>
      <c r="L15" s="51">
        <f t="shared" si="22"/>
        <v>7.93535170183369E-2</v>
      </c>
      <c r="M15" s="51">
        <f t="shared" ref="M15:M16" si="23">AVERAGE(H15:L15)</f>
        <v>8.6831040267913842E-2</v>
      </c>
      <c r="N15" s="51">
        <f t="shared" ref="N15:P15" si="24">M15</f>
        <v>8.6831040267913842E-2</v>
      </c>
      <c r="O15" s="51">
        <f t="shared" si="24"/>
        <v>8.6831040267913842E-2</v>
      </c>
      <c r="P15" s="51">
        <f t="shared" si="24"/>
        <v>8.6831040267913842E-2</v>
      </c>
      <c r="Q15" s="51">
        <f t="shared" si="16"/>
        <v>8.6831040267913842E-2</v>
      </c>
      <c r="R15" s="51">
        <f t="shared" si="17"/>
        <v>8.6831040267913842E-2</v>
      </c>
      <c r="S15" s="51">
        <f t="shared" si="18"/>
        <v>8.6831040267913842E-2</v>
      </c>
      <c r="T15" s="51">
        <f t="shared" si="19"/>
        <v>8.6831040267913842E-2</v>
      </c>
      <c r="U15" s="51">
        <f t="shared" si="20"/>
        <v>8.6831040267913842E-2</v>
      </c>
      <c r="V15" s="51">
        <f t="shared" si="21"/>
        <v>8.6831040267913842E-2</v>
      </c>
    </row>
    <row r="16" spans="1:23" x14ac:dyDescent="0.3">
      <c r="A16" s="91"/>
      <c r="B16" s="36"/>
      <c r="C16" s="91"/>
      <c r="D16" s="38" t="s">
        <v>198</v>
      </c>
      <c r="E16" s="4"/>
      <c r="F16" s="4" t="s">
        <v>207</v>
      </c>
      <c r="G16" s="4"/>
      <c r="H16" s="51">
        <f>-H40/H35</f>
        <v>0.1186950453536466</v>
      </c>
      <c r="I16" s="51">
        <f>-I40/I35</f>
        <v>0.12486628557877615</v>
      </c>
      <c r="J16" s="51">
        <f t="shared" ref="J16:L16" si="25">-J40/J35</f>
        <v>0.13840932789535615</v>
      </c>
      <c r="K16" s="51">
        <f t="shared" si="25"/>
        <v>0.1237369571855247</v>
      </c>
      <c r="L16" s="51">
        <f t="shared" si="25"/>
        <v>0.12923970834115273</v>
      </c>
      <c r="M16" s="51">
        <f t="shared" si="23"/>
        <v>0.12698946487089127</v>
      </c>
      <c r="N16" s="51">
        <f t="shared" ref="N16:P16" si="26">M16</f>
        <v>0.12698946487089127</v>
      </c>
      <c r="O16" s="51">
        <f t="shared" si="26"/>
        <v>0.12698946487089127</v>
      </c>
      <c r="P16" s="51">
        <f t="shared" si="26"/>
        <v>0.12698946487089127</v>
      </c>
      <c r="Q16" s="51">
        <f t="shared" si="16"/>
        <v>0.12698946487089127</v>
      </c>
      <c r="R16" s="51">
        <f t="shared" si="17"/>
        <v>0.12698946487089127</v>
      </c>
      <c r="S16" s="51">
        <f t="shared" si="18"/>
        <v>0.12698946487089127</v>
      </c>
      <c r="T16" s="51">
        <f t="shared" si="19"/>
        <v>0.12698946487089127</v>
      </c>
      <c r="U16" s="51">
        <f t="shared" si="20"/>
        <v>0.12698946487089127</v>
      </c>
      <c r="V16" s="51">
        <f t="shared" si="21"/>
        <v>0.12698946487089127</v>
      </c>
    </row>
    <row r="17" spans="1:22" x14ac:dyDescent="0.3">
      <c r="A17" s="91"/>
      <c r="B17" s="36"/>
      <c r="C17" s="91"/>
      <c r="D17" s="38" t="s">
        <v>199</v>
      </c>
      <c r="E17" s="4"/>
      <c r="F17" s="4" t="s">
        <v>207</v>
      </c>
      <c r="G17" s="4"/>
      <c r="H17" s="4"/>
      <c r="I17" s="51">
        <f t="shared" ref="I17:L17" si="27">-I42/I130</f>
        <v>3.4795816231195341E-2</v>
      </c>
      <c r="J17" s="51">
        <f t="shared" si="27"/>
        <v>3.6359332095681936E-2</v>
      </c>
      <c r="K17" s="51">
        <f t="shared" si="27"/>
        <v>3.7647562345318721E-2</v>
      </c>
      <c r="L17" s="51">
        <f t="shared" si="27"/>
        <v>5.2978906929323874E-2</v>
      </c>
      <c r="M17" s="51">
        <f>L17*(1+0.5%)</f>
        <v>5.3243801463970487E-2</v>
      </c>
      <c r="N17" s="51">
        <f>M17</f>
        <v>5.3243801463970487E-2</v>
      </c>
      <c r="O17" s="51">
        <f>N17*(1+0.5%)</f>
        <v>5.3510020471290332E-2</v>
      </c>
      <c r="P17" s="51">
        <f>O17</f>
        <v>5.3510020471290332E-2</v>
      </c>
      <c r="Q17" s="51">
        <f>P17*(1+0.5%)</f>
        <v>5.377757057364678E-2</v>
      </c>
      <c r="R17" s="51">
        <f>Q17</f>
        <v>5.377757057364678E-2</v>
      </c>
      <c r="S17" s="51">
        <f>R17*(1+0.5%)</f>
        <v>5.4046458426515009E-2</v>
      </c>
      <c r="T17" s="51">
        <f>S17</f>
        <v>5.4046458426515009E-2</v>
      </c>
      <c r="U17" s="51">
        <f>T17*(1+0.5%)</f>
        <v>5.431669071864758E-2</v>
      </c>
      <c r="V17" s="51">
        <f>U17</f>
        <v>5.431669071864758E-2</v>
      </c>
    </row>
    <row r="18" spans="1:22" x14ac:dyDescent="0.3">
      <c r="A18" s="91"/>
      <c r="B18" s="36"/>
      <c r="C18" s="91"/>
      <c r="D18" s="38" t="s">
        <v>200</v>
      </c>
      <c r="E18" s="4"/>
      <c r="F18" s="4" t="s">
        <v>207</v>
      </c>
      <c r="G18" s="4"/>
      <c r="H18" s="4"/>
      <c r="I18" s="51">
        <f t="shared" ref="I18:L18" si="28">-I44/I136</f>
        <v>0.10063620542457477</v>
      </c>
      <c r="J18" s="51">
        <f t="shared" si="28"/>
        <v>7.9098807319143691E-2</v>
      </c>
      <c r="K18" s="51">
        <f t="shared" si="28"/>
        <v>7.4677824715255872E-2</v>
      </c>
      <c r="L18" s="51">
        <f t="shared" si="28"/>
        <v>8.6511522249425793E-2</v>
      </c>
      <c r="M18" s="51">
        <f>L18</f>
        <v>8.6511522249425793E-2</v>
      </c>
      <c r="N18" s="51">
        <f t="shared" ref="N18:P18" si="29">M18</f>
        <v>8.6511522249425793E-2</v>
      </c>
      <c r="O18" s="51">
        <f t="shared" si="29"/>
        <v>8.6511522249425793E-2</v>
      </c>
      <c r="P18" s="51">
        <f t="shared" si="29"/>
        <v>8.6511522249425793E-2</v>
      </c>
      <c r="Q18" s="51">
        <f t="shared" ref="Q18:Q24" si="30">P18</f>
        <v>8.6511522249425793E-2</v>
      </c>
      <c r="R18" s="51">
        <f t="shared" ref="R18:R24" si="31">Q18</f>
        <v>8.6511522249425793E-2</v>
      </c>
      <c r="S18" s="51">
        <f t="shared" ref="S18:S24" si="32">R18</f>
        <v>8.6511522249425793E-2</v>
      </c>
      <c r="T18" s="51">
        <f t="shared" ref="T18:T24" si="33">S18</f>
        <v>8.6511522249425793E-2</v>
      </c>
      <c r="U18" s="51">
        <f t="shared" ref="U18:U24" si="34">T18</f>
        <v>8.6511522249425793E-2</v>
      </c>
      <c r="V18" s="51">
        <f t="shared" ref="V18:V24" si="35">U18</f>
        <v>8.6511522249425793E-2</v>
      </c>
    </row>
    <row r="19" spans="1:22" x14ac:dyDescent="0.3">
      <c r="A19" s="91"/>
      <c r="B19" s="36"/>
      <c r="C19" s="91"/>
      <c r="D19" s="38" t="s">
        <v>201</v>
      </c>
      <c r="E19" s="4"/>
      <c r="F19" s="4" t="s">
        <v>207</v>
      </c>
      <c r="G19" s="4"/>
      <c r="H19" s="51">
        <f>H46/H35</f>
        <v>1.7929268214450497E-2</v>
      </c>
      <c r="I19" s="51">
        <f>I46/I35</f>
        <v>2.0163060709139664E-2</v>
      </c>
      <c r="J19" s="51">
        <f t="shared" ref="J19:L19" si="36">J46/J35</f>
        <v>2.1978048259390238E-2</v>
      </c>
      <c r="K19" s="51">
        <f t="shared" si="36"/>
        <v>2.1673621664496517E-2</v>
      </c>
      <c r="L19" s="51">
        <f t="shared" si="36"/>
        <v>1.6415781905826182E-2</v>
      </c>
      <c r="M19" s="51">
        <f>AVERAGE(H19:L19)</f>
        <v>1.9631956150660618E-2</v>
      </c>
      <c r="N19" s="51">
        <f t="shared" ref="N19:P19" si="37">M19</f>
        <v>1.9631956150660618E-2</v>
      </c>
      <c r="O19" s="51">
        <f t="shared" si="37"/>
        <v>1.9631956150660618E-2</v>
      </c>
      <c r="P19" s="51">
        <f t="shared" si="37"/>
        <v>1.9631956150660618E-2</v>
      </c>
      <c r="Q19" s="51">
        <f t="shared" si="30"/>
        <v>1.9631956150660618E-2</v>
      </c>
      <c r="R19" s="51">
        <f t="shared" si="31"/>
        <v>1.9631956150660618E-2</v>
      </c>
      <c r="S19" s="51">
        <f t="shared" si="32"/>
        <v>1.9631956150660618E-2</v>
      </c>
      <c r="T19" s="51">
        <f t="shared" si="33"/>
        <v>1.9631956150660618E-2</v>
      </c>
      <c r="U19" s="51">
        <f t="shared" si="34"/>
        <v>1.9631956150660618E-2</v>
      </c>
      <c r="V19" s="51">
        <f t="shared" si="35"/>
        <v>1.9631956150660618E-2</v>
      </c>
    </row>
    <row r="20" spans="1:22" x14ac:dyDescent="0.3">
      <c r="A20" s="91"/>
      <c r="B20" s="36"/>
      <c r="C20" s="91"/>
      <c r="D20" s="38" t="s">
        <v>202</v>
      </c>
      <c r="E20" s="4"/>
      <c r="F20" s="4" t="s">
        <v>207</v>
      </c>
      <c r="G20" s="4"/>
      <c r="H20" s="51">
        <f>-H48/H47</f>
        <v>0.25960161437312856</v>
      </c>
      <c r="I20" s="51">
        <f>-I48/I47</f>
        <v>0.22193612478162064</v>
      </c>
      <c r="J20" s="51">
        <f t="shared" ref="J20:L20" si="38">-J48/J47</f>
        <v>0.2669826884123041</v>
      </c>
      <c r="K20" s="51">
        <f t="shared" si="38"/>
        <v>0.19652118912080951</v>
      </c>
      <c r="L20" s="51">
        <f t="shared" si="38"/>
        <v>0.14011989567056612</v>
      </c>
      <c r="M20" s="51">
        <f>L20*(1+0.5%)</f>
        <v>0.14082049514891895</v>
      </c>
      <c r="N20" s="51">
        <f>M20</f>
        <v>0.14082049514891895</v>
      </c>
      <c r="O20" s="51">
        <f>N20*(1+0.5%)</f>
        <v>0.14152459762466352</v>
      </c>
      <c r="P20" s="51">
        <f t="shared" ref="P20" si="39">O20</f>
        <v>0.14152459762466352</v>
      </c>
      <c r="Q20" s="51">
        <f>P20*(1+0.5%)</f>
        <v>0.14223222061278681</v>
      </c>
      <c r="R20" s="51">
        <f t="shared" si="31"/>
        <v>0.14223222061278681</v>
      </c>
      <c r="S20" s="51">
        <f>R20*(1+0.5%)</f>
        <v>0.14294338171585072</v>
      </c>
      <c r="T20" s="51">
        <f t="shared" si="33"/>
        <v>0.14294338171585072</v>
      </c>
      <c r="U20" s="51">
        <f>T20*(1+0.5%)</f>
        <v>0.14365809862442996</v>
      </c>
      <c r="V20" s="51">
        <f t="shared" si="35"/>
        <v>0.14365809862442996</v>
      </c>
    </row>
    <row r="21" spans="1:22" x14ac:dyDescent="0.3">
      <c r="A21" s="91"/>
      <c r="B21" s="36"/>
      <c r="C21" s="91"/>
      <c r="D21" s="38" t="s">
        <v>203</v>
      </c>
      <c r="E21" s="4"/>
      <c r="F21" s="4" t="s">
        <v>207</v>
      </c>
      <c r="G21" s="4"/>
      <c r="H21" s="51">
        <f>-H110/H49</f>
        <v>0.22521234547136493</v>
      </c>
      <c r="I21" s="51">
        <f>-I110/I49</f>
        <v>0.43588614700508477</v>
      </c>
      <c r="J21" s="51">
        <f t="shared" ref="J21:L21" si="40">-J110/J49</f>
        <v>0.4291991909292921</v>
      </c>
      <c r="K21" s="51">
        <f t="shared" si="40"/>
        <v>0.43210265291663352</v>
      </c>
      <c r="L21" s="51">
        <f t="shared" si="40"/>
        <v>0.41885178506035409</v>
      </c>
      <c r="M21" s="51">
        <f t="shared" ref="M21" si="41">AVERAGE(H21:L21)</f>
        <v>0.38825042427654594</v>
      </c>
      <c r="N21" s="51">
        <f t="shared" ref="N21:P24" si="42">M21</f>
        <v>0.38825042427654594</v>
      </c>
      <c r="O21" s="51">
        <f t="shared" si="42"/>
        <v>0.38825042427654594</v>
      </c>
      <c r="P21" s="51">
        <f t="shared" si="42"/>
        <v>0.38825042427654594</v>
      </c>
      <c r="Q21" s="51">
        <f t="shared" si="30"/>
        <v>0.38825042427654594</v>
      </c>
      <c r="R21" s="51">
        <f t="shared" si="31"/>
        <v>0.38825042427654594</v>
      </c>
      <c r="S21" s="51">
        <f t="shared" si="32"/>
        <v>0.38825042427654594</v>
      </c>
      <c r="T21" s="51">
        <f t="shared" si="33"/>
        <v>0.38825042427654594</v>
      </c>
      <c r="U21" s="51">
        <f t="shared" si="34"/>
        <v>0.38825042427654594</v>
      </c>
      <c r="V21" s="51">
        <f t="shared" si="35"/>
        <v>0.38825042427654594</v>
      </c>
    </row>
    <row r="22" spans="1:22" x14ac:dyDescent="0.3">
      <c r="A22" s="91"/>
      <c r="B22" s="36"/>
      <c r="C22" s="91"/>
      <c r="D22" s="38" t="s">
        <v>204</v>
      </c>
      <c r="E22" s="4"/>
      <c r="F22" s="4" t="s">
        <v>209</v>
      </c>
      <c r="G22" s="4"/>
      <c r="H22" s="64">
        <f>H55/H35*365</f>
        <v>55.210689462607199</v>
      </c>
      <c r="I22" s="64">
        <f>I55/I35*365</f>
        <v>72.600396439093672</v>
      </c>
      <c r="J22" s="64">
        <f t="shared" ref="J22:L22" si="43">J55/J35*365</f>
        <v>60.974263943851504</v>
      </c>
      <c r="K22" s="64">
        <f t="shared" si="43"/>
        <v>56.148051957167972</v>
      </c>
      <c r="L22" s="64">
        <f t="shared" si="43"/>
        <v>53.85352715355377</v>
      </c>
      <c r="M22" s="64">
        <f>AVERAGE(H22:L22)</f>
        <v>59.757385791254819</v>
      </c>
      <c r="N22" s="64">
        <f>M22</f>
        <v>59.757385791254819</v>
      </c>
      <c r="O22" s="64">
        <f t="shared" si="42"/>
        <v>59.757385791254819</v>
      </c>
      <c r="P22" s="64">
        <f t="shared" si="42"/>
        <v>59.757385791254819</v>
      </c>
      <c r="Q22" s="64">
        <f t="shared" si="30"/>
        <v>59.757385791254819</v>
      </c>
      <c r="R22" s="64">
        <f t="shared" si="31"/>
        <v>59.757385791254819</v>
      </c>
      <c r="S22" s="64">
        <f t="shared" si="32"/>
        <v>59.757385791254819</v>
      </c>
      <c r="T22" s="64">
        <f t="shared" si="33"/>
        <v>59.757385791254819</v>
      </c>
      <c r="U22" s="64">
        <f t="shared" si="34"/>
        <v>59.757385791254819</v>
      </c>
      <c r="V22" s="64">
        <f t="shared" si="35"/>
        <v>59.757385791254819</v>
      </c>
    </row>
    <row r="23" spans="1:22" x14ac:dyDescent="0.3">
      <c r="A23" s="91"/>
      <c r="B23" s="36"/>
      <c r="C23" s="91"/>
      <c r="D23" s="38" t="s">
        <v>143</v>
      </c>
      <c r="E23" s="4"/>
      <c r="F23" s="4" t="s">
        <v>210</v>
      </c>
      <c r="G23" s="4"/>
      <c r="H23" s="64">
        <f>-H56/H36*365</f>
        <v>40.80048955238707</v>
      </c>
      <c r="I23" s="64">
        <f>-I56/I36*365</f>
        <v>36.814699246153559</v>
      </c>
      <c r="J23" s="64">
        <f t="shared" ref="J23:L23" si="44">-J56/J36*365</f>
        <v>35.343362701908958</v>
      </c>
      <c r="K23" s="64">
        <f t="shared" si="44"/>
        <v>35.131645132224683</v>
      </c>
      <c r="L23" s="64">
        <f t="shared" si="44"/>
        <v>32.136517297055136</v>
      </c>
      <c r="M23" s="64">
        <f>AVERAGE(H23:L23)</f>
        <v>36.045342785945877</v>
      </c>
      <c r="N23" s="64">
        <f>M23</f>
        <v>36.045342785945877</v>
      </c>
      <c r="O23" s="64">
        <f t="shared" si="42"/>
        <v>36.045342785945877</v>
      </c>
      <c r="P23" s="64">
        <f t="shared" si="42"/>
        <v>36.045342785945877</v>
      </c>
      <c r="Q23" s="64">
        <f t="shared" si="30"/>
        <v>36.045342785945877</v>
      </c>
      <c r="R23" s="64">
        <f t="shared" si="31"/>
        <v>36.045342785945877</v>
      </c>
      <c r="S23" s="64">
        <f t="shared" si="32"/>
        <v>36.045342785945877</v>
      </c>
      <c r="T23" s="64">
        <f t="shared" si="33"/>
        <v>36.045342785945877</v>
      </c>
      <c r="U23" s="64">
        <f t="shared" si="34"/>
        <v>36.045342785945877</v>
      </c>
      <c r="V23" s="64">
        <f t="shared" si="35"/>
        <v>36.045342785945877</v>
      </c>
    </row>
    <row r="24" spans="1:22" x14ac:dyDescent="0.3">
      <c r="A24" s="91"/>
      <c r="B24" s="36"/>
      <c r="C24" s="91"/>
      <c r="D24" s="38" t="s">
        <v>150</v>
      </c>
      <c r="E24" s="21"/>
      <c r="F24" s="4" t="s">
        <v>209</v>
      </c>
      <c r="G24" s="4"/>
      <c r="H24" s="64">
        <f>-H68/H36*365</f>
        <v>50.292295680949685</v>
      </c>
      <c r="I24" s="64">
        <f>-I68/I36*365</f>
        <v>61.375900540197563</v>
      </c>
      <c r="J24" s="64">
        <f t="shared" ref="J24:L24" si="45">-J68/J36*365</f>
        <v>59.255418502202645</v>
      </c>
      <c r="K24" s="64">
        <f t="shared" si="45"/>
        <v>45.997781310962004</v>
      </c>
      <c r="L24" s="64">
        <f t="shared" si="45"/>
        <v>48.646132228737862</v>
      </c>
      <c r="M24" s="64">
        <f>AVERAGE(H24:L24)</f>
        <v>53.113505652609959</v>
      </c>
      <c r="N24" s="64">
        <f>M24</f>
        <v>53.113505652609959</v>
      </c>
      <c r="O24" s="64">
        <f t="shared" si="42"/>
        <v>53.113505652609959</v>
      </c>
      <c r="P24" s="64">
        <f t="shared" si="42"/>
        <v>53.113505652609959</v>
      </c>
      <c r="Q24" s="64">
        <f t="shared" si="30"/>
        <v>53.113505652609959</v>
      </c>
      <c r="R24" s="64">
        <f t="shared" si="31"/>
        <v>53.113505652609959</v>
      </c>
      <c r="S24" s="64">
        <f t="shared" si="32"/>
        <v>53.113505652609959</v>
      </c>
      <c r="T24" s="64">
        <f t="shared" si="33"/>
        <v>53.113505652609959</v>
      </c>
      <c r="U24" s="64">
        <f t="shared" si="34"/>
        <v>53.113505652609959</v>
      </c>
      <c r="V24" s="64">
        <f t="shared" si="35"/>
        <v>53.113505652609959</v>
      </c>
    </row>
    <row r="25" spans="1:22" x14ac:dyDescent="0.3">
      <c r="A25" s="91"/>
      <c r="B25" s="36"/>
      <c r="C25" s="91"/>
      <c r="D25" s="38" t="s">
        <v>205</v>
      </c>
      <c r="E25" s="21"/>
      <c r="F25" s="4" t="s">
        <v>208</v>
      </c>
      <c r="G25" s="4"/>
      <c r="H25" s="65">
        <f>H35/H60</f>
        <v>0.48817689034248973</v>
      </c>
      <c r="I25" s="65">
        <f>I35/I60</f>
        <v>0.47834431998974153</v>
      </c>
      <c r="J25" s="65">
        <f t="shared" ref="J25:L25" si="46">J35/J60</f>
        <v>0.53794582837116722</v>
      </c>
      <c r="K25" s="65">
        <f t="shared" si="46"/>
        <v>0.62031514858068193</v>
      </c>
      <c r="L25" s="65">
        <f t="shared" si="46"/>
        <v>0.68563490633117519</v>
      </c>
      <c r="M25" s="65">
        <f>L25+0.5</f>
        <v>1.1856349063311753</v>
      </c>
      <c r="N25" s="65">
        <f t="shared" ref="N25:V25" si="47">M25+0.5</f>
        <v>1.6856349063311753</v>
      </c>
      <c r="O25" s="65">
        <f t="shared" si="47"/>
        <v>2.1856349063311753</v>
      </c>
      <c r="P25" s="65">
        <f t="shared" si="47"/>
        <v>2.6856349063311753</v>
      </c>
      <c r="Q25" s="65">
        <f t="shared" si="47"/>
        <v>3.1856349063311753</v>
      </c>
      <c r="R25" s="65">
        <f t="shared" si="47"/>
        <v>3.6856349063311753</v>
      </c>
      <c r="S25" s="65">
        <f t="shared" si="47"/>
        <v>4.1856349063311757</v>
      </c>
      <c r="T25" s="65">
        <f t="shared" si="47"/>
        <v>4.6856349063311757</v>
      </c>
      <c r="U25" s="65">
        <f t="shared" si="47"/>
        <v>5.1856349063311757</v>
      </c>
      <c r="V25" s="65">
        <f t="shared" si="47"/>
        <v>5.6856349063311757</v>
      </c>
    </row>
    <row r="26" spans="1:22" x14ac:dyDescent="0.3">
      <c r="A26" s="35"/>
      <c r="B26" s="36"/>
      <c r="C26" s="35"/>
      <c r="D26" s="35"/>
      <c r="E26" s="21"/>
      <c r="F26" s="63"/>
      <c r="G26" s="21"/>
      <c r="H26" s="21"/>
    </row>
    <row r="27" spans="1:22" x14ac:dyDescent="0.3">
      <c r="A27" s="35"/>
      <c r="B27" s="36"/>
      <c r="C27" s="35"/>
      <c r="D27" s="35"/>
      <c r="E27" s="21"/>
      <c r="F27" s="63"/>
      <c r="G27" s="21"/>
      <c r="H27" s="21"/>
    </row>
    <row r="28" spans="1:22" x14ac:dyDescent="0.3">
      <c r="A28" s="35"/>
      <c r="B28" s="36"/>
      <c r="C28" s="35"/>
      <c r="D28" s="35"/>
      <c r="E28" s="21"/>
      <c r="F28" s="63"/>
      <c r="G28" s="21"/>
      <c r="H28" s="21"/>
    </row>
    <row r="29" spans="1:22" x14ac:dyDescent="0.3">
      <c r="A29" s="35"/>
      <c r="B29" s="36"/>
      <c r="C29" s="35"/>
      <c r="D29" s="35"/>
      <c r="E29" s="21"/>
      <c r="F29" s="63"/>
      <c r="G29" s="21"/>
      <c r="H29" s="21"/>
    </row>
    <row r="30" spans="1:22" x14ac:dyDescent="0.3">
      <c r="A30" s="35"/>
      <c r="B30" s="36"/>
      <c r="C30" s="35"/>
      <c r="D30" s="35"/>
      <c r="E30" s="21"/>
      <c r="F30" s="63"/>
      <c r="G30" s="21"/>
      <c r="H30" s="21"/>
    </row>
    <row r="31" spans="1:22" x14ac:dyDescent="0.3">
      <c r="A31" s="35"/>
      <c r="B31" s="36"/>
      <c r="C31" s="35"/>
      <c r="D31" s="35"/>
      <c r="F31" s="63"/>
      <c r="G31" s="21"/>
      <c r="H31" s="21"/>
    </row>
    <row r="32" spans="1:22" ht="21" x14ac:dyDescent="0.35">
      <c r="A32" s="122" t="s">
        <v>121</v>
      </c>
      <c r="B32" s="123"/>
      <c r="C32" s="123"/>
      <c r="D32" s="123"/>
      <c r="E32" s="123"/>
      <c r="F32" s="121"/>
      <c r="G32" s="112"/>
      <c r="H32" s="112"/>
      <c r="I32" s="112"/>
      <c r="J32" s="112"/>
      <c r="K32" s="112"/>
      <c r="L32" s="112"/>
      <c r="M32" s="112"/>
      <c r="N32" s="112"/>
      <c r="O32" s="112"/>
      <c r="P32" s="112"/>
      <c r="Q32" s="112"/>
      <c r="R32" s="112"/>
      <c r="S32" s="112"/>
      <c r="T32" s="112"/>
      <c r="U32" s="112"/>
      <c r="V32" s="112"/>
    </row>
    <row r="33" spans="1:22" ht="21" x14ac:dyDescent="0.35">
      <c r="A33" s="124"/>
      <c r="B33" s="35"/>
      <c r="C33" s="35"/>
      <c r="D33" s="35"/>
      <c r="E33" s="35"/>
      <c r="F33" s="63"/>
      <c r="G33" s="21"/>
      <c r="H33" s="21"/>
      <c r="I33" s="21"/>
      <c r="J33" s="21"/>
      <c r="K33" s="21"/>
      <c r="L33" s="21"/>
      <c r="M33" s="21"/>
      <c r="N33" s="21"/>
      <c r="O33" s="21"/>
      <c r="P33" s="21"/>
      <c r="Q33" s="21"/>
      <c r="R33" s="21"/>
      <c r="S33" s="21"/>
      <c r="T33" s="21"/>
      <c r="U33" s="21"/>
      <c r="V33" s="21"/>
    </row>
    <row r="34" spans="1:22" x14ac:dyDescent="0.3">
      <c r="A34" s="37"/>
      <c r="B34" s="38" t="s">
        <v>122</v>
      </c>
      <c r="C34" s="37"/>
      <c r="D34" s="37"/>
      <c r="E34" s="100"/>
    </row>
    <row r="35" spans="1:22" x14ac:dyDescent="0.3">
      <c r="A35" s="37"/>
      <c r="B35" s="38" t="s">
        <v>123</v>
      </c>
      <c r="C35" s="37"/>
      <c r="D35" s="39"/>
      <c r="E35" s="99"/>
      <c r="F35" s="4" t="s">
        <v>324</v>
      </c>
      <c r="H35" s="14">
        <f>historical!G9</f>
        <v>12158.89</v>
      </c>
      <c r="I35" s="13">
        <f>historical!H9</f>
        <v>11638.61</v>
      </c>
      <c r="J35" s="13">
        <f>historical!I9</f>
        <v>12543.88</v>
      </c>
      <c r="K35" s="13">
        <f>historical!J9</f>
        <v>14246.35</v>
      </c>
      <c r="L35" s="13">
        <f>historical!K9</f>
        <v>15293.21</v>
      </c>
      <c r="M35" s="8">
        <f>L35*(1+M13)</f>
        <v>16226.842810149101</v>
      </c>
      <c r="N35" s="8">
        <f t="shared" ref="N35:P35" si="48">M35*(1+N13)</f>
        <v>17217.472825213776</v>
      </c>
      <c r="O35" s="8">
        <f t="shared" si="48"/>
        <v>18268.579658734674</v>
      </c>
      <c r="P35" s="8">
        <f t="shared" si="48"/>
        <v>19383.855350640897</v>
      </c>
      <c r="Q35" s="8">
        <f t="shared" ref="Q35" si="49">P35*(1+Q13)</f>
        <v>20567.217335635713</v>
      </c>
      <c r="R35" s="8">
        <f t="shared" ref="R35" si="50">Q35*(1+R13)</f>
        <v>21822.822203287233</v>
      </c>
      <c r="S35" s="8">
        <f t="shared" ref="S35" si="51">R35*(1+S13)</f>
        <v>23155.080298156739</v>
      </c>
      <c r="T35" s="8">
        <f t="shared" ref="T35" si="52">S35*(1+T13)</f>
        <v>24568.671211247987</v>
      </c>
      <c r="U35" s="8">
        <f t="shared" ref="U35" si="53">T35*(1+U13)</f>
        <v>26068.560217191593</v>
      </c>
      <c r="V35" s="8">
        <f t="shared" ref="V35" si="54">U35*(1+V13)</f>
        <v>27660.015714900554</v>
      </c>
    </row>
    <row r="36" spans="1:22" x14ac:dyDescent="0.3">
      <c r="A36" s="37"/>
      <c r="B36" s="37"/>
      <c r="C36" s="37"/>
      <c r="D36" s="38" t="s">
        <v>126</v>
      </c>
      <c r="E36" s="53"/>
      <c r="F36" s="4" t="s">
        <v>324</v>
      </c>
      <c r="H36" s="14">
        <f>-SUM(historical!G13:G15)</f>
        <v>-6442.62</v>
      </c>
      <c r="I36" s="14">
        <f>-SUM(historical!H13:H15)</f>
        <v>-5925.61</v>
      </c>
      <c r="J36" s="14">
        <f>-SUM(historical!I13:I15)</f>
        <v>-6810</v>
      </c>
      <c r="K36" s="14">
        <f>-SUM(historical!J13:J15)</f>
        <v>-9145.0399999999991</v>
      </c>
      <c r="L36" s="14">
        <f>-SUM(historical!K13:K15)</f>
        <v>-9977.7099999999991</v>
      </c>
      <c r="M36" s="8">
        <f>-M35*M14</f>
        <v>-9334.4790048642335</v>
      </c>
      <c r="N36" s="8">
        <f t="shared" ref="N36:V36" si="55">-N35*N14</f>
        <v>-9904.3381688062163</v>
      </c>
      <c r="O36" s="8">
        <f t="shared" si="55"/>
        <v>-10508.986576642737</v>
      </c>
      <c r="P36" s="8">
        <f t="shared" si="55"/>
        <v>-11150.548071539501</v>
      </c>
      <c r="Q36" s="8">
        <f t="shared" si="55"/>
        <v>-11831.276154834903</v>
      </c>
      <c r="R36" s="8">
        <f t="shared" si="55"/>
        <v>-12553.561901521738</v>
      </c>
      <c r="S36" s="8">
        <f t="shared" si="55"/>
        <v>-13319.942358959939</v>
      </c>
      <c r="T36" s="8">
        <f t="shared" si="55"/>
        <v>-14133.109458321016</v>
      </c>
      <c r="U36" s="8">
        <f t="shared" si="55"/>
        <v>-14995.919470065908</v>
      </c>
      <c r="V36" s="8">
        <f t="shared" si="55"/>
        <v>-15911.403036668817</v>
      </c>
    </row>
    <row r="37" spans="1:22" x14ac:dyDescent="0.3">
      <c r="A37" s="37"/>
      <c r="B37" s="37"/>
      <c r="C37" s="37"/>
      <c r="D37" s="40" t="s">
        <v>127</v>
      </c>
      <c r="E37" s="4"/>
      <c r="F37" s="16" t="s">
        <v>324</v>
      </c>
      <c r="G37" s="7"/>
      <c r="H37" s="10">
        <f>SUM(H35:H36)</f>
        <v>5716.2699999999995</v>
      </c>
      <c r="I37" s="10">
        <f>SUM(I35:I36)</f>
        <v>5713.0000000000009</v>
      </c>
      <c r="J37" s="10">
        <f t="shared" ref="J37:V37" si="56">SUM(J35:J36)</f>
        <v>5733.8799999999992</v>
      </c>
      <c r="K37" s="10">
        <f t="shared" si="56"/>
        <v>5101.3100000000013</v>
      </c>
      <c r="L37" s="10">
        <f t="shared" si="56"/>
        <v>5315.5</v>
      </c>
      <c r="M37" s="10">
        <f t="shared" si="56"/>
        <v>6892.3638052848673</v>
      </c>
      <c r="N37" s="10">
        <f t="shared" si="56"/>
        <v>7313.1346564075593</v>
      </c>
      <c r="O37" s="10">
        <f t="shared" si="56"/>
        <v>7759.5930820919366</v>
      </c>
      <c r="P37" s="10">
        <f t="shared" si="56"/>
        <v>8233.3072791013965</v>
      </c>
      <c r="Q37" s="10">
        <f t="shared" si="56"/>
        <v>8735.9411808008099</v>
      </c>
      <c r="R37" s="10">
        <f t="shared" si="56"/>
        <v>9269.2603017654947</v>
      </c>
      <c r="S37" s="10">
        <f t="shared" si="56"/>
        <v>9835.1379391968003</v>
      </c>
      <c r="T37" s="10">
        <f t="shared" si="56"/>
        <v>10435.561752926971</v>
      </c>
      <c r="U37" s="10">
        <f t="shared" si="56"/>
        <v>11072.640747125684</v>
      </c>
      <c r="V37" s="10">
        <f t="shared" si="56"/>
        <v>11748.612678231737</v>
      </c>
    </row>
    <row r="38" spans="1:22" x14ac:dyDescent="0.3">
      <c r="A38" s="37"/>
      <c r="B38" s="38" t="s">
        <v>3</v>
      </c>
      <c r="C38" s="37"/>
      <c r="D38" s="38"/>
      <c r="E38" s="100"/>
      <c r="I38" s="8"/>
      <c r="J38" s="8"/>
      <c r="K38" s="8"/>
      <c r="L38" s="8"/>
      <c r="M38" s="4"/>
      <c r="N38" s="4"/>
      <c r="O38" s="4"/>
      <c r="P38" s="4"/>
    </row>
    <row r="39" spans="1:22" x14ac:dyDescent="0.3">
      <c r="A39" s="37"/>
      <c r="B39" s="37"/>
      <c r="C39" s="37"/>
      <c r="D39" s="38" t="s">
        <v>408</v>
      </c>
      <c r="E39" s="99"/>
      <c r="F39" s="4" t="s">
        <v>324</v>
      </c>
      <c r="H39" s="14">
        <f>-historical!G16</f>
        <v>-1129.08</v>
      </c>
      <c r="I39" s="14">
        <f>-historical!H16</f>
        <v>-1074.21</v>
      </c>
      <c r="J39" s="14">
        <f>-historical!I16</f>
        <v>-1080.8900000000001</v>
      </c>
      <c r="K39" s="14">
        <f>-historical!J16</f>
        <v>-1189.22</v>
      </c>
      <c r="L39" s="14">
        <f>-historical!K16</f>
        <v>-1213.57</v>
      </c>
      <c r="M39" s="8">
        <f>-M35*M15</f>
        <v>-1408.9936414691647</v>
      </c>
      <c r="N39" s="8">
        <f t="shared" ref="N39:V39" si="57">-N35*N15</f>
        <v>-1495.0110761978497</v>
      </c>
      <c r="O39" s="8">
        <f t="shared" si="57"/>
        <v>-1586.2797759851821</v>
      </c>
      <c r="P39" s="8">
        <f t="shared" si="57"/>
        <v>-1683.1203244989169</v>
      </c>
      <c r="Q39" s="8">
        <f t="shared" si="57"/>
        <v>-1785.8728766695201</v>
      </c>
      <c r="R39" s="8">
        <f t="shared" si="57"/>
        <v>-1894.8983534931581</v>
      </c>
      <c r="S39" s="8">
        <f t="shared" si="57"/>
        <v>-2010.5797097760262</v>
      </c>
      <c r="T39" s="8">
        <f t="shared" si="57"/>
        <v>-2133.3232792730096</v>
      </c>
      <c r="U39" s="8">
        <f t="shared" si="57"/>
        <v>-2263.5602019455</v>
      </c>
      <c r="V39" s="8">
        <f t="shared" si="57"/>
        <v>-2401.7479383516597</v>
      </c>
    </row>
    <row r="40" spans="1:22" x14ac:dyDescent="0.3">
      <c r="A40" s="37"/>
      <c r="B40" s="37"/>
      <c r="C40" s="37"/>
      <c r="D40" s="38" t="s">
        <v>128</v>
      </c>
      <c r="E40" s="4"/>
      <c r="F40" s="4" t="s">
        <v>324</v>
      </c>
      <c r="H40" s="14">
        <f>-historical!G19</f>
        <v>-1443.2</v>
      </c>
      <c r="I40" s="14">
        <f>-historical!H19</f>
        <v>-1453.27</v>
      </c>
      <c r="J40" s="14">
        <f>-historical!I19</f>
        <v>-1736.19</v>
      </c>
      <c r="K40" s="14">
        <f>-historical!J19</f>
        <v>-1762.8</v>
      </c>
      <c r="L40" s="14">
        <f>-historical!K19</f>
        <v>-1976.49</v>
      </c>
      <c r="M40" s="44">
        <f>-M35*M16</f>
        <v>-2060.638085004904</v>
      </c>
      <c r="N40" s="44">
        <f t="shared" ref="N40:V40" si="58">-N35*N16</f>
        <v>-2186.4376605030097</v>
      </c>
      <c r="O40" s="44">
        <f t="shared" si="58"/>
        <v>-2319.9171548139657</v>
      </c>
      <c r="P40" s="44">
        <f t="shared" si="58"/>
        <v>-2461.5454181126502</v>
      </c>
      <c r="Q40" s="44">
        <f t="shared" si="58"/>
        <v>-2611.8199233356972</v>
      </c>
      <c r="R40" s="44">
        <f t="shared" si="58"/>
        <v>-2771.2685135680499</v>
      </c>
      <c r="S40" s="44">
        <f t="shared" si="58"/>
        <v>-2940.4512561054416</v>
      </c>
      <c r="T40" s="44">
        <f t="shared" si="58"/>
        <v>-3119.9624097052538</v>
      </c>
      <c r="U40" s="44">
        <f t="shared" si="58"/>
        <v>-3310.4325119357654</v>
      </c>
      <c r="V40" s="44">
        <f t="shared" si="58"/>
        <v>-3512.5305939556642</v>
      </c>
    </row>
    <row r="41" spans="1:22" x14ac:dyDescent="0.3">
      <c r="A41" s="37"/>
      <c r="B41" s="37"/>
      <c r="C41" s="37"/>
      <c r="D41" s="40" t="s">
        <v>129</v>
      </c>
      <c r="E41" s="9"/>
      <c r="F41" s="16" t="s">
        <v>324</v>
      </c>
      <c r="G41" s="7"/>
      <c r="H41" s="10">
        <f>SUM(H37,H39,H40)</f>
        <v>3143.99</v>
      </c>
      <c r="I41" s="10">
        <f>SUM(I37,I39,I40)</f>
        <v>3185.5200000000009</v>
      </c>
      <c r="J41" s="10">
        <f t="shared" ref="J41:V41" si="59">SUM(J37,J39,J40)</f>
        <v>2916.7999999999988</v>
      </c>
      <c r="K41" s="10">
        <f t="shared" si="59"/>
        <v>2149.2900000000009</v>
      </c>
      <c r="L41" s="10">
        <f t="shared" si="59"/>
        <v>2125.4400000000005</v>
      </c>
      <c r="M41" s="23">
        <f t="shared" si="59"/>
        <v>3422.7320788107986</v>
      </c>
      <c r="N41" s="23">
        <f t="shared" si="59"/>
        <v>3631.6859197067001</v>
      </c>
      <c r="O41" s="23">
        <f t="shared" si="59"/>
        <v>3853.396151292789</v>
      </c>
      <c r="P41" s="23">
        <f t="shared" si="59"/>
        <v>4088.6415364898289</v>
      </c>
      <c r="Q41" s="23">
        <f t="shared" si="59"/>
        <v>4338.2483807955923</v>
      </c>
      <c r="R41" s="23">
        <f t="shared" si="59"/>
        <v>4603.0934347042876</v>
      </c>
      <c r="S41" s="23">
        <f t="shared" si="59"/>
        <v>4884.1069733153327</v>
      </c>
      <c r="T41" s="23">
        <f t="shared" si="59"/>
        <v>5182.2760639487069</v>
      </c>
      <c r="U41" s="23">
        <f t="shared" si="59"/>
        <v>5498.6480332444189</v>
      </c>
      <c r="V41" s="23">
        <f t="shared" si="59"/>
        <v>5834.334145924413</v>
      </c>
    </row>
    <row r="42" spans="1:22" x14ac:dyDescent="0.3">
      <c r="A42" s="37"/>
      <c r="B42" s="37"/>
      <c r="C42" s="37"/>
      <c r="D42" s="38" t="s">
        <v>130</v>
      </c>
      <c r="E42" s="53"/>
      <c r="F42" s="4" t="s">
        <v>324</v>
      </c>
      <c r="H42" s="14">
        <f>-historical!G18</f>
        <v>-847.98</v>
      </c>
      <c r="I42" s="14">
        <f>-historical!H18</f>
        <v>-866.65</v>
      </c>
      <c r="J42" s="14">
        <f>-historical!I18</f>
        <v>-884.66</v>
      </c>
      <c r="K42" s="14">
        <f>-historical!J18</f>
        <v>-877.87</v>
      </c>
      <c r="L42" s="14">
        <f>-historical!K18</f>
        <v>-1216.73</v>
      </c>
      <c r="M42" s="44">
        <f>M132</f>
        <v>-1187.6125755381252</v>
      </c>
      <c r="N42" s="44">
        <f t="shared" ref="N42:V42" si="60">N132</f>
        <v>-1154.1097347239074</v>
      </c>
      <c r="O42" s="44">
        <f t="shared" si="60"/>
        <v>-1128.1520601681066</v>
      </c>
      <c r="P42" s="44">
        <f t="shared" si="60"/>
        <v>-1097.9629736970633</v>
      </c>
      <c r="Q42" s="44">
        <f t="shared" si="60"/>
        <v>-1074.887898616051</v>
      </c>
      <c r="R42" s="44">
        <f t="shared" si="60"/>
        <v>-1047.7163346019934</v>
      </c>
      <c r="S42" s="44">
        <f t="shared" si="60"/>
        <v>-1027.2699535572026</v>
      </c>
      <c r="T42" s="44">
        <f t="shared" si="60"/>
        <v>-1002.8447472955272</v>
      </c>
      <c r="U42" s="44">
        <f t="shared" si="60"/>
        <v>-984.7945879735704</v>
      </c>
      <c r="V42" s="44">
        <f t="shared" si="60"/>
        <v>-962.86766396104497</v>
      </c>
    </row>
    <row r="43" spans="1:22" x14ac:dyDescent="0.3">
      <c r="A43" s="37"/>
      <c r="B43" s="37"/>
      <c r="C43" s="37"/>
      <c r="D43" s="40" t="s">
        <v>131</v>
      </c>
      <c r="E43" s="4"/>
      <c r="F43" s="16" t="s">
        <v>324</v>
      </c>
      <c r="G43" s="7"/>
      <c r="H43" s="10">
        <f>SUM(H41:H42)</f>
        <v>2296.0099999999998</v>
      </c>
      <c r="I43" s="10">
        <f>SUM(I41:I42)</f>
        <v>2318.8700000000008</v>
      </c>
      <c r="J43" s="10">
        <f t="shared" ref="J43:V43" si="61">SUM(J41:J42)</f>
        <v>2032.139999999999</v>
      </c>
      <c r="K43" s="10">
        <f t="shared" si="61"/>
        <v>1271.420000000001</v>
      </c>
      <c r="L43" s="10">
        <f t="shared" si="61"/>
        <v>908.71000000000049</v>
      </c>
      <c r="M43" s="23">
        <f t="shared" si="61"/>
        <v>2235.1195032726737</v>
      </c>
      <c r="N43" s="23">
        <f t="shared" si="61"/>
        <v>2477.5761849827927</v>
      </c>
      <c r="O43" s="23">
        <f t="shared" si="61"/>
        <v>2725.2440911246822</v>
      </c>
      <c r="P43" s="23">
        <f t="shared" si="61"/>
        <v>2990.6785627927657</v>
      </c>
      <c r="Q43" s="23">
        <f t="shared" si="61"/>
        <v>3263.3604821795416</v>
      </c>
      <c r="R43" s="23">
        <f t="shared" si="61"/>
        <v>3555.3771001022942</v>
      </c>
      <c r="S43" s="23">
        <f t="shared" si="61"/>
        <v>3856.8370197581298</v>
      </c>
      <c r="T43" s="23">
        <f t="shared" si="61"/>
        <v>4179.4313166531792</v>
      </c>
      <c r="U43" s="23">
        <f t="shared" si="61"/>
        <v>4513.8534452708482</v>
      </c>
      <c r="V43" s="23">
        <f t="shared" si="61"/>
        <v>4871.4664819633681</v>
      </c>
    </row>
    <row r="44" spans="1:22" x14ac:dyDescent="0.3">
      <c r="A44" s="37"/>
      <c r="B44" s="37"/>
      <c r="C44" s="37"/>
      <c r="D44" s="38" t="s">
        <v>132</v>
      </c>
      <c r="E44" s="100"/>
      <c r="F44" s="4" t="s">
        <v>324</v>
      </c>
      <c r="H44" s="14">
        <f>-historical!G17</f>
        <v>-1377.67</v>
      </c>
      <c r="I44" s="14">
        <f>-historical!H17</f>
        <v>-1225.9100000000001</v>
      </c>
      <c r="J44" s="14">
        <f>-historical!I17</f>
        <v>-1129.3</v>
      </c>
      <c r="K44" s="14">
        <f>-historical!J17</f>
        <v>-1117.24</v>
      </c>
      <c r="L44" s="14">
        <f>-historical!K17</f>
        <v>-1233.9000000000001</v>
      </c>
      <c r="M44" s="8">
        <f>M139</f>
        <v>-1258.1915703324166</v>
      </c>
      <c r="N44" s="8">
        <f t="shared" ref="N44:V44" si="62">N139</f>
        <v>-1258.1915703324166</v>
      </c>
      <c r="O44" s="8">
        <f t="shared" si="62"/>
        <v>-1258.1915703324166</v>
      </c>
      <c r="P44" s="8">
        <f t="shared" si="62"/>
        <v>-1258.1915703324166</v>
      </c>
      <c r="Q44" s="8">
        <f t="shared" si="62"/>
        <v>-1258.1915703324166</v>
      </c>
      <c r="R44" s="8">
        <f t="shared" si="62"/>
        <v>-1258.1915703324166</v>
      </c>
      <c r="S44" s="8">
        <f t="shared" si="62"/>
        <v>-1258.1915703324166</v>
      </c>
      <c r="T44" s="8">
        <f t="shared" si="62"/>
        <v>-1258.1915703324166</v>
      </c>
      <c r="U44" s="8">
        <f t="shared" si="62"/>
        <v>-1258.1915703324166</v>
      </c>
      <c r="V44" s="8">
        <f t="shared" si="62"/>
        <v>-1258.1915703324166</v>
      </c>
    </row>
    <row r="45" spans="1:22" x14ac:dyDescent="0.3">
      <c r="A45" s="37"/>
      <c r="B45" s="37"/>
      <c r="C45" s="37"/>
      <c r="D45" s="38" t="s">
        <v>137</v>
      </c>
      <c r="E45" s="99"/>
      <c r="F45" s="4" t="s">
        <v>324</v>
      </c>
      <c r="H45" s="14">
        <f>historical!G28</f>
        <v>630.29</v>
      </c>
      <c r="I45" s="14">
        <f>historical!H28</f>
        <v>423.91</v>
      </c>
      <c r="J45" s="14">
        <f>historical!I28</f>
        <v>736.95</v>
      </c>
      <c r="K45" s="14">
        <f>historical!J28</f>
        <v>1276.1500000000001</v>
      </c>
      <c r="L45" s="14">
        <f>historical!K28</f>
        <v>1757.27</v>
      </c>
      <c r="M45" s="8">
        <f>L45</f>
        <v>1757.27</v>
      </c>
      <c r="N45" s="8">
        <f t="shared" ref="N45:V45" si="63">M45</f>
        <v>1757.27</v>
      </c>
      <c r="O45" s="8">
        <f t="shared" si="63"/>
        <v>1757.27</v>
      </c>
      <c r="P45" s="8">
        <f t="shared" si="63"/>
        <v>1757.27</v>
      </c>
      <c r="Q45" s="8">
        <f t="shared" si="63"/>
        <v>1757.27</v>
      </c>
      <c r="R45" s="8">
        <f t="shared" si="63"/>
        <v>1757.27</v>
      </c>
      <c r="S45" s="8">
        <f t="shared" si="63"/>
        <v>1757.27</v>
      </c>
      <c r="T45" s="8">
        <f t="shared" si="63"/>
        <v>1757.27</v>
      </c>
      <c r="U45" s="8">
        <f t="shared" si="63"/>
        <v>1757.27</v>
      </c>
      <c r="V45" s="8">
        <f t="shared" si="63"/>
        <v>1757.27</v>
      </c>
    </row>
    <row r="46" spans="1:22" x14ac:dyDescent="0.3">
      <c r="A46" s="37"/>
      <c r="B46" s="37"/>
      <c r="C46" s="37"/>
      <c r="D46" s="38" t="s">
        <v>133</v>
      </c>
      <c r="E46" s="4"/>
      <c r="F46" s="4" t="s">
        <v>324</v>
      </c>
      <c r="H46" s="14">
        <f>historical!G10</f>
        <v>218</v>
      </c>
      <c r="I46" s="14">
        <f>historical!H10</f>
        <v>234.67</v>
      </c>
      <c r="J46" s="14">
        <f>historical!I10</f>
        <v>275.69</v>
      </c>
      <c r="K46" s="14">
        <f>historical!J10</f>
        <v>308.77</v>
      </c>
      <c r="L46" s="14">
        <f>historical!K10</f>
        <v>251.05</v>
      </c>
      <c r="M46" s="44">
        <f>M35*M19</f>
        <v>318.56466651250969</v>
      </c>
      <c r="N46" s="44">
        <f t="shared" ref="N46:V46" si="64">N35*N19</f>
        <v>338.01267152978761</v>
      </c>
      <c r="O46" s="44">
        <f t="shared" si="64"/>
        <v>358.64795479512964</v>
      </c>
      <c r="P46" s="44">
        <f t="shared" si="64"/>
        <v>380.54299827453031</v>
      </c>
      <c r="Q46" s="44">
        <f t="shared" si="64"/>
        <v>403.77470887430724</v>
      </c>
      <c r="R46" s="44">
        <f t="shared" si="64"/>
        <v>428.42468857859791</v>
      </c>
      <c r="S46" s="44">
        <f t="shared" si="64"/>
        <v>454.57952107843869</v>
      </c>
      <c r="T46" s="44">
        <f t="shared" si="64"/>
        <v>482.33107589921838</v>
      </c>
      <c r="U46" s="44">
        <f t="shared" si="64"/>
        <v>511.77683109476118</v>
      </c>
      <c r="V46" s="44">
        <f t="shared" si="64"/>
        <v>543.0202156415113</v>
      </c>
    </row>
    <row r="47" spans="1:22" x14ac:dyDescent="0.3">
      <c r="A47" s="37"/>
      <c r="B47" s="37"/>
      <c r="C47" s="37"/>
      <c r="D47" s="40" t="s">
        <v>134</v>
      </c>
      <c r="E47" s="9"/>
      <c r="F47" s="16" t="s">
        <v>324</v>
      </c>
      <c r="G47" s="7"/>
      <c r="H47" s="10">
        <f>SUM(H43:H46)</f>
        <v>1766.6299999999997</v>
      </c>
      <c r="I47" s="10">
        <f>SUM(I43:I46)</f>
        <v>1751.5400000000009</v>
      </c>
      <c r="J47" s="10">
        <f t="shared" ref="J47:K47" si="65">SUM(J43:J46)</f>
        <v>1915.4799999999991</v>
      </c>
      <c r="K47" s="10">
        <f t="shared" si="65"/>
        <v>1739.100000000001</v>
      </c>
      <c r="L47" s="10">
        <f>SUM(L43:L46)</f>
        <v>1683.1300000000003</v>
      </c>
      <c r="M47" s="23">
        <f t="shared" ref="M47:V47" si="66">SUM(M43:M46)</f>
        <v>3052.7625994527666</v>
      </c>
      <c r="N47" s="23">
        <f t="shared" si="66"/>
        <v>3314.6672861801635</v>
      </c>
      <c r="O47" s="23">
        <f t="shared" si="66"/>
        <v>3582.9704755873954</v>
      </c>
      <c r="P47" s="23">
        <f t="shared" si="66"/>
        <v>3870.2999907348794</v>
      </c>
      <c r="Q47" s="23">
        <f t="shared" si="66"/>
        <v>4166.2136207214326</v>
      </c>
      <c r="R47" s="23">
        <f t="shared" si="66"/>
        <v>4482.8802183484759</v>
      </c>
      <c r="S47" s="23">
        <f t="shared" si="66"/>
        <v>4810.4949705041518</v>
      </c>
      <c r="T47" s="23">
        <f t="shared" si="66"/>
        <v>5160.8408222199805</v>
      </c>
      <c r="U47" s="23">
        <f t="shared" si="66"/>
        <v>5524.7087060331924</v>
      </c>
      <c r="V47" s="23">
        <f t="shared" si="66"/>
        <v>5913.5651272724635</v>
      </c>
    </row>
    <row r="48" spans="1:22" x14ac:dyDescent="0.3">
      <c r="A48" s="37"/>
      <c r="B48" s="37"/>
      <c r="C48" s="37"/>
      <c r="D48" s="38" t="s">
        <v>135</v>
      </c>
      <c r="E48" s="101"/>
      <c r="F48" s="4" t="s">
        <v>324</v>
      </c>
      <c r="H48" s="14">
        <f>-historical!G34</f>
        <v>-458.62</v>
      </c>
      <c r="I48" s="14">
        <f>-historical!H34</f>
        <v>-388.73</v>
      </c>
      <c r="J48" s="14">
        <f>-historical!I34</f>
        <v>-511.4</v>
      </c>
      <c r="K48" s="14">
        <f>-historical!J34</f>
        <v>-341.77000000000004</v>
      </c>
      <c r="L48" s="14">
        <f>-historical!K34</f>
        <v>-235.84</v>
      </c>
      <c r="M48" s="44">
        <f>-M20*M47</f>
        <v>-429.89154082703953</v>
      </c>
      <c r="N48" s="44">
        <f t="shared" ref="N48:V48" si="67">-N20*N47</f>
        <v>-466.77308849381404</v>
      </c>
      <c r="O48" s="44">
        <f t="shared" si="67"/>
        <v>-507.0784548585554</v>
      </c>
      <c r="P48" s="44">
        <f t="shared" si="67"/>
        <v>-547.7426488754927</v>
      </c>
      <c r="Q48" s="44">
        <f t="shared" si="67"/>
        <v>-592.56981482244817</v>
      </c>
      <c r="R48" s="44">
        <f t="shared" si="67"/>
        <v>-637.61000819683829</v>
      </c>
      <c r="S48" s="44">
        <f t="shared" si="67"/>
        <v>-687.62841881095505</v>
      </c>
      <c r="T48" s="44">
        <f t="shared" si="67"/>
        <v>-737.70803962533557</v>
      </c>
      <c r="U48" s="44">
        <f t="shared" si="67"/>
        <v>-793.66914816256315</v>
      </c>
      <c r="V48" s="44">
        <f t="shared" si="67"/>
        <v>-849.53152227569728</v>
      </c>
    </row>
    <row r="49" spans="1:22" ht="21.75" thickBot="1" x14ac:dyDescent="0.4">
      <c r="A49" s="37"/>
      <c r="B49" s="37"/>
      <c r="C49" s="37"/>
      <c r="D49" s="41" t="s">
        <v>136</v>
      </c>
      <c r="E49" s="135"/>
      <c r="F49" s="55" t="s">
        <v>324</v>
      </c>
      <c r="G49" s="11"/>
      <c r="H49" s="12">
        <f>SUM(H47:H48)</f>
        <v>1308.0099999999998</v>
      </c>
      <c r="I49" s="12">
        <f>SUM(I47:I48)</f>
        <v>1362.8100000000009</v>
      </c>
      <c r="J49" s="12">
        <f t="shared" ref="J49:V49" si="68">SUM(J47:J48)</f>
        <v>1404.079999999999</v>
      </c>
      <c r="K49" s="12">
        <f t="shared" si="68"/>
        <v>1397.3300000000011</v>
      </c>
      <c r="L49" s="12">
        <f t="shared" si="68"/>
        <v>1447.2900000000004</v>
      </c>
      <c r="M49" s="45">
        <f t="shared" si="68"/>
        <v>2622.8710586257271</v>
      </c>
      <c r="N49" s="45">
        <f t="shared" si="68"/>
        <v>2847.8941976863493</v>
      </c>
      <c r="O49" s="45">
        <f t="shared" si="68"/>
        <v>3075.8920207288402</v>
      </c>
      <c r="P49" s="45">
        <f t="shared" si="68"/>
        <v>3322.5573418593867</v>
      </c>
      <c r="Q49" s="45">
        <f t="shared" si="68"/>
        <v>3573.6438058989843</v>
      </c>
      <c r="R49" s="45">
        <f t="shared" si="68"/>
        <v>3845.2702101516375</v>
      </c>
      <c r="S49" s="45">
        <f t="shared" si="68"/>
        <v>4122.8665516931969</v>
      </c>
      <c r="T49" s="45">
        <f t="shared" si="68"/>
        <v>4423.1327825946446</v>
      </c>
      <c r="U49" s="45">
        <f t="shared" si="68"/>
        <v>4731.0395578706293</v>
      </c>
      <c r="V49" s="45">
        <f t="shared" si="68"/>
        <v>5064.0336049967664</v>
      </c>
    </row>
    <row r="50" spans="1:22" ht="17.25" thickTop="1" x14ac:dyDescent="0.3">
      <c r="A50" s="37"/>
      <c r="B50" s="37"/>
      <c r="C50" s="37"/>
      <c r="D50" s="37"/>
      <c r="E50" s="4"/>
      <c r="I50" s="6"/>
      <c r="J50" s="6"/>
      <c r="K50" s="6"/>
      <c r="L50" s="6"/>
      <c r="M50" s="4"/>
      <c r="N50" s="4"/>
      <c r="O50" s="4"/>
      <c r="P50" s="4"/>
    </row>
    <row r="51" spans="1:22" ht="21" x14ac:dyDescent="0.35">
      <c r="A51" s="122" t="s">
        <v>138</v>
      </c>
      <c r="B51" s="122"/>
      <c r="C51" s="122"/>
      <c r="D51" s="122"/>
      <c r="E51" s="119"/>
      <c r="F51" s="125"/>
      <c r="G51" s="126"/>
      <c r="H51" s="126"/>
      <c r="I51" s="127"/>
      <c r="J51" s="127"/>
      <c r="K51" s="127"/>
      <c r="L51" s="127"/>
      <c r="M51" s="125"/>
      <c r="N51" s="125"/>
      <c r="O51" s="125"/>
      <c r="P51" s="125"/>
      <c r="Q51" s="125"/>
      <c r="R51" s="125"/>
      <c r="S51" s="125"/>
      <c r="T51" s="125"/>
      <c r="U51" s="125"/>
      <c r="V51" s="125"/>
    </row>
    <row r="52" spans="1:22" x14ac:dyDescent="0.3">
      <c r="A52" s="37"/>
      <c r="B52" s="38" t="s">
        <v>139</v>
      </c>
      <c r="C52" s="38"/>
      <c r="D52" s="38"/>
      <c r="E52" s="4"/>
      <c r="G52" s="4"/>
      <c r="H52" s="4"/>
      <c r="I52" s="4"/>
      <c r="J52" s="4"/>
      <c r="K52" s="4"/>
      <c r="L52" s="4"/>
      <c r="M52" s="4"/>
      <c r="N52" s="4"/>
      <c r="O52" s="4"/>
      <c r="P52" s="4"/>
    </row>
    <row r="53" spans="1:22" x14ac:dyDescent="0.3">
      <c r="A53" s="37"/>
      <c r="B53" s="38"/>
      <c r="C53" s="38"/>
      <c r="D53" s="38" t="s">
        <v>140</v>
      </c>
      <c r="E53" s="4"/>
      <c r="F53" s="4" t="s">
        <v>324</v>
      </c>
      <c r="G53" s="4"/>
      <c r="H53" s="14">
        <f>historical!G64</f>
        <v>1262.4100000000001</v>
      </c>
      <c r="I53" s="14">
        <f>historical!H64</f>
        <v>839.6</v>
      </c>
      <c r="J53" s="14">
        <f>historical!I64</f>
        <v>2152.6999999999998</v>
      </c>
      <c r="K53" s="14">
        <f>historical!J64</f>
        <v>1129.2</v>
      </c>
      <c r="L53" s="14">
        <f>historical!K64</f>
        <v>1275.3800000000001</v>
      </c>
      <c r="M53" s="8">
        <f>M117</f>
        <v>4148.2930424324659</v>
      </c>
      <c r="N53" s="8">
        <f t="shared" ref="N53:V53" si="69">N117</f>
        <v>6412.2497229378459</v>
      </c>
      <c r="O53" s="8">
        <f t="shared" si="69"/>
        <v>8782.57491897404</v>
      </c>
      <c r="P53" s="8">
        <f t="shared" si="69"/>
        <v>11266.177733704786</v>
      </c>
      <c r="Q53" s="8">
        <f t="shared" si="69"/>
        <v>13872.58122608612</v>
      </c>
      <c r="R53" s="8">
        <f t="shared" si="69"/>
        <v>16609.941367311021</v>
      </c>
      <c r="S53" s="8">
        <f t="shared" si="69"/>
        <v>19488.30430307825</v>
      </c>
      <c r="T53" s="8">
        <f t="shared" si="69"/>
        <v>22517.208941720361</v>
      </c>
      <c r="U53" s="8">
        <f t="shared" si="69"/>
        <v>25707.333269092433</v>
      </c>
      <c r="V53" s="8">
        <f t="shared" si="69"/>
        <v>29069.754634786837</v>
      </c>
    </row>
    <row r="54" spans="1:22" x14ac:dyDescent="0.3">
      <c r="A54" s="37"/>
      <c r="B54" s="38"/>
      <c r="C54" s="38"/>
      <c r="D54" s="38" t="s">
        <v>141</v>
      </c>
      <c r="E54" s="4"/>
      <c r="F54" s="4" t="s">
        <v>324</v>
      </c>
      <c r="G54" s="4"/>
      <c r="H54" s="14">
        <f>historical!G65</f>
        <v>716.19</v>
      </c>
      <c r="I54" s="14">
        <f>historical!H65</f>
        <v>1018.33</v>
      </c>
      <c r="J54" s="14">
        <f>historical!I65</f>
        <v>1096.76</v>
      </c>
      <c r="K54" s="14">
        <f>historical!J65</f>
        <v>1459.15</v>
      </c>
      <c r="L54" s="14">
        <f>historical!K65</f>
        <v>1435.97</v>
      </c>
      <c r="M54" s="8">
        <f>L54</f>
        <v>1435.97</v>
      </c>
      <c r="N54" s="8">
        <f t="shared" ref="N54:P54" si="70">M54</f>
        <v>1435.97</v>
      </c>
      <c r="O54" s="8">
        <f t="shared" si="70"/>
        <v>1435.97</v>
      </c>
      <c r="P54" s="8">
        <f t="shared" si="70"/>
        <v>1435.97</v>
      </c>
      <c r="Q54" s="8">
        <f t="shared" ref="Q54" si="71">P54</f>
        <v>1435.97</v>
      </c>
      <c r="R54" s="8">
        <f t="shared" ref="R54" si="72">Q54</f>
        <v>1435.97</v>
      </c>
      <c r="S54" s="8">
        <f t="shared" ref="S54" si="73">R54</f>
        <v>1435.97</v>
      </c>
      <c r="T54" s="8">
        <f t="shared" ref="T54" si="74">S54</f>
        <v>1435.97</v>
      </c>
      <c r="U54" s="8">
        <f t="shared" ref="U54" si="75">T54</f>
        <v>1435.97</v>
      </c>
      <c r="V54" s="8">
        <f t="shared" ref="V54" si="76">U54</f>
        <v>1435.97</v>
      </c>
    </row>
    <row r="55" spans="1:22" x14ac:dyDescent="0.3">
      <c r="A55" s="37"/>
      <c r="B55" s="38"/>
      <c r="C55" s="38"/>
      <c r="D55" s="38" t="s">
        <v>142</v>
      </c>
      <c r="E55" s="4"/>
      <c r="F55" s="4" t="s">
        <v>324</v>
      </c>
      <c r="G55" s="4"/>
      <c r="H55" s="14">
        <f>historical!G63</f>
        <v>1839.18</v>
      </c>
      <c r="I55" s="14">
        <f>historical!H63</f>
        <v>2314.98</v>
      </c>
      <c r="J55" s="14">
        <f>historical!I63</f>
        <v>2095.4899999999998</v>
      </c>
      <c r="K55" s="14">
        <f>historical!J63</f>
        <v>2191.52</v>
      </c>
      <c r="L55" s="14">
        <f>historical!K63</f>
        <v>2256.42</v>
      </c>
      <c r="M55" s="8">
        <f>(M35*M23)/365</f>
        <v>1602.4715381520152</v>
      </c>
      <c r="N55" s="8">
        <f t="shared" ref="N55:V55" si="77">(N35*N23)/365</f>
        <v>1700.3005750480506</v>
      </c>
      <c r="O55" s="8">
        <f t="shared" si="77"/>
        <v>1804.1019616752039</v>
      </c>
      <c r="P55" s="8">
        <f t="shared" si="77"/>
        <v>1914.240303087787</v>
      </c>
      <c r="Q55" s="8">
        <f t="shared" si="77"/>
        <v>2031.1024630576376</v>
      </c>
      <c r="R55" s="8">
        <f t="shared" si="77"/>
        <v>2155.0989229431202</v>
      </c>
      <c r="S55" s="8">
        <f t="shared" si="77"/>
        <v>2286.6652235155111</v>
      </c>
      <c r="T55" s="8">
        <f t="shared" si="77"/>
        <v>2426.2634948072159</v>
      </c>
      <c r="U55" s="8">
        <f t="shared" si="77"/>
        <v>2574.3840793554596</v>
      </c>
      <c r="V55" s="8">
        <f t="shared" si="77"/>
        <v>2731.5472545431239</v>
      </c>
    </row>
    <row r="56" spans="1:22" x14ac:dyDescent="0.3">
      <c r="A56" s="37"/>
      <c r="B56" s="38"/>
      <c r="C56" s="38"/>
      <c r="D56" s="38" t="s">
        <v>143</v>
      </c>
      <c r="E56" s="4"/>
      <c r="F56" s="4" t="s">
        <v>324</v>
      </c>
      <c r="G56" s="4"/>
      <c r="H56" s="14">
        <f>historical!G60</f>
        <v>720.17</v>
      </c>
      <c r="I56" s="14">
        <f>historical!H60</f>
        <v>597.66999999999996</v>
      </c>
      <c r="J56" s="14">
        <f>historical!I60</f>
        <v>659.42</v>
      </c>
      <c r="K56" s="14">
        <f>historical!J60</f>
        <v>880.22</v>
      </c>
      <c r="L56" s="14">
        <f>historical!K60</f>
        <v>878.49</v>
      </c>
      <c r="M56" s="8">
        <f>-M36*M23/365</f>
        <v>921.82053550286651</v>
      </c>
      <c r="N56" s="8">
        <f t="shared" ref="N56:V56" si="78">-N36*N23/365</f>
        <v>978.0966146919111</v>
      </c>
      <c r="O56" s="8">
        <f t="shared" si="78"/>
        <v>1037.8082835287435</v>
      </c>
      <c r="P56" s="8">
        <f t="shared" si="78"/>
        <v>1101.1652807939975</v>
      </c>
      <c r="Q56" s="8">
        <f t="shared" si="78"/>
        <v>1168.3901495786622</v>
      </c>
      <c r="R56" s="8">
        <f t="shared" si="78"/>
        <v>1239.7190189724427</v>
      </c>
      <c r="S56" s="8">
        <f t="shared" si="78"/>
        <v>1315.4024334732919</v>
      </c>
      <c r="T56" s="8">
        <f t="shared" si="78"/>
        <v>1395.7062330314382</v>
      </c>
      <c r="U56" s="8">
        <f t="shared" si="78"/>
        <v>1480.9124868190834</v>
      </c>
      <c r="V56" s="8">
        <f t="shared" si="78"/>
        <v>1571.3204840056649</v>
      </c>
    </row>
    <row r="57" spans="1:22" x14ac:dyDescent="0.3">
      <c r="A57" s="37"/>
      <c r="B57" s="38"/>
      <c r="C57" s="38"/>
      <c r="D57" s="38" t="s">
        <v>144</v>
      </c>
      <c r="E57" s="4"/>
      <c r="F57" s="4" t="s">
        <v>324</v>
      </c>
      <c r="G57" s="4"/>
      <c r="H57" s="14">
        <f>historical!G69</f>
        <v>419.18</v>
      </c>
      <c r="I57" s="14">
        <f>historical!H69</f>
        <v>417.15</v>
      </c>
      <c r="J57" s="14">
        <f>historical!I69</f>
        <v>466.06</v>
      </c>
      <c r="K57" s="14">
        <f>historical!J69</f>
        <v>573.95000000000005</v>
      </c>
      <c r="L57" s="14">
        <f>historical!K69</f>
        <v>394.56</v>
      </c>
      <c r="M57" s="8">
        <f>L57</f>
        <v>394.56</v>
      </c>
      <c r="N57" s="8">
        <f t="shared" ref="N57:P57" si="79">M57</f>
        <v>394.56</v>
      </c>
      <c r="O57" s="8">
        <f t="shared" si="79"/>
        <v>394.56</v>
      </c>
      <c r="P57" s="8">
        <f t="shared" si="79"/>
        <v>394.56</v>
      </c>
      <c r="Q57" s="8">
        <f t="shared" ref="Q57" si="80">P57</f>
        <v>394.56</v>
      </c>
      <c r="R57" s="8">
        <f t="shared" ref="R57" si="81">Q57</f>
        <v>394.56</v>
      </c>
      <c r="S57" s="8">
        <f t="shared" ref="S57" si="82">R57</f>
        <v>394.56</v>
      </c>
      <c r="T57" s="8">
        <f t="shared" ref="T57" si="83">S57</f>
        <v>394.56</v>
      </c>
      <c r="U57" s="8">
        <f t="shared" ref="U57" si="84">T57</f>
        <v>394.56</v>
      </c>
      <c r="V57" s="8">
        <f t="shared" ref="V57" si="85">U57</f>
        <v>394.56</v>
      </c>
    </row>
    <row r="58" spans="1:22" x14ac:dyDescent="0.3">
      <c r="A58" s="37"/>
      <c r="B58" s="38"/>
      <c r="C58" s="38"/>
      <c r="D58" s="38"/>
      <c r="E58" s="4"/>
      <c r="G58" s="4"/>
      <c r="H58" s="14"/>
      <c r="I58" s="14"/>
      <c r="J58" s="14"/>
      <c r="K58" s="14"/>
      <c r="L58" s="14"/>
      <c r="M58" s="8"/>
      <c r="N58" s="8"/>
      <c r="O58" s="8"/>
      <c r="P58" s="8"/>
    </row>
    <row r="59" spans="1:22" x14ac:dyDescent="0.3">
      <c r="A59" s="37"/>
      <c r="B59" s="38" t="s">
        <v>145</v>
      </c>
      <c r="C59" s="38"/>
      <c r="D59" s="38"/>
      <c r="E59" s="4"/>
      <c r="F59" s="4" t="s">
        <v>324</v>
      </c>
      <c r="G59" s="4"/>
      <c r="H59" s="14"/>
      <c r="I59" s="14"/>
      <c r="J59" s="14"/>
      <c r="K59" s="14"/>
      <c r="L59" s="14"/>
      <c r="M59" s="8"/>
      <c r="N59" s="8"/>
      <c r="O59" s="8"/>
      <c r="P59" s="8"/>
    </row>
    <row r="60" spans="1:22" x14ac:dyDescent="0.3">
      <c r="A60" s="37"/>
      <c r="B60" s="38"/>
      <c r="C60" s="38"/>
      <c r="D60" s="38" t="s">
        <v>146</v>
      </c>
      <c r="E60" s="4"/>
      <c r="F60" s="4" t="s">
        <v>324</v>
      </c>
      <c r="G60" s="4"/>
      <c r="H60" s="14">
        <f>SUM(historical!G46:G49)</f>
        <v>24906.73</v>
      </c>
      <c r="I60" s="14">
        <f>SUM(historical!H46:H49)</f>
        <v>24331.03</v>
      </c>
      <c r="J60" s="14">
        <f>SUM(historical!I46:I49)</f>
        <v>23318.11</v>
      </c>
      <c r="K60" s="14">
        <f>SUM(historical!J46:J49)</f>
        <v>22966.309999999998</v>
      </c>
      <c r="L60" s="14">
        <f>SUM(historical!K46:K49)</f>
        <v>22305.179999999997</v>
      </c>
      <c r="M60" s="8">
        <f>M133</f>
        <v>21675.945424461872</v>
      </c>
      <c r="N60" s="8">
        <f t="shared" ref="N60:V60" si="86">N133</f>
        <v>21083.005579737961</v>
      </c>
      <c r="O60" s="8">
        <f t="shared" si="86"/>
        <v>20518.829259019851</v>
      </c>
      <c r="P60" s="8">
        <f t="shared" si="86"/>
        <v>19987.661903470034</v>
      </c>
      <c r="Q60" s="8">
        <f t="shared" si="86"/>
        <v>19482.403601091966</v>
      </c>
      <c r="R60" s="8">
        <f t="shared" si="86"/>
        <v>19007.165010709148</v>
      </c>
      <c r="S60" s="8">
        <f t="shared" si="86"/>
        <v>18555.235190092215</v>
      </c>
      <c r="T60" s="8">
        <f t="shared" si="86"/>
        <v>18130.607276401661</v>
      </c>
      <c r="U60" s="8">
        <f t="shared" si="86"/>
        <v>17726.920606201085</v>
      </c>
      <c r="V60" s="8">
        <f t="shared" si="86"/>
        <v>17348.066399601903</v>
      </c>
    </row>
    <row r="61" spans="1:22" x14ac:dyDescent="0.3">
      <c r="A61" s="37"/>
      <c r="B61" s="38"/>
      <c r="C61" s="38"/>
      <c r="D61" s="38" t="s">
        <v>33</v>
      </c>
      <c r="E61" s="100"/>
      <c r="F61" s="4" t="s">
        <v>324</v>
      </c>
      <c r="G61" s="4"/>
      <c r="H61" s="14">
        <f>SUM(historical!G52,historical!G53,historical!G54,historical!G62,historical!G66,historical!G67)</f>
        <v>485.59</v>
      </c>
      <c r="I61" s="14">
        <f>SUM(historical!H52,historical!H53,historical!H54,historical!H62,historical!H66,historical!H67)</f>
        <v>653.21</v>
      </c>
      <c r="J61" s="14">
        <f>SUM(historical!I52,historical!I53,historical!I54,historical!I62,historical!I66,historical!I67)</f>
        <v>937.84</v>
      </c>
      <c r="K61" s="14">
        <f>SUM(historical!J52,historical!J53,historical!J54,historical!J62,historical!J66,historical!J67)</f>
        <v>604.57999999999993</v>
      </c>
      <c r="L61" s="14">
        <f>SUM(historical!K52,historical!K53,historical!K54,historical!K62,historical!K66,historical!K67)</f>
        <v>664.45</v>
      </c>
      <c r="M61" s="8">
        <f>L61</f>
        <v>664.45</v>
      </c>
      <c r="N61" s="8">
        <f t="shared" ref="N61:P61" si="87">M61</f>
        <v>664.45</v>
      </c>
      <c r="O61" s="8">
        <f t="shared" si="87"/>
        <v>664.45</v>
      </c>
      <c r="P61" s="8">
        <f t="shared" si="87"/>
        <v>664.45</v>
      </c>
      <c r="Q61" s="8">
        <f t="shared" ref="Q61:Q63" si="88">P61</f>
        <v>664.45</v>
      </c>
      <c r="R61" s="8">
        <f t="shared" ref="R61:R63" si="89">Q61</f>
        <v>664.45</v>
      </c>
      <c r="S61" s="8">
        <f t="shared" ref="S61:S63" si="90">R61</f>
        <v>664.45</v>
      </c>
      <c r="T61" s="8">
        <f t="shared" ref="T61:T63" si="91">S61</f>
        <v>664.45</v>
      </c>
      <c r="U61" s="8">
        <f t="shared" ref="U61:U63" si="92">T61</f>
        <v>664.45</v>
      </c>
      <c r="V61" s="8">
        <f t="shared" ref="V61:V63" si="93">U61</f>
        <v>664.45</v>
      </c>
    </row>
    <row r="62" spans="1:22" x14ac:dyDescent="0.3">
      <c r="A62" s="37"/>
      <c r="B62" s="38"/>
      <c r="C62" s="38"/>
      <c r="D62" s="38" t="s">
        <v>147</v>
      </c>
      <c r="E62" s="59"/>
      <c r="F62" s="4" t="s">
        <v>324</v>
      </c>
      <c r="G62" s="4"/>
      <c r="H62" s="14">
        <f>SUM(historical!G68,historical!G55)</f>
        <v>172.31</v>
      </c>
      <c r="I62" s="14">
        <f>SUM(historical!H68,historical!H55)</f>
        <v>197.51999999999998</v>
      </c>
      <c r="J62" s="14">
        <f>SUM(historical!I68,historical!I55)</f>
        <v>376.65</v>
      </c>
      <c r="K62" s="14">
        <f>SUM(historical!J68,historical!J55)</f>
        <v>295.29000000000002</v>
      </c>
      <c r="L62" s="14">
        <f>SUM(historical!K68,historical!K55)</f>
        <v>422.34000000000003</v>
      </c>
      <c r="M62" s="8">
        <f>L62</f>
        <v>422.34000000000003</v>
      </c>
      <c r="N62" s="8">
        <f t="shared" ref="N62:P62" si="94">M62</f>
        <v>422.34000000000003</v>
      </c>
      <c r="O62" s="8">
        <f t="shared" si="94"/>
        <v>422.34000000000003</v>
      </c>
      <c r="P62" s="8">
        <f t="shared" si="94"/>
        <v>422.34000000000003</v>
      </c>
      <c r="Q62" s="8">
        <f t="shared" si="88"/>
        <v>422.34000000000003</v>
      </c>
      <c r="R62" s="8">
        <f t="shared" si="89"/>
        <v>422.34000000000003</v>
      </c>
      <c r="S62" s="8">
        <f t="shared" si="90"/>
        <v>422.34000000000003</v>
      </c>
      <c r="T62" s="8">
        <f t="shared" si="91"/>
        <v>422.34000000000003</v>
      </c>
      <c r="U62" s="8">
        <f t="shared" si="92"/>
        <v>422.34000000000003</v>
      </c>
      <c r="V62" s="8">
        <f t="shared" si="93"/>
        <v>422.34000000000003</v>
      </c>
    </row>
    <row r="63" spans="1:22" x14ac:dyDescent="0.3">
      <c r="A63" s="37"/>
      <c r="B63" s="38"/>
      <c r="C63" s="38"/>
      <c r="D63" s="38" t="s">
        <v>47</v>
      </c>
      <c r="E63" s="53"/>
      <c r="F63" s="4" t="s">
        <v>324</v>
      </c>
      <c r="G63" s="4"/>
      <c r="H63" s="14">
        <f>historical!G72</f>
        <v>4935.26</v>
      </c>
      <c r="I63" s="14">
        <f>historical!H72</f>
        <v>5492.04</v>
      </c>
      <c r="J63" s="14">
        <f>historical!I72</f>
        <v>6390.44</v>
      </c>
      <c r="K63" s="14">
        <f>historical!J72</f>
        <v>7611.67</v>
      </c>
      <c r="L63" s="14">
        <f>historical!K72</f>
        <v>7534.99</v>
      </c>
      <c r="M63" s="8">
        <f>L63</f>
        <v>7534.99</v>
      </c>
      <c r="N63" s="8">
        <f t="shared" ref="N63:P63" si="95">M63</f>
        <v>7534.99</v>
      </c>
      <c r="O63" s="8">
        <f t="shared" si="95"/>
        <v>7534.99</v>
      </c>
      <c r="P63" s="8">
        <f t="shared" si="95"/>
        <v>7534.99</v>
      </c>
      <c r="Q63" s="8">
        <f t="shared" si="88"/>
        <v>7534.99</v>
      </c>
      <c r="R63" s="8">
        <f t="shared" si="89"/>
        <v>7534.99</v>
      </c>
      <c r="S63" s="8">
        <f t="shared" si="90"/>
        <v>7534.99</v>
      </c>
      <c r="T63" s="8">
        <f t="shared" si="91"/>
        <v>7534.99</v>
      </c>
      <c r="U63" s="8">
        <f t="shared" si="92"/>
        <v>7534.99</v>
      </c>
      <c r="V63" s="8">
        <f t="shared" si="93"/>
        <v>7534.99</v>
      </c>
    </row>
    <row r="64" spans="1:22" x14ac:dyDescent="0.3">
      <c r="A64" s="37"/>
      <c r="B64" s="38"/>
      <c r="C64" s="38"/>
      <c r="D64" s="43" t="s">
        <v>148</v>
      </c>
      <c r="F64" s="17" t="s">
        <v>324</v>
      </c>
      <c r="G64" s="17"/>
      <c r="H64" s="17">
        <f>SUM(H53:H63)</f>
        <v>35457.020000000004</v>
      </c>
      <c r="I64" s="19">
        <f>SUM(I53:I63)</f>
        <v>35861.53</v>
      </c>
      <c r="J64" s="19">
        <f t="shared" ref="J64:K64" si="96">SUM(J53:J63)</f>
        <v>37493.47</v>
      </c>
      <c r="K64" s="19">
        <f t="shared" si="96"/>
        <v>37711.89</v>
      </c>
      <c r="L64" s="19">
        <f>SUM(L53:L63)</f>
        <v>37167.78</v>
      </c>
      <c r="M64" s="10">
        <f t="shared" ref="M64:V64" si="97">SUM(M53:M63)</f>
        <v>38800.840540549223</v>
      </c>
      <c r="N64" s="10">
        <f t="shared" si="97"/>
        <v>40625.962492415769</v>
      </c>
      <c r="O64" s="10">
        <f t="shared" si="97"/>
        <v>42595.624423197827</v>
      </c>
      <c r="P64" s="10">
        <f t="shared" si="97"/>
        <v>44721.555221056595</v>
      </c>
      <c r="Q64" s="10">
        <f t="shared" si="97"/>
        <v>47006.787439814383</v>
      </c>
      <c r="R64" s="10">
        <f t="shared" si="97"/>
        <v>49464.234319935727</v>
      </c>
      <c r="S64" s="10">
        <f t="shared" si="97"/>
        <v>52097.917150159265</v>
      </c>
      <c r="T64" s="10">
        <f t="shared" si="97"/>
        <v>54922.095945960667</v>
      </c>
      <c r="U64" s="10">
        <f t="shared" si="97"/>
        <v>57941.860441468052</v>
      </c>
      <c r="V64" s="10">
        <f t="shared" si="97"/>
        <v>61172.998772937521</v>
      </c>
    </row>
    <row r="65" spans="1:22" x14ac:dyDescent="0.3">
      <c r="A65" s="37"/>
      <c r="B65" s="38"/>
      <c r="C65" s="38"/>
      <c r="D65" s="38"/>
      <c r="G65" s="4"/>
      <c r="H65" s="4"/>
      <c r="I65" s="14"/>
      <c r="J65" s="14"/>
      <c r="K65" s="14"/>
      <c r="L65" s="14"/>
      <c r="M65" s="8"/>
      <c r="N65" s="8"/>
      <c r="O65" s="8"/>
      <c r="P65" s="8"/>
    </row>
    <row r="66" spans="1:22" x14ac:dyDescent="0.3">
      <c r="A66" s="37"/>
      <c r="B66" s="38" t="s">
        <v>54</v>
      </c>
      <c r="C66" s="37"/>
      <c r="D66" s="37"/>
      <c r="E66" s="4"/>
      <c r="I66" s="14"/>
      <c r="J66" s="14"/>
      <c r="K66" s="14"/>
      <c r="L66" s="14"/>
      <c r="M66" s="8"/>
      <c r="N66" s="8"/>
      <c r="O66" s="8"/>
      <c r="P66" s="8"/>
    </row>
    <row r="67" spans="1:22" x14ac:dyDescent="0.3">
      <c r="A67" s="37"/>
      <c r="B67" s="37" t="s">
        <v>149</v>
      </c>
      <c r="C67" s="37"/>
      <c r="D67" s="37"/>
      <c r="E67" s="4"/>
      <c r="I67" s="14"/>
      <c r="J67" s="14"/>
      <c r="K67" s="14"/>
      <c r="L67" s="14"/>
      <c r="M67" s="8"/>
      <c r="N67" s="8"/>
      <c r="O67" s="8"/>
      <c r="P67" s="8"/>
    </row>
    <row r="68" spans="1:22" x14ac:dyDescent="0.3">
      <c r="A68" s="37"/>
      <c r="B68" s="37"/>
      <c r="C68" s="37"/>
      <c r="D68" s="38" t="s">
        <v>150</v>
      </c>
      <c r="E68" s="4"/>
      <c r="F68" s="4" t="s">
        <v>324</v>
      </c>
      <c r="H68" s="14">
        <f>SUM(historical!G89,historical!G90,historical!G103,historical!G104)</f>
        <v>887.71</v>
      </c>
      <c r="I68" s="14">
        <f>SUM(historical!H89,historical!H90,historical!H103,historical!H104)</f>
        <v>996.41000000000008</v>
      </c>
      <c r="J68" s="14">
        <f>SUM(historical!I89,historical!I90,historical!I103,historical!I104)</f>
        <v>1105.56</v>
      </c>
      <c r="K68" s="14">
        <f>SUM(historical!J89,historical!J90,historical!J103,historical!J104)</f>
        <v>1152.4699999999998</v>
      </c>
      <c r="L68" s="14">
        <f>SUM(historical!K89,historical!K90,historical!K103,historical!K104)</f>
        <v>1329.8</v>
      </c>
      <c r="M68" s="8">
        <f>-M36*M24/365</f>
        <v>1358.3202832576039</v>
      </c>
      <c r="N68" s="8">
        <f t="shared" ref="N68:V68" si="98">-N36*N24/365</f>
        <v>1441.2441679842455</v>
      </c>
      <c r="O68" s="8">
        <f t="shared" si="98"/>
        <v>1529.230460114291</v>
      </c>
      <c r="P68" s="8">
        <f t="shared" si="98"/>
        <v>1622.5882137737324</v>
      </c>
      <c r="Q68" s="8">
        <f t="shared" si="98"/>
        <v>1721.6453504860631</v>
      </c>
      <c r="R68" s="8">
        <f t="shared" si="98"/>
        <v>1826.7498110051065</v>
      </c>
      <c r="S68" s="8">
        <f t="shared" si="98"/>
        <v>1938.2707774659111</v>
      </c>
      <c r="T68" s="8">
        <f t="shared" si="98"/>
        <v>2056.5999701465439</v>
      </c>
      <c r="U68" s="8">
        <f t="shared" si="98"/>
        <v>2182.1530233956969</v>
      </c>
      <c r="V68" s="8">
        <f t="shared" si="98"/>
        <v>2315.3709455590806</v>
      </c>
    </row>
    <row r="69" spans="1:22" x14ac:dyDescent="0.3">
      <c r="A69" s="37"/>
      <c r="B69" s="37"/>
      <c r="C69" s="37"/>
      <c r="D69" s="38" t="s">
        <v>151</v>
      </c>
      <c r="E69" s="4"/>
      <c r="F69" s="4" t="s">
        <v>324</v>
      </c>
      <c r="H69" s="14">
        <f>SUM(historical!G105,historical!G106,historical!G107,historical!G108)</f>
        <v>3976.03</v>
      </c>
      <c r="I69" s="14">
        <f>SUM(historical!H105,historical!H106,historical!H107,historical!H108)</f>
        <v>1555.82</v>
      </c>
      <c r="J69" s="14">
        <f>SUM(historical!I105,historical!I106,historical!I107,historical!I108)</f>
        <v>1563.52</v>
      </c>
      <c r="K69" s="14">
        <f>SUM(historical!J105,historical!J106,historical!J107,historical!J108)</f>
        <v>1793.22</v>
      </c>
      <c r="L69" s="14">
        <f>SUM(historical!K105,historical!K106,historical!K107,historical!K108)</f>
        <v>1993.8</v>
      </c>
      <c r="M69" s="8">
        <f>L69</f>
        <v>1993.8</v>
      </c>
      <c r="N69" s="8">
        <f t="shared" ref="N69:P69" si="99">M69</f>
        <v>1993.8</v>
      </c>
      <c r="O69" s="8">
        <f t="shared" si="99"/>
        <v>1993.8</v>
      </c>
      <c r="P69" s="8">
        <f t="shared" si="99"/>
        <v>1993.8</v>
      </c>
      <c r="Q69" s="8">
        <f t="shared" ref="Q69" si="100">P69</f>
        <v>1993.8</v>
      </c>
      <c r="R69" s="8">
        <f t="shared" ref="R69" si="101">Q69</f>
        <v>1993.8</v>
      </c>
      <c r="S69" s="8">
        <f t="shared" ref="S69" si="102">R69</f>
        <v>1993.8</v>
      </c>
      <c r="T69" s="8">
        <f t="shared" ref="T69" si="103">S69</f>
        <v>1993.8</v>
      </c>
      <c r="U69" s="8">
        <f t="shared" ref="U69" si="104">T69</f>
        <v>1993.8</v>
      </c>
      <c r="V69" s="8">
        <f t="shared" ref="V69" si="105">U69</f>
        <v>1993.8</v>
      </c>
    </row>
    <row r="70" spans="1:22" x14ac:dyDescent="0.3">
      <c r="A70" s="37"/>
      <c r="B70" s="37"/>
      <c r="C70" s="37"/>
      <c r="D70" s="38"/>
      <c r="E70" s="4"/>
      <c r="H70" s="14"/>
      <c r="I70" s="14"/>
      <c r="J70" s="14"/>
      <c r="K70" s="14"/>
      <c r="L70" s="14"/>
      <c r="M70" s="8"/>
      <c r="N70" s="8"/>
      <c r="O70" s="8"/>
      <c r="P70" s="8"/>
    </row>
    <row r="71" spans="1:22" x14ac:dyDescent="0.3">
      <c r="A71" s="37"/>
      <c r="B71" s="37" t="s">
        <v>152</v>
      </c>
      <c r="C71" s="38"/>
      <c r="D71" s="38"/>
      <c r="E71" s="4"/>
      <c r="H71" s="14"/>
      <c r="I71" s="14"/>
      <c r="J71" s="14"/>
      <c r="K71" s="14"/>
      <c r="L71" s="14"/>
      <c r="M71" s="8"/>
      <c r="N71" s="8"/>
      <c r="O71" s="8"/>
      <c r="P71" s="8"/>
    </row>
    <row r="72" spans="1:22" x14ac:dyDescent="0.3">
      <c r="A72" s="37"/>
      <c r="B72" s="37"/>
      <c r="C72" s="37"/>
      <c r="D72" s="38" t="s">
        <v>153</v>
      </c>
      <c r="E72" s="100"/>
      <c r="F72" s="4" t="s">
        <v>324</v>
      </c>
      <c r="H72" s="14">
        <f>SUM(historical!G86,historical!G87,historical!G100,historical!G101)</f>
        <v>12181.6</v>
      </c>
      <c r="I72" s="14">
        <f>SUM(historical!H86,historical!H87,historical!H100,historical!H101)</f>
        <v>14277.08</v>
      </c>
      <c r="J72" s="14">
        <f>SUM(historical!I86,historical!I87,historical!I100,historical!I101)</f>
        <v>14960.8</v>
      </c>
      <c r="K72" s="14">
        <f>SUM(historical!J86,historical!J87,historical!J100,historical!J101)</f>
        <v>14262.84</v>
      </c>
      <c r="L72" s="14">
        <f>SUM(historical!K86,historical!K87,historical!K100,historical!K101)</f>
        <v>14543.630000000001</v>
      </c>
      <c r="M72" s="8">
        <f>M138</f>
        <v>14543.630000000001</v>
      </c>
      <c r="N72" s="8">
        <f t="shared" ref="N72:V72" si="106">N138</f>
        <v>14543.630000000001</v>
      </c>
      <c r="O72" s="8">
        <f t="shared" si="106"/>
        <v>14543.630000000001</v>
      </c>
      <c r="P72" s="8">
        <f t="shared" si="106"/>
        <v>14543.630000000001</v>
      </c>
      <c r="Q72" s="8">
        <f t="shared" si="106"/>
        <v>14543.630000000001</v>
      </c>
      <c r="R72" s="8">
        <f t="shared" si="106"/>
        <v>14543.630000000001</v>
      </c>
      <c r="S72" s="8">
        <f t="shared" si="106"/>
        <v>14543.630000000001</v>
      </c>
      <c r="T72" s="8">
        <f t="shared" si="106"/>
        <v>14543.630000000001</v>
      </c>
      <c r="U72" s="8">
        <f t="shared" si="106"/>
        <v>14543.630000000001</v>
      </c>
      <c r="V72" s="8">
        <f t="shared" si="106"/>
        <v>14543.630000000001</v>
      </c>
    </row>
    <row r="73" spans="1:22" x14ac:dyDescent="0.3">
      <c r="A73" s="37"/>
      <c r="B73" s="37"/>
      <c r="C73" s="37"/>
      <c r="D73" s="38" t="s">
        <v>154</v>
      </c>
      <c r="E73" s="59"/>
      <c r="F73" s="4" t="s">
        <v>324</v>
      </c>
      <c r="H73" s="14">
        <f>SUM(historical!G92:G95)</f>
        <v>5007.8600000000006</v>
      </c>
      <c r="I73" s="14">
        <f>SUM(historical!H92:H95)</f>
        <v>4892.5599999999995</v>
      </c>
      <c r="J73" s="14">
        <f>SUM(historical!I92:I95)</f>
        <v>5138.0700000000006</v>
      </c>
      <c r="K73" s="14">
        <f>SUM(historical!J92:J95)</f>
        <v>5133.24</v>
      </c>
      <c r="L73" s="14">
        <f>SUM(historical!K92:K95)</f>
        <v>5017.9399999999996</v>
      </c>
      <c r="M73" s="8">
        <f>L73</f>
        <v>5017.9399999999996</v>
      </c>
      <c r="N73" s="8">
        <f t="shared" ref="N73:P73" si="107">M73</f>
        <v>5017.9399999999996</v>
      </c>
      <c r="O73" s="8">
        <f t="shared" si="107"/>
        <v>5017.9399999999996</v>
      </c>
      <c r="P73" s="8">
        <f t="shared" si="107"/>
        <v>5017.9399999999996</v>
      </c>
      <c r="Q73" s="8">
        <f t="shared" ref="Q73:Q74" si="108">P73</f>
        <v>5017.9399999999996</v>
      </c>
      <c r="R73" s="8">
        <f t="shared" ref="R73:R74" si="109">Q73</f>
        <v>5017.9399999999996</v>
      </c>
      <c r="S73" s="8">
        <f t="shared" ref="S73:S74" si="110">R73</f>
        <v>5017.9399999999996</v>
      </c>
      <c r="T73" s="8">
        <f t="shared" ref="T73:T74" si="111">S73</f>
        <v>5017.9399999999996</v>
      </c>
      <c r="U73" s="8">
        <f t="shared" ref="U73:U74" si="112">T73</f>
        <v>5017.9399999999996</v>
      </c>
      <c r="V73" s="8">
        <f t="shared" ref="V73:V74" si="113">U73</f>
        <v>5017.9399999999996</v>
      </c>
    </row>
    <row r="74" spans="1:22" x14ac:dyDescent="0.3">
      <c r="A74" s="37"/>
      <c r="B74" s="37"/>
      <c r="C74" s="37"/>
      <c r="D74" s="38" t="s">
        <v>61</v>
      </c>
      <c r="E74" s="4"/>
      <c r="F74" s="4" t="s">
        <v>324</v>
      </c>
      <c r="H74" s="14">
        <f>historical!G91</f>
        <v>1887.69</v>
      </c>
      <c r="I74" s="14">
        <f>historical!H91</f>
        <v>1997.65</v>
      </c>
      <c r="J74" s="14">
        <f>historical!I91</f>
        <v>1860.56</v>
      </c>
      <c r="K74" s="14">
        <f>historical!J91</f>
        <v>2007.26</v>
      </c>
      <c r="L74" s="14">
        <f>historical!K91</f>
        <v>2157.46</v>
      </c>
      <c r="M74" s="8">
        <f>L74</f>
        <v>2157.46</v>
      </c>
      <c r="N74" s="8">
        <f t="shared" ref="N74:P74" si="114">M74</f>
        <v>2157.46</v>
      </c>
      <c r="O74" s="8">
        <f t="shared" si="114"/>
        <v>2157.46</v>
      </c>
      <c r="P74" s="8">
        <f t="shared" si="114"/>
        <v>2157.46</v>
      </c>
      <c r="Q74" s="8">
        <f t="shared" si="108"/>
        <v>2157.46</v>
      </c>
      <c r="R74" s="8">
        <f t="shared" si="109"/>
        <v>2157.46</v>
      </c>
      <c r="S74" s="8">
        <f t="shared" si="110"/>
        <v>2157.46</v>
      </c>
      <c r="T74" s="8">
        <f t="shared" si="111"/>
        <v>2157.46</v>
      </c>
      <c r="U74" s="8">
        <f t="shared" si="112"/>
        <v>2157.46</v>
      </c>
      <c r="V74" s="8">
        <f t="shared" si="113"/>
        <v>2157.46</v>
      </c>
    </row>
    <row r="75" spans="1:22" x14ac:dyDescent="0.3">
      <c r="A75" s="37"/>
      <c r="B75" s="37"/>
      <c r="C75" s="37"/>
      <c r="D75" s="43" t="s">
        <v>155</v>
      </c>
      <c r="E75" s="16"/>
      <c r="F75" s="17" t="s">
        <v>324</v>
      </c>
      <c r="G75" s="18"/>
      <c r="H75" s="19">
        <f>SUM(H68:H74)</f>
        <v>23940.89</v>
      </c>
      <c r="I75" s="19">
        <f>SUM(I68:I74)</f>
        <v>23719.520000000004</v>
      </c>
      <c r="J75" s="19">
        <f t="shared" ref="J75:K75" si="115">SUM(J68:J74)</f>
        <v>24628.51</v>
      </c>
      <c r="K75" s="19">
        <f t="shared" si="115"/>
        <v>24349.029999999995</v>
      </c>
      <c r="L75" s="19">
        <f>SUM(L68:L74)</f>
        <v>25042.629999999997</v>
      </c>
      <c r="M75" s="10">
        <f t="shared" ref="M75:V75" si="116">SUM(M68:M74)</f>
        <v>25071.150283257604</v>
      </c>
      <c r="N75" s="10">
        <f t="shared" si="116"/>
        <v>25154.074167984243</v>
      </c>
      <c r="O75" s="10">
        <f t="shared" si="116"/>
        <v>25242.060460114288</v>
      </c>
      <c r="P75" s="10">
        <f t="shared" si="116"/>
        <v>25335.41821377373</v>
      </c>
      <c r="Q75" s="10">
        <f t="shared" si="116"/>
        <v>25434.47535048606</v>
      </c>
      <c r="R75" s="10">
        <f t="shared" si="116"/>
        <v>25539.579811005107</v>
      </c>
      <c r="S75" s="10">
        <f t="shared" si="116"/>
        <v>25651.100777465912</v>
      </c>
      <c r="T75" s="10">
        <f t="shared" si="116"/>
        <v>25769.429970146542</v>
      </c>
      <c r="U75" s="10">
        <f t="shared" si="116"/>
        <v>25894.983023395696</v>
      </c>
      <c r="V75" s="10">
        <f t="shared" si="116"/>
        <v>26028.200945559078</v>
      </c>
    </row>
    <row r="76" spans="1:22" x14ac:dyDescent="0.3">
      <c r="A76" s="37"/>
      <c r="B76" s="37"/>
      <c r="C76" s="37"/>
      <c r="D76" s="38"/>
      <c r="E76" s="4"/>
      <c r="I76" s="14"/>
      <c r="J76" s="14"/>
      <c r="K76" s="14"/>
      <c r="L76" s="14"/>
      <c r="M76" s="8"/>
      <c r="N76" s="8"/>
      <c r="O76" s="8"/>
      <c r="P76" s="8"/>
    </row>
    <row r="77" spans="1:22" x14ac:dyDescent="0.3">
      <c r="A77" s="37"/>
      <c r="B77" s="37" t="s">
        <v>156</v>
      </c>
      <c r="C77" s="38"/>
      <c r="D77" s="38"/>
      <c r="E77" s="100"/>
      <c r="I77" s="14"/>
      <c r="J77" s="14"/>
      <c r="K77" s="14"/>
      <c r="L77" s="14"/>
      <c r="M77" s="8"/>
      <c r="N77" s="8"/>
      <c r="O77" s="8"/>
      <c r="P77" s="8"/>
    </row>
    <row r="78" spans="1:22" x14ac:dyDescent="0.3">
      <c r="A78" s="37"/>
      <c r="B78" s="37"/>
      <c r="C78" s="37"/>
      <c r="D78" s="38" t="s">
        <v>157</v>
      </c>
      <c r="E78" s="59"/>
      <c r="F78" s="4" t="s">
        <v>324</v>
      </c>
      <c r="H78" s="14">
        <f>historical!G78</f>
        <v>133.22</v>
      </c>
      <c r="I78" s="14">
        <f>historical!H78</f>
        <v>133.22</v>
      </c>
      <c r="J78" s="14">
        <f>historical!I78</f>
        <v>133.22</v>
      </c>
      <c r="K78" s="14">
        <f>historical!J78</f>
        <v>133.22</v>
      </c>
      <c r="L78" s="14">
        <f>historical!K78</f>
        <v>133.22</v>
      </c>
      <c r="M78" s="8">
        <f>L78</f>
        <v>133.22</v>
      </c>
      <c r="N78" s="8">
        <f t="shared" ref="N78:P78" si="117">M78</f>
        <v>133.22</v>
      </c>
      <c r="O78" s="8">
        <f t="shared" si="117"/>
        <v>133.22</v>
      </c>
      <c r="P78" s="8">
        <f t="shared" si="117"/>
        <v>133.22</v>
      </c>
      <c r="Q78" s="8">
        <f t="shared" ref="Q78" si="118">P78</f>
        <v>133.22</v>
      </c>
      <c r="R78" s="8">
        <f t="shared" ref="R78" si="119">Q78</f>
        <v>133.22</v>
      </c>
      <c r="S78" s="8">
        <f t="shared" ref="S78" si="120">R78</f>
        <v>133.22</v>
      </c>
      <c r="T78" s="8">
        <f t="shared" ref="T78" si="121">S78</f>
        <v>133.22</v>
      </c>
      <c r="U78" s="8">
        <f t="shared" ref="U78" si="122">T78</f>
        <v>133.22</v>
      </c>
      <c r="V78" s="8">
        <f t="shared" ref="V78" si="123">U78</f>
        <v>133.22</v>
      </c>
    </row>
    <row r="79" spans="1:22" x14ac:dyDescent="0.3">
      <c r="A79" s="37"/>
      <c r="B79" s="37"/>
      <c r="C79" s="37"/>
      <c r="D79" s="38" t="s">
        <v>158</v>
      </c>
      <c r="E79" s="53"/>
      <c r="F79" s="4" t="s">
        <v>324</v>
      </c>
      <c r="H79" s="14">
        <f>historical!G79</f>
        <v>9278.42</v>
      </c>
      <c r="I79" s="14">
        <f>historical!H79</f>
        <v>9739.56</v>
      </c>
      <c r="J79" s="14">
        <f>historical!I79</f>
        <v>10263.209999999999</v>
      </c>
      <c r="K79" s="14">
        <f>historical!J79</f>
        <v>10777.15</v>
      </c>
      <c r="L79" s="14">
        <f>historical!K79</f>
        <v>11312.42</v>
      </c>
      <c r="M79" s="8">
        <f>L79+M49+M110</f>
        <v>12916.960257291616</v>
      </c>
      <c r="N79" s="8">
        <f t="shared" ref="N79:P79" si="124">M79+N49+N110</f>
        <v>14659.158324431526</v>
      </c>
      <c r="O79" s="8">
        <f t="shared" si="124"/>
        <v>16540.833963083551</v>
      </c>
      <c r="P79" s="8">
        <f t="shared" si="124"/>
        <v>18573.40700728288</v>
      </c>
      <c r="Q79" s="8">
        <f t="shared" ref="Q79" si="125">P79+Q49+Q110</f>
        <v>20759.582089328334</v>
      </c>
      <c r="R79" s="8">
        <f t="shared" ref="R79" si="126">Q79+R49+R110</f>
        <v>23111.924508930635</v>
      </c>
      <c r="S79" s="8">
        <f t="shared" ref="S79" si="127">R79+S49+S110</f>
        <v>25634.086372693368</v>
      </c>
      <c r="T79" s="8">
        <f t="shared" ref="T79" si="128">S79+T49+T110</f>
        <v>28339.93597581414</v>
      </c>
      <c r="U79" s="8">
        <f t="shared" ref="U79" si="129">T79+U49+U110</f>
        <v>31234.147418072371</v>
      </c>
      <c r="V79" s="8">
        <f t="shared" ref="V79" si="130">U79+V49+V110</f>
        <v>34332.067827378451</v>
      </c>
    </row>
    <row r="80" spans="1:22" x14ac:dyDescent="0.3">
      <c r="A80" s="37"/>
      <c r="B80" s="37"/>
      <c r="C80" s="37"/>
      <c r="D80" s="43" t="s">
        <v>156</v>
      </c>
      <c r="E80" s="100"/>
      <c r="F80" s="17" t="s">
        <v>324</v>
      </c>
      <c r="G80" s="18"/>
      <c r="H80" s="18">
        <f>SUM(H78:H79)</f>
        <v>9411.64</v>
      </c>
      <c r="I80" s="19">
        <f>SUM(I78:I79)</f>
        <v>9872.7799999999988</v>
      </c>
      <c r="J80" s="19">
        <f t="shared" ref="J80:V80" si="131">SUM(J78:J79)</f>
        <v>10396.429999999998</v>
      </c>
      <c r="K80" s="19">
        <f t="shared" si="131"/>
        <v>10910.369999999999</v>
      </c>
      <c r="L80" s="19">
        <f t="shared" si="131"/>
        <v>11445.64</v>
      </c>
      <c r="M80" s="10">
        <f t="shared" si="131"/>
        <v>13050.180257291615</v>
      </c>
      <c r="N80" s="10">
        <f t="shared" si="131"/>
        <v>14792.378324431525</v>
      </c>
      <c r="O80" s="10">
        <f t="shared" si="131"/>
        <v>16674.053963083552</v>
      </c>
      <c r="P80" s="10">
        <f t="shared" si="131"/>
        <v>18706.627007282881</v>
      </c>
      <c r="Q80" s="10">
        <f t="shared" si="131"/>
        <v>20892.802089328336</v>
      </c>
      <c r="R80" s="10">
        <f t="shared" si="131"/>
        <v>23245.144508930636</v>
      </c>
      <c r="S80" s="10">
        <f t="shared" si="131"/>
        <v>25767.306372693369</v>
      </c>
      <c r="T80" s="10">
        <f t="shared" si="131"/>
        <v>28473.155975814141</v>
      </c>
      <c r="U80" s="10">
        <f t="shared" si="131"/>
        <v>31367.367418072372</v>
      </c>
      <c r="V80" s="10">
        <f t="shared" si="131"/>
        <v>34465.287827378452</v>
      </c>
    </row>
    <row r="81" spans="1:22" x14ac:dyDescent="0.3">
      <c r="A81" s="37"/>
      <c r="B81" s="37"/>
      <c r="C81" s="37"/>
      <c r="D81" s="38" t="s">
        <v>159</v>
      </c>
      <c r="E81" s="59"/>
      <c r="F81" s="4" t="s">
        <v>324</v>
      </c>
      <c r="H81" s="14">
        <f>historical!G80</f>
        <v>364.53</v>
      </c>
      <c r="I81" s="14">
        <f>historical!H80</f>
        <v>396.31</v>
      </c>
      <c r="J81" s="14">
        <f>historical!I80</f>
        <v>434.16</v>
      </c>
      <c r="K81" s="14">
        <f>historical!J80</f>
        <v>478.73</v>
      </c>
      <c r="L81" s="14">
        <f>historical!K80</f>
        <v>539.71</v>
      </c>
      <c r="M81" s="8">
        <f>L81</f>
        <v>539.71</v>
      </c>
      <c r="N81" s="8">
        <f t="shared" ref="N81:P81" si="132">M81</f>
        <v>539.71</v>
      </c>
      <c r="O81" s="8">
        <f t="shared" si="132"/>
        <v>539.71</v>
      </c>
      <c r="P81" s="8">
        <f t="shared" si="132"/>
        <v>539.71</v>
      </c>
      <c r="Q81" s="8">
        <f t="shared" ref="Q81:Q82" si="133">P81</f>
        <v>539.71</v>
      </c>
      <c r="R81" s="8">
        <f t="shared" ref="R81:R82" si="134">Q81</f>
        <v>539.71</v>
      </c>
      <c r="S81" s="8">
        <f t="shared" ref="S81:S82" si="135">R81</f>
        <v>539.71</v>
      </c>
      <c r="T81" s="8">
        <f t="shared" ref="T81:T82" si="136">S81</f>
        <v>539.71</v>
      </c>
      <c r="U81" s="8">
        <f t="shared" ref="U81:U82" si="137">T81</f>
        <v>539.71</v>
      </c>
      <c r="V81" s="8">
        <f t="shared" ref="V81:V82" si="138">U81</f>
        <v>539.71</v>
      </c>
    </row>
    <row r="82" spans="1:22" x14ac:dyDescent="0.3">
      <c r="A82" s="37"/>
      <c r="B82" s="37"/>
      <c r="C82" s="37"/>
      <c r="D82" s="38" t="s">
        <v>47</v>
      </c>
      <c r="E82" s="4"/>
      <c r="F82" s="4" t="s">
        <v>324</v>
      </c>
      <c r="H82" s="14">
        <f>historical!G112</f>
        <v>1739.96</v>
      </c>
      <c r="I82" s="14">
        <f>historical!H112</f>
        <v>1872.92</v>
      </c>
      <c r="J82" s="14">
        <f>historical!I112</f>
        <v>2034.37</v>
      </c>
      <c r="K82" s="14">
        <f>historical!J112</f>
        <v>1973.76</v>
      </c>
      <c r="L82" s="14">
        <f>historical!K112</f>
        <v>139.80000000000001</v>
      </c>
      <c r="M82" s="8">
        <f>L82</f>
        <v>139.80000000000001</v>
      </c>
      <c r="N82" s="8">
        <f t="shared" ref="N82:P82" si="139">M82</f>
        <v>139.80000000000001</v>
      </c>
      <c r="O82" s="8">
        <f t="shared" si="139"/>
        <v>139.80000000000001</v>
      </c>
      <c r="P82" s="8">
        <f t="shared" si="139"/>
        <v>139.80000000000001</v>
      </c>
      <c r="Q82" s="8">
        <f t="shared" si="133"/>
        <v>139.80000000000001</v>
      </c>
      <c r="R82" s="8">
        <f t="shared" si="134"/>
        <v>139.80000000000001</v>
      </c>
      <c r="S82" s="8">
        <f t="shared" si="135"/>
        <v>139.80000000000001</v>
      </c>
      <c r="T82" s="8">
        <f t="shared" si="136"/>
        <v>139.80000000000001</v>
      </c>
      <c r="U82" s="8">
        <f t="shared" si="137"/>
        <v>139.80000000000001</v>
      </c>
      <c r="V82" s="8">
        <f t="shared" si="138"/>
        <v>139.80000000000001</v>
      </c>
    </row>
    <row r="83" spans="1:22" ht="17.25" thickBot="1" x14ac:dyDescent="0.35">
      <c r="A83" s="37"/>
      <c r="B83" s="37"/>
      <c r="C83" s="37"/>
      <c r="D83" s="46" t="s">
        <v>160</v>
      </c>
      <c r="E83" s="55"/>
      <c r="F83" s="47" t="s">
        <v>324</v>
      </c>
      <c r="G83" s="48"/>
      <c r="H83" s="49">
        <f>SUM(H75,H80,H81,H82)</f>
        <v>35457.019999999997</v>
      </c>
      <c r="I83" s="49">
        <f>SUM(I75,I80,I81,I82)</f>
        <v>35861.53</v>
      </c>
      <c r="J83" s="49">
        <f t="shared" ref="J83:V83" si="140">SUM(J75,J80,J81,J82)</f>
        <v>37493.47</v>
      </c>
      <c r="K83" s="49">
        <f t="shared" si="140"/>
        <v>37711.89</v>
      </c>
      <c r="L83" s="49">
        <f t="shared" si="140"/>
        <v>37167.78</v>
      </c>
      <c r="M83" s="12">
        <f t="shared" si="140"/>
        <v>38800.840540549223</v>
      </c>
      <c r="N83" s="12">
        <f t="shared" si="140"/>
        <v>40625.962492415769</v>
      </c>
      <c r="O83" s="12">
        <f t="shared" si="140"/>
        <v>42595.624423197842</v>
      </c>
      <c r="P83" s="12">
        <f t="shared" si="140"/>
        <v>44721.555221056617</v>
      </c>
      <c r="Q83" s="12">
        <f t="shared" si="140"/>
        <v>47006.787439814398</v>
      </c>
      <c r="R83" s="12">
        <f t="shared" si="140"/>
        <v>49464.234319935749</v>
      </c>
      <c r="S83" s="12">
        <f t="shared" si="140"/>
        <v>52097.917150159286</v>
      </c>
      <c r="T83" s="12">
        <f t="shared" si="140"/>
        <v>54922.095945960689</v>
      </c>
      <c r="U83" s="12">
        <f t="shared" si="140"/>
        <v>57941.860441468067</v>
      </c>
      <c r="V83" s="12">
        <f t="shared" si="140"/>
        <v>61172.998772937535</v>
      </c>
    </row>
    <row r="84" spans="1:22" ht="17.25" thickTop="1" x14ac:dyDescent="0.3">
      <c r="A84" s="37"/>
      <c r="B84" s="37"/>
      <c r="C84" s="37"/>
      <c r="D84" s="38"/>
      <c r="E84" s="4"/>
      <c r="I84" s="15"/>
      <c r="J84" s="15"/>
      <c r="K84" s="15"/>
      <c r="L84" s="15"/>
      <c r="M84" s="4"/>
      <c r="N84" s="4"/>
      <c r="O84" s="4"/>
      <c r="P84" s="4"/>
    </row>
    <row r="85" spans="1:22" ht="21" x14ac:dyDescent="0.35">
      <c r="A85" s="37"/>
      <c r="B85" s="37"/>
      <c r="C85" s="37"/>
      <c r="D85" s="38" t="s">
        <v>161</v>
      </c>
      <c r="E85" s="102"/>
      <c r="H85" s="15">
        <f t="shared" ref="H85:V85" si="141">H83-H64</f>
        <v>0</v>
      </c>
      <c r="I85" s="15">
        <f t="shared" si="141"/>
        <v>0</v>
      </c>
      <c r="J85" s="15">
        <f t="shared" si="141"/>
        <v>0</v>
      </c>
      <c r="K85" s="15">
        <f t="shared" si="141"/>
        <v>0</v>
      </c>
      <c r="L85" s="15">
        <f t="shared" si="141"/>
        <v>0</v>
      </c>
      <c r="M85" s="15">
        <f t="shared" si="141"/>
        <v>0</v>
      </c>
      <c r="N85" s="15">
        <f t="shared" si="141"/>
        <v>0</v>
      </c>
      <c r="O85" s="15">
        <f t="shared" si="141"/>
        <v>0</v>
      </c>
      <c r="P85" s="15">
        <f t="shared" si="141"/>
        <v>0</v>
      </c>
      <c r="Q85" s="15">
        <f t="shared" si="141"/>
        <v>0</v>
      </c>
      <c r="R85" s="15">
        <f t="shared" si="141"/>
        <v>0</v>
      </c>
      <c r="S85" s="15">
        <f t="shared" si="141"/>
        <v>0</v>
      </c>
      <c r="T85" s="15">
        <f t="shared" si="141"/>
        <v>0</v>
      </c>
      <c r="U85" s="15">
        <f t="shared" si="141"/>
        <v>0</v>
      </c>
      <c r="V85" s="15">
        <f t="shared" si="141"/>
        <v>0</v>
      </c>
    </row>
    <row r="86" spans="1:22" x14ac:dyDescent="0.3">
      <c r="A86" s="37"/>
      <c r="B86" s="37"/>
      <c r="C86" s="37"/>
      <c r="D86" s="38"/>
      <c r="E86" s="4"/>
    </row>
    <row r="87" spans="1:22" ht="21" x14ac:dyDescent="0.35">
      <c r="A87" s="122" t="s">
        <v>162</v>
      </c>
      <c r="B87" s="128"/>
      <c r="C87" s="128"/>
      <c r="D87" s="122"/>
      <c r="E87" s="119"/>
      <c r="F87" s="125"/>
      <c r="G87" s="126"/>
      <c r="H87" s="126"/>
      <c r="I87" s="129"/>
      <c r="J87" s="129"/>
      <c r="K87" s="129"/>
      <c r="L87" s="129"/>
      <c r="M87" s="125"/>
      <c r="N87" s="125"/>
      <c r="O87" s="125"/>
      <c r="P87" s="125"/>
      <c r="Q87" s="125"/>
      <c r="R87" s="125"/>
      <c r="S87" s="125"/>
      <c r="T87" s="125"/>
      <c r="U87" s="125"/>
      <c r="V87" s="125"/>
    </row>
    <row r="88" spans="1:22" x14ac:dyDescent="0.3">
      <c r="A88" s="37"/>
      <c r="B88" s="37"/>
      <c r="C88" s="42" t="s">
        <v>180</v>
      </c>
      <c r="D88" s="38"/>
      <c r="E88" s="4"/>
      <c r="F88" s="4" t="s">
        <v>324</v>
      </c>
      <c r="I88" s="15"/>
      <c r="J88" s="15"/>
      <c r="K88" s="15"/>
      <c r="L88" s="15"/>
      <c r="M88" s="4"/>
      <c r="N88" s="4"/>
      <c r="O88" s="4"/>
      <c r="P88" s="4"/>
    </row>
    <row r="89" spans="1:22" x14ac:dyDescent="0.3">
      <c r="A89" s="37"/>
      <c r="B89" s="37"/>
      <c r="C89" s="37"/>
      <c r="D89" s="38" t="s">
        <v>163</v>
      </c>
      <c r="E89" s="4"/>
      <c r="F89" s="4" t="s">
        <v>324</v>
      </c>
      <c r="H89" s="14">
        <f>historical!G118+historical!G142</f>
        <v>1465.28</v>
      </c>
      <c r="I89" s="14">
        <f>historical!H118+historical!H142</f>
        <v>1431.08</v>
      </c>
      <c r="J89" s="14">
        <f>historical!I118+historical!I142</f>
        <v>1523.74</v>
      </c>
      <c r="K89" s="14">
        <f>historical!J118+historical!J142</f>
        <v>1441.1799999999998</v>
      </c>
      <c r="L89" s="14">
        <f>historical!K118+historical!K142</f>
        <v>1232.7400000000002</v>
      </c>
      <c r="M89" s="8">
        <f>M49</f>
        <v>2622.8710586257271</v>
      </c>
      <c r="N89" s="8">
        <f t="shared" ref="N89:V89" si="142">N49</f>
        <v>2847.8941976863493</v>
      </c>
      <c r="O89" s="8">
        <f t="shared" si="142"/>
        <v>3075.8920207288402</v>
      </c>
      <c r="P89" s="8">
        <f t="shared" si="142"/>
        <v>3322.5573418593867</v>
      </c>
      <c r="Q89" s="8">
        <f t="shared" si="142"/>
        <v>3573.6438058989843</v>
      </c>
      <c r="R89" s="8">
        <f t="shared" si="142"/>
        <v>3845.2702101516375</v>
      </c>
      <c r="S89" s="8">
        <f t="shared" si="142"/>
        <v>4122.8665516931969</v>
      </c>
      <c r="T89" s="8">
        <f t="shared" si="142"/>
        <v>4423.1327825946446</v>
      </c>
      <c r="U89" s="8">
        <f t="shared" si="142"/>
        <v>4731.0395578706293</v>
      </c>
      <c r="V89" s="8">
        <f t="shared" si="142"/>
        <v>5064.0336049967664</v>
      </c>
    </row>
    <row r="90" spans="1:22" x14ac:dyDescent="0.3">
      <c r="A90" s="37"/>
      <c r="B90" s="37"/>
      <c r="C90" s="37"/>
      <c r="D90" s="38" t="s">
        <v>164</v>
      </c>
      <c r="E90" s="100"/>
      <c r="F90" s="4" t="s">
        <v>324</v>
      </c>
      <c r="H90" s="14">
        <f>historical!G120</f>
        <v>847.98</v>
      </c>
      <c r="I90" s="14">
        <f>historical!H120</f>
        <v>866.65</v>
      </c>
      <c r="J90" s="14">
        <f>historical!I120</f>
        <v>884.66</v>
      </c>
      <c r="K90" s="14">
        <f>historical!J120</f>
        <v>877.87</v>
      </c>
      <c r="L90" s="14">
        <f>historical!K120</f>
        <v>1216.73</v>
      </c>
      <c r="M90" s="8">
        <f>-M132</f>
        <v>1187.6125755381252</v>
      </c>
      <c r="N90" s="8">
        <f t="shared" ref="N90:V90" si="143">-N132</f>
        <v>1154.1097347239074</v>
      </c>
      <c r="O90" s="8">
        <f t="shared" si="143"/>
        <v>1128.1520601681066</v>
      </c>
      <c r="P90" s="8">
        <f t="shared" si="143"/>
        <v>1097.9629736970633</v>
      </c>
      <c r="Q90" s="8">
        <f t="shared" si="143"/>
        <v>1074.887898616051</v>
      </c>
      <c r="R90" s="8">
        <f t="shared" si="143"/>
        <v>1047.7163346019934</v>
      </c>
      <c r="S90" s="8">
        <f t="shared" si="143"/>
        <v>1027.2699535572026</v>
      </c>
      <c r="T90" s="8">
        <f t="shared" si="143"/>
        <v>1002.8447472955272</v>
      </c>
      <c r="U90" s="8">
        <f t="shared" si="143"/>
        <v>984.7945879735704</v>
      </c>
      <c r="V90" s="8">
        <f t="shared" si="143"/>
        <v>962.86766396104497</v>
      </c>
    </row>
    <row r="91" spans="1:22" x14ac:dyDescent="0.3">
      <c r="A91" s="37"/>
      <c r="B91" s="37"/>
      <c r="C91" s="37"/>
      <c r="D91" s="38" t="s">
        <v>165</v>
      </c>
      <c r="E91" s="57"/>
      <c r="F91" s="4" t="s">
        <v>324</v>
      </c>
      <c r="H91" s="14">
        <f>historical!G132</f>
        <v>1334.44</v>
      </c>
      <c r="I91" s="14">
        <f>historical!H132</f>
        <v>1131.96</v>
      </c>
      <c r="J91" s="14">
        <f>historical!I132</f>
        <v>1031.33</v>
      </c>
      <c r="K91" s="14">
        <f>historical!J132</f>
        <v>999.50999999999988</v>
      </c>
      <c r="L91" s="14">
        <f>historical!K132</f>
        <v>1108.26</v>
      </c>
      <c r="M91" s="8">
        <f>-M44-M46</f>
        <v>939.62690381990694</v>
      </c>
      <c r="N91" s="8">
        <f t="shared" ref="N91:V91" si="144">-N44-N46</f>
        <v>920.17889880262896</v>
      </c>
      <c r="O91" s="8">
        <f t="shared" si="144"/>
        <v>899.543615537287</v>
      </c>
      <c r="P91" s="8">
        <f t="shared" si="144"/>
        <v>877.64857205788633</v>
      </c>
      <c r="Q91" s="8">
        <f t="shared" si="144"/>
        <v>854.41686145810945</v>
      </c>
      <c r="R91" s="8">
        <f t="shared" si="144"/>
        <v>829.76688175381878</v>
      </c>
      <c r="S91" s="8">
        <f t="shared" si="144"/>
        <v>803.61204925397794</v>
      </c>
      <c r="T91" s="8">
        <f t="shared" si="144"/>
        <v>775.86049443319826</v>
      </c>
      <c r="U91" s="8">
        <f t="shared" si="144"/>
        <v>746.41473923765545</v>
      </c>
      <c r="V91" s="8">
        <f t="shared" si="144"/>
        <v>715.17135469090533</v>
      </c>
    </row>
    <row r="92" spans="1:22" x14ac:dyDescent="0.3">
      <c r="A92" s="37"/>
      <c r="B92" s="37"/>
      <c r="C92" s="37"/>
      <c r="D92" s="52" t="s">
        <v>167</v>
      </c>
      <c r="E92" s="4"/>
      <c r="F92" s="53" t="s">
        <v>324</v>
      </c>
      <c r="G92" s="54"/>
      <c r="H92" s="15">
        <f>H127</f>
        <v>-240.2</v>
      </c>
      <c r="I92" s="15">
        <f>I127</f>
        <v>-624.01</v>
      </c>
      <c r="J92" s="15">
        <f t="shared" ref="J92:L92" si="145">J127</f>
        <v>-940.66000000000008</v>
      </c>
      <c r="K92" s="15">
        <f t="shared" si="145"/>
        <v>-1340.21</v>
      </c>
      <c r="L92" s="15">
        <f t="shared" si="145"/>
        <v>-1206.32</v>
      </c>
      <c r="M92" s="8">
        <f>M127</f>
        <v>639.13820960272233</v>
      </c>
      <c r="N92" s="8">
        <f t="shared" ref="N92:V92" si="146">N127</f>
        <v>-71.181231358438481</v>
      </c>
      <c r="O92" s="8">
        <f t="shared" si="146"/>
        <v>-75.526763333940153</v>
      </c>
      <c r="P92" s="8">
        <f t="shared" si="146"/>
        <v>-80.137585018395612</v>
      </c>
      <c r="Q92" s="8">
        <f t="shared" si="146"/>
        <v>-85.029892042184656</v>
      </c>
      <c r="R92" s="8">
        <f t="shared" si="146"/>
        <v>-90.220868760219673</v>
      </c>
      <c r="S92" s="8">
        <f t="shared" si="146"/>
        <v>-95.728748612435538</v>
      </c>
      <c r="T92" s="8">
        <f t="shared" si="146"/>
        <v>-101.57287816921826</v>
      </c>
      <c r="U92" s="8">
        <f t="shared" si="146"/>
        <v>-107.77378508673587</v>
      </c>
      <c r="V92" s="8">
        <f t="shared" si="146"/>
        <v>-114.35325021086214</v>
      </c>
    </row>
    <row r="93" spans="1:22" x14ac:dyDescent="0.3">
      <c r="A93" s="37"/>
      <c r="B93" s="37"/>
      <c r="C93" s="37"/>
      <c r="D93" s="56" t="s">
        <v>168</v>
      </c>
      <c r="E93" s="16"/>
      <c r="F93" s="93" t="s">
        <v>324</v>
      </c>
      <c r="G93" s="31"/>
      <c r="H93" s="19">
        <f>SUM(H89:H92)</f>
        <v>3407.5000000000005</v>
      </c>
      <c r="I93" s="19">
        <f>SUM(I89:I92)</f>
        <v>2805.6800000000003</v>
      </c>
      <c r="J93" s="19">
        <f t="shared" ref="J93:V93" si="147">SUM(J89:J92)</f>
        <v>2499.0699999999997</v>
      </c>
      <c r="K93" s="19">
        <f t="shared" si="147"/>
        <v>1978.3499999999995</v>
      </c>
      <c r="L93" s="19">
        <f t="shared" si="147"/>
        <v>2351.4100000000008</v>
      </c>
      <c r="M93" s="19">
        <f t="shared" si="147"/>
        <v>5389.2487475864818</v>
      </c>
      <c r="N93" s="19">
        <f t="shared" si="147"/>
        <v>4851.0015998544468</v>
      </c>
      <c r="O93" s="19">
        <f t="shared" si="147"/>
        <v>5028.0609331002943</v>
      </c>
      <c r="P93" s="19">
        <f t="shared" si="147"/>
        <v>5218.0313025959413</v>
      </c>
      <c r="Q93" s="19">
        <f t="shared" si="147"/>
        <v>5417.9186739309598</v>
      </c>
      <c r="R93" s="19">
        <f t="shared" si="147"/>
        <v>5632.5325577472295</v>
      </c>
      <c r="S93" s="19">
        <f t="shared" si="147"/>
        <v>5858.0198058919414</v>
      </c>
      <c r="T93" s="19">
        <f t="shared" si="147"/>
        <v>6100.2651461541518</v>
      </c>
      <c r="U93" s="19">
        <f t="shared" si="147"/>
        <v>6354.4750999951193</v>
      </c>
      <c r="V93" s="19">
        <f t="shared" si="147"/>
        <v>6627.7193734378543</v>
      </c>
    </row>
    <row r="94" spans="1:22" x14ac:dyDescent="0.3">
      <c r="A94" s="37"/>
      <c r="B94" s="37"/>
      <c r="C94" s="37"/>
      <c r="D94" s="38"/>
      <c r="E94" s="4"/>
      <c r="I94" s="14"/>
      <c r="J94" s="14"/>
      <c r="K94" s="14"/>
      <c r="L94" s="14"/>
      <c r="M94" s="4"/>
      <c r="N94" s="4"/>
      <c r="O94" s="4"/>
      <c r="P94" s="4"/>
    </row>
    <row r="95" spans="1:22" x14ac:dyDescent="0.3">
      <c r="A95" s="37"/>
      <c r="B95" s="37"/>
      <c r="C95" s="37"/>
      <c r="D95" s="38"/>
      <c r="E95" s="4"/>
      <c r="I95" s="14"/>
      <c r="J95" s="14"/>
      <c r="K95" s="14"/>
      <c r="L95" s="14"/>
      <c r="M95" s="4"/>
      <c r="N95" s="4"/>
      <c r="O95" s="4"/>
      <c r="P95" s="4"/>
    </row>
    <row r="96" spans="1:22" x14ac:dyDescent="0.3">
      <c r="A96" s="37"/>
      <c r="B96" s="37"/>
      <c r="C96" s="37"/>
      <c r="D96" s="38"/>
      <c r="E96" s="4"/>
      <c r="I96" s="14"/>
      <c r="J96" s="14"/>
      <c r="K96" s="14"/>
      <c r="L96" s="14"/>
      <c r="M96" s="4"/>
      <c r="N96" s="4"/>
      <c r="O96" s="4"/>
      <c r="P96" s="4"/>
    </row>
    <row r="97" spans="1:23" x14ac:dyDescent="0.3">
      <c r="A97" s="37"/>
      <c r="B97" s="42" t="s">
        <v>173</v>
      </c>
      <c r="C97" s="37"/>
      <c r="D97" s="38"/>
      <c r="E97" s="4"/>
      <c r="I97" s="14"/>
      <c r="J97" s="14"/>
      <c r="K97" s="14"/>
      <c r="L97" s="14"/>
      <c r="M97" s="4"/>
      <c r="N97" s="4"/>
      <c r="O97" s="4"/>
      <c r="P97" s="4"/>
    </row>
    <row r="98" spans="1:23" x14ac:dyDescent="0.3">
      <c r="A98" s="37"/>
      <c r="B98" s="37"/>
      <c r="C98" s="37"/>
      <c r="D98" s="38" t="s">
        <v>169</v>
      </c>
      <c r="E98" s="4"/>
      <c r="F98" s="4" t="s">
        <v>324</v>
      </c>
      <c r="H98" s="14">
        <f>historical!G146</f>
        <v>-918.8</v>
      </c>
      <c r="I98" s="14">
        <f>historical!H146</f>
        <v>-682.81</v>
      </c>
      <c r="J98" s="14">
        <f>historical!I146</f>
        <v>-778.07</v>
      </c>
      <c r="K98" s="14">
        <f>historical!J146</f>
        <v>-695.54</v>
      </c>
      <c r="L98" s="14">
        <f>historical!K146</f>
        <v>-771.16</v>
      </c>
      <c r="M98" s="15">
        <f>-M131</f>
        <v>-558.37799999999891</v>
      </c>
      <c r="N98" s="15">
        <f t="shared" ref="N98:V98" si="148">-N131</f>
        <v>-561.16988999999887</v>
      </c>
      <c r="O98" s="15">
        <f t="shared" si="148"/>
        <v>-563.97573944999885</v>
      </c>
      <c r="P98" s="15">
        <f t="shared" si="148"/>
        <v>-566.79561814724877</v>
      </c>
      <c r="Q98" s="15">
        <f t="shared" si="148"/>
        <v>-569.62959623798497</v>
      </c>
      <c r="R98" s="15">
        <f t="shared" si="148"/>
        <v>-572.47774421917484</v>
      </c>
      <c r="S98" s="15">
        <f t="shared" si="148"/>
        <v>-575.34013294027068</v>
      </c>
      <c r="T98" s="15">
        <f t="shared" si="148"/>
        <v>-578.21683360497195</v>
      </c>
      <c r="U98" s="15">
        <f t="shared" si="148"/>
        <v>-581.10791777299676</v>
      </c>
      <c r="V98" s="15">
        <f t="shared" si="148"/>
        <v>-584.0134573618617</v>
      </c>
    </row>
    <row r="99" spans="1:23" x14ac:dyDescent="0.3">
      <c r="A99" s="37"/>
      <c r="B99" s="37"/>
      <c r="C99" s="37"/>
      <c r="D99" s="38" t="s">
        <v>170</v>
      </c>
      <c r="E99" s="4"/>
      <c r="F99" s="4" t="s">
        <v>324</v>
      </c>
      <c r="H99" s="14">
        <f>historical!G147</f>
        <v>5.82</v>
      </c>
      <c r="I99" s="14">
        <f>historical!H147</f>
        <v>8.39</v>
      </c>
      <c r="J99" s="14">
        <f>historical!I147</f>
        <v>7.77</v>
      </c>
      <c r="K99" s="14">
        <f>historical!J147</f>
        <v>5.32</v>
      </c>
      <c r="L99" s="14">
        <f>historical!K147</f>
        <v>5.91</v>
      </c>
      <c r="M99" s="8">
        <v>0</v>
      </c>
      <c r="N99" s="8">
        <v>0</v>
      </c>
      <c r="O99" s="8">
        <v>0</v>
      </c>
      <c r="P99" s="8">
        <v>0</v>
      </c>
      <c r="Q99" s="8">
        <v>0</v>
      </c>
      <c r="R99" s="8">
        <v>0</v>
      </c>
      <c r="S99" s="8">
        <v>0</v>
      </c>
      <c r="T99" s="8">
        <v>0</v>
      </c>
      <c r="U99" s="8">
        <v>0</v>
      </c>
      <c r="V99" s="8">
        <v>0</v>
      </c>
      <c r="W99" s="8"/>
    </row>
    <row r="100" spans="1:23" x14ac:dyDescent="0.3">
      <c r="A100" s="37"/>
      <c r="B100" s="37"/>
      <c r="C100" s="37"/>
      <c r="D100" s="38" t="s">
        <v>171</v>
      </c>
      <c r="E100" s="4"/>
      <c r="F100" s="4" t="s">
        <v>324</v>
      </c>
      <c r="H100" s="14">
        <f>historical!G149+historical!G153+historical!G150</f>
        <v>389.14</v>
      </c>
      <c r="I100" s="14">
        <f>historical!H149+historical!H153+historical!H150</f>
        <v>-408.09</v>
      </c>
      <c r="J100" s="14">
        <f>historical!I149+historical!I153+historical!I150</f>
        <v>-208.59</v>
      </c>
      <c r="K100" s="14">
        <f>historical!J149+historical!J153+historical!J150</f>
        <v>64.639999999999986</v>
      </c>
      <c r="L100" s="14">
        <f>historical!K149+historical!K153+historical!K150</f>
        <v>93.15</v>
      </c>
      <c r="M100" s="8">
        <f>L62-M62</f>
        <v>0</v>
      </c>
      <c r="N100" s="8">
        <f t="shared" ref="N100:P100" si="149">M62-N62</f>
        <v>0</v>
      </c>
      <c r="O100" s="8">
        <f t="shared" si="149"/>
        <v>0</v>
      </c>
      <c r="P100" s="8">
        <f t="shared" si="149"/>
        <v>0</v>
      </c>
      <c r="Q100" s="8">
        <f t="shared" ref="Q100" si="150">P62-Q62</f>
        <v>0</v>
      </c>
      <c r="R100" s="8">
        <f t="shared" ref="R100" si="151">Q62-R62</f>
        <v>0</v>
      </c>
      <c r="S100" s="8">
        <f t="shared" ref="S100" si="152">R62-S62</f>
        <v>0</v>
      </c>
      <c r="T100" s="8">
        <f t="shared" ref="T100" si="153">S62-T62</f>
        <v>0</v>
      </c>
      <c r="U100" s="8">
        <f t="shared" ref="U100" si="154">T62-U62</f>
        <v>0</v>
      </c>
      <c r="V100" s="8">
        <f t="shared" ref="V100" si="155">U62-V62</f>
        <v>0</v>
      </c>
    </row>
    <row r="101" spans="1:23" x14ac:dyDescent="0.3">
      <c r="A101" s="37"/>
      <c r="B101" s="37"/>
      <c r="C101" s="37"/>
      <c r="D101" s="38" t="s">
        <v>99</v>
      </c>
      <c r="E101" s="100"/>
      <c r="F101" s="4" t="s">
        <v>324</v>
      </c>
      <c r="H101" s="14">
        <f>historical!G151</f>
        <v>12.59</v>
      </c>
      <c r="I101" s="14">
        <f>historical!H151</f>
        <v>11.3</v>
      </c>
      <c r="J101" s="14">
        <f>historical!I151</f>
        <v>8.9</v>
      </c>
      <c r="K101" s="14">
        <f>historical!J151</f>
        <v>5.0599999999999996</v>
      </c>
      <c r="L101" s="14">
        <f>historical!K151</f>
        <v>4.07</v>
      </c>
      <c r="M101" s="8">
        <v>0</v>
      </c>
      <c r="N101" s="8">
        <v>0</v>
      </c>
      <c r="O101" s="8">
        <v>0</v>
      </c>
      <c r="P101" s="8">
        <v>0</v>
      </c>
      <c r="Q101" s="8">
        <v>0</v>
      </c>
      <c r="R101" s="8">
        <v>0</v>
      </c>
      <c r="S101" s="8">
        <v>0</v>
      </c>
      <c r="T101" s="8">
        <v>0</v>
      </c>
      <c r="U101" s="8">
        <v>0</v>
      </c>
      <c r="V101" s="8">
        <v>0</v>
      </c>
    </row>
    <row r="102" spans="1:23" x14ac:dyDescent="0.3">
      <c r="A102" s="37"/>
      <c r="B102" s="37"/>
      <c r="C102" s="37"/>
      <c r="D102" s="38" t="s">
        <v>100</v>
      </c>
      <c r="E102" s="59"/>
      <c r="F102" s="4" t="s">
        <v>324</v>
      </c>
      <c r="H102" s="14">
        <f>historical!G152</f>
        <v>38.17</v>
      </c>
      <c r="I102" s="14">
        <f>historical!H152</f>
        <v>34.020000000000003</v>
      </c>
      <c r="J102" s="14">
        <f>historical!I152</f>
        <v>90.22</v>
      </c>
      <c r="K102" s="14">
        <f>historical!J152</f>
        <v>75.819999999999993</v>
      </c>
      <c r="L102" s="14">
        <f>historical!K152</f>
        <v>100.22</v>
      </c>
      <c r="M102" s="8">
        <f>M46</f>
        <v>318.56466651250969</v>
      </c>
      <c r="N102" s="8">
        <f t="shared" ref="N102:V102" si="156">N46</f>
        <v>338.01267152978761</v>
      </c>
      <c r="O102" s="8">
        <f t="shared" si="156"/>
        <v>358.64795479512964</v>
      </c>
      <c r="P102" s="8">
        <f t="shared" si="156"/>
        <v>380.54299827453031</v>
      </c>
      <c r="Q102" s="8">
        <f t="shared" si="156"/>
        <v>403.77470887430724</v>
      </c>
      <c r="R102" s="8">
        <f t="shared" si="156"/>
        <v>428.42468857859791</v>
      </c>
      <c r="S102" s="8">
        <f t="shared" si="156"/>
        <v>454.57952107843869</v>
      </c>
      <c r="T102" s="8">
        <f t="shared" si="156"/>
        <v>482.33107589921838</v>
      </c>
      <c r="U102" s="8">
        <f t="shared" si="156"/>
        <v>511.77683109476118</v>
      </c>
      <c r="V102" s="8">
        <f t="shared" si="156"/>
        <v>543.0202156415113</v>
      </c>
    </row>
    <row r="103" spans="1:23" x14ac:dyDescent="0.3">
      <c r="A103" s="37"/>
      <c r="B103" s="37"/>
      <c r="C103" s="37"/>
      <c r="D103" s="52" t="s">
        <v>96</v>
      </c>
      <c r="E103" s="4"/>
      <c r="F103" s="53" t="s">
        <v>324</v>
      </c>
      <c r="G103" s="54"/>
      <c r="H103" s="14">
        <f>historical!G148</f>
        <v>0</v>
      </c>
      <c r="I103" s="14">
        <f>historical!H148</f>
        <v>-452.05</v>
      </c>
      <c r="J103" s="14">
        <f>historical!I148</f>
        <v>304.74</v>
      </c>
      <c r="K103" s="14">
        <f>historical!J148</f>
        <v>0</v>
      </c>
      <c r="L103" s="14">
        <f>historical!K148</f>
        <v>4.21</v>
      </c>
      <c r="M103" s="8">
        <v>0</v>
      </c>
      <c r="N103" s="8">
        <v>0</v>
      </c>
      <c r="O103" s="8">
        <v>0</v>
      </c>
      <c r="P103" s="8">
        <v>0</v>
      </c>
    </row>
    <row r="104" spans="1:23" x14ac:dyDescent="0.3">
      <c r="A104" s="37"/>
      <c r="B104" s="37"/>
      <c r="C104" s="37"/>
      <c r="D104" s="58" t="s">
        <v>172</v>
      </c>
      <c r="E104" s="16"/>
      <c r="F104" s="93" t="s">
        <v>324</v>
      </c>
      <c r="G104" s="60"/>
      <c r="H104" s="19">
        <f>SUM(H98:H103)</f>
        <v>-473.07999999999993</v>
      </c>
      <c r="I104" s="19">
        <f>SUM(I98:I103)</f>
        <v>-1489.24</v>
      </c>
      <c r="J104" s="19">
        <f t="shared" ref="J104:V104" si="157">SUM(J98:J103)</f>
        <v>-575.03000000000009</v>
      </c>
      <c r="K104" s="19">
        <f t="shared" si="157"/>
        <v>-544.70000000000005</v>
      </c>
      <c r="L104" s="19">
        <f t="shared" si="157"/>
        <v>-563.59999999999991</v>
      </c>
      <c r="M104" s="19">
        <f t="shared" si="157"/>
        <v>-239.81333348748922</v>
      </c>
      <c r="N104" s="19">
        <f t="shared" si="157"/>
        <v>-223.15721847021126</v>
      </c>
      <c r="O104" s="19">
        <f t="shared" si="157"/>
        <v>-205.32778465486922</v>
      </c>
      <c r="P104" s="19">
        <f t="shared" si="157"/>
        <v>-186.25261987271847</v>
      </c>
      <c r="Q104" s="19">
        <f t="shared" si="157"/>
        <v>-165.85488736367773</v>
      </c>
      <c r="R104" s="19">
        <f t="shared" si="157"/>
        <v>-144.05305564057693</v>
      </c>
      <c r="S104" s="19">
        <f t="shared" si="157"/>
        <v>-120.76061186183199</v>
      </c>
      <c r="T104" s="19">
        <f t="shared" si="157"/>
        <v>-95.885757705753576</v>
      </c>
      <c r="U104" s="19">
        <f t="shared" si="157"/>
        <v>-69.331086678235579</v>
      </c>
      <c r="V104" s="19">
        <f t="shared" si="157"/>
        <v>-40.993241720350397</v>
      </c>
    </row>
    <row r="105" spans="1:23" x14ac:dyDescent="0.3">
      <c r="A105" s="37"/>
      <c r="B105" s="37"/>
      <c r="C105" s="37"/>
      <c r="D105" s="38"/>
      <c r="E105" s="4"/>
      <c r="I105" s="14"/>
      <c r="J105" s="14"/>
      <c r="K105" s="14"/>
      <c r="L105" s="14"/>
      <c r="M105" s="4"/>
      <c r="N105" s="4"/>
      <c r="O105" s="4"/>
      <c r="P105" s="4"/>
    </row>
    <row r="106" spans="1:23" x14ac:dyDescent="0.3">
      <c r="A106" s="37"/>
      <c r="B106" s="37"/>
      <c r="C106" s="37"/>
      <c r="D106" s="38"/>
      <c r="E106" s="4"/>
      <c r="I106" s="14"/>
      <c r="J106" s="14"/>
      <c r="K106" s="14"/>
      <c r="L106" s="14"/>
      <c r="M106" s="4"/>
      <c r="N106" s="4"/>
      <c r="O106" s="4"/>
      <c r="P106" s="4"/>
    </row>
    <row r="107" spans="1:23" x14ac:dyDescent="0.3">
      <c r="A107" s="37"/>
      <c r="B107" s="42" t="s">
        <v>174</v>
      </c>
      <c r="C107" s="37"/>
      <c r="D107" s="38"/>
      <c r="E107" s="4"/>
      <c r="I107" s="14"/>
      <c r="J107" s="14"/>
      <c r="K107" s="14"/>
      <c r="L107" s="14"/>
      <c r="M107" s="4"/>
      <c r="N107" s="4"/>
      <c r="O107" s="4"/>
      <c r="P107" s="4"/>
    </row>
    <row r="108" spans="1:23" x14ac:dyDescent="0.3">
      <c r="A108" s="37"/>
      <c r="B108" s="37"/>
      <c r="C108" s="37"/>
      <c r="D108" s="38" t="s">
        <v>175</v>
      </c>
      <c r="E108" s="4"/>
      <c r="F108" s="4" t="s">
        <v>324</v>
      </c>
      <c r="H108" s="14">
        <f>SUM(historical!G158:G160)</f>
        <v>-541.08000000000004</v>
      </c>
      <c r="I108" s="14">
        <f>SUM(historical!H158:H160)</f>
        <v>875.32</v>
      </c>
      <c r="J108" s="14">
        <f>SUM(historical!I158:I160)</f>
        <v>399.50999999999988</v>
      </c>
      <c r="K108" s="14">
        <f>SUM(historical!J158:J160)</f>
        <v>-518.9</v>
      </c>
      <c r="L108" s="14">
        <f>SUM(historical!K158:K160)</f>
        <v>871.62000000000023</v>
      </c>
      <c r="M108" s="8">
        <f>M137</f>
        <v>0</v>
      </c>
      <c r="N108" s="8">
        <f t="shared" ref="N108:V108" si="158">N137</f>
        <v>0</v>
      </c>
      <c r="O108" s="8">
        <f t="shared" si="158"/>
        <v>0</v>
      </c>
      <c r="P108" s="8">
        <f t="shared" si="158"/>
        <v>0</v>
      </c>
      <c r="Q108" s="8">
        <f t="shared" si="158"/>
        <v>0</v>
      </c>
      <c r="R108" s="8">
        <f t="shared" si="158"/>
        <v>0</v>
      </c>
      <c r="S108" s="8">
        <f t="shared" si="158"/>
        <v>0</v>
      </c>
      <c r="T108" s="8">
        <f t="shared" si="158"/>
        <v>0</v>
      </c>
      <c r="U108" s="8">
        <f t="shared" si="158"/>
        <v>0</v>
      </c>
      <c r="V108" s="8">
        <f t="shared" si="158"/>
        <v>0</v>
      </c>
    </row>
    <row r="109" spans="1:23" x14ac:dyDescent="0.3">
      <c r="A109" s="37"/>
      <c r="B109" s="37"/>
      <c r="C109" s="37"/>
      <c r="D109" s="38" t="s">
        <v>108</v>
      </c>
      <c r="E109" s="100"/>
      <c r="F109" s="4" t="s">
        <v>324</v>
      </c>
      <c r="H109" s="14">
        <f>historical!G162</f>
        <v>-1350.87</v>
      </c>
      <c r="I109" s="14">
        <f>historical!H162</f>
        <v>-1165.51</v>
      </c>
      <c r="J109" s="14">
        <f>historical!I162</f>
        <v>-1108.52</v>
      </c>
      <c r="K109" s="14">
        <f>historical!J162</f>
        <v>-1129.3499999999999</v>
      </c>
      <c r="L109" s="14">
        <f>historical!K162</f>
        <v>-1274.82</v>
      </c>
      <c r="M109" s="8">
        <v>0</v>
      </c>
      <c r="N109" s="8">
        <v>0</v>
      </c>
      <c r="O109" s="8">
        <v>0</v>
      </c>
      <c r="P109" s="8">
        <v>0</v>
      </c>
      <c r="Q109" s="8">
        <v>0</v>
      </c>
      <c r="R109" s="8">
        <v>0</v>
      </c>
      <c r="S109" s="8">
        <v>0</v>
      </c>
      <c r="T109" s="8">
        <v>0</v>
      </c>
      <c r="U109" s="8">
        <v>0</v>
      </c>
      <c r="V109" s="8">
        <v>0</v>
      </c>
    </row>
    <row r="110" spans="1:23" x14ac:dyDescent="0.3">
      <c r="A110" s="37"/>
      <c r="B110" s="37"/>
      <c r="C110" s="37"/>
      <c r="D110" s="38" t="s">
        <v>109</v>
      </c>
      <c r="E110" s="59"/>
      <c r="F110" s="4" t="s">
        <v>324</v>
      </c>
      <c r="H110" s="14">
        <f>historical!G163</f>
        <v>-294.58</v>
      </c>
      <c r="I110" s="14">
        <f>historical!H163</f>
        <v>-594.03</v>
      </c>
      <c r="J110" s="14">
        <f>historical!I163</f>
        <v>-602.63</v>
      </c>
      <c r="K110" s="14">
        <f>historical!J163</f>
        <v>-603.79</v>
      </c>
      <c r="L110" s="14">
        <f>historical!K163</f>
        <v>-606.20000000000005</v>
      </c>
      <c r="M110" s="8">
        <f>-M49*M21</f>
        <v>-1018.3308013341117</v>
      </c>
      <c r="N110" s="8">
        <f t="shared" ref="N110:V110" si="159">-N49*N21</f>
        <v>-1105.6961305464386</v>
      </c>
      <c r="O110" s="8">
        <f t="shared" si="159"/>
        <v>-1194.2163820768144</v>
      </c>
      <c r="P110" s="8">
        <f t="shared" si="159"/>
        <v>-1289.9842976600596</v>
      </c>
      <c r="Q110" s="8">
        <f t="shared" si="159"/>
        <v>-1387.4687238535309</v>
      </c>
      <c r="R110" s="8">
        <f t="shared" si="159"/>
        <v>-1492.9277905493361</v>
      </c>
      <c r="S110" s="8">
        <f t="shared" si="159"/>
        <v>-1600.7046879304637</v>
      </c>
      <c r="T110" s="8">
        <f t="shared" si="159"/>
        <v>-1717.28317947387</v>
      </c>
      <c r="U110" s="8">
        <f t="shared" si="159"/>
        <v>-1836.8281156123942</v>
      </c>
      <c r="V110" s="8">
        <f t="shared" si="159"/>
        <v>-1966.1131956906809</v>
      </c>
    </row>
    <row r="111" spans="1:23" x14ac:dyDescent="0.3">
      <c r="A111" s="37"/>
      <c r="B111" s="37"/>
      <c r="C111" s="37"/>
      <c r="D111" s="52" t="s">
        <v>107</v>
      </c>
      <c r="E111" s="53"/>
      <c r="F111" s="53" t="s">
        <v>324</v>
      </c>
      <c r="G111" s="54"/>
      <c r="H111" s="14">
        <f>historical!G161</f>
        <v>34.56</v>
      </c>
      <c r="I111" s="14">
        <f>historical!H161</f>
        <v>-855.03</v>
      </c>
      <c r="J111" s="14">
        <f>historical!I161</f>
        <v>700.7</v>
      </c>
      <c r="K111" s="14">
        <f>historical!J161</f>
        <v>-205.11</v>
      </c>
      <c r="L111" s="14">
        <f>historical!K161</f>
        <v>-632.23</v>
      </c>
      <c r="M111" s="8">
        <f>M139</f>
        <v>-1258.1915703324166</v>
      </c>
      <c r="N111" s="8">
        <f t="shared" ref="N111:V111" si="160">N139</f>
        <v>-1258.1915703324166</v>
      </c>
      <c r="O111" s="8">
        <f t="shared" si="160"/>
        <v>-1258.1915703324166</v>
      </c>
      <c r="P111" s="8">
        <f t="shared" si="160"/>
        <v>-1258.1915703324166</v>
      </c>
      <c r="Q111" s="8">
        <f t="shared" si="160"/>
        <v>-1258.1915703324166</v>
      </c>
      <c r="R111" s="8">
        <f t="shared" si="160"/>
        <v>-1258.1915703324166</v>
      </c>
      <c r="S111" s="8">
        <f t="shared" si="160"/>
        <v>-1258.1915703324166</v>
      </c>
      <c r="T111" s="8">
        <f t="shared" si="160"/>
        <v>-1258.1915703324166</v>
      </c>
      <c r="U111" s="8">
        <f t="shared" si="160"/>
        <v>-1258.1915703324166</v>
      </c>
      <c r="V111" s="8">
        <f t="shared" si="160"/>
        <v>-1258.1915703324166</v>
      </c>
    </row>
    <row r="112" spans="1:23" x14ac:dyDescent="0.3">
      <c r="A112" s="37"/>
      <c r="B112" s="37"/>
      <c r="C112" s="37"/>
      <c r="D112" s="58" t="s">
        <v>176</v>
      </c>
      <c r="E112" s="4"/>
      <c r="F112" s="93" t="s">
        <v>324</v>
      </c>
      <c r="G112" s="60"/>
      <c r="H112" s="19">
        <f>SUM(H108:H111)</f>
        <v>-2151.9699999999998</v>
      </c>
      <c r="I112" s="19">
        <f>SUM(I108:I111)</f>
        <v>-1739.25</v>
      </c>
      <c r="J112" s="19">
        <f t="shared" ref="J112:V112" si="161">SUM(J108:J111)</f>
        <v>-610.94000000000005</v>
      </c>
      <c r="K112" s="19">
        <f t="shared" si="161"/>
        <v>-2457.15</v>
      </c>
      <c r="L112" s="19">
        <f t="shared" si="161"/>
        <v>-1641.6299999999997</v>
      </c>
      <c r="M112" s="19">
        <f t="shared" si="161"/>
        <v>-2276.5223716665282</v>
      </c>
      <c r="N112" s="19">
        <f t="shared" si="161"/>
        <v>-2363.887700878855</v>
      </c>
      <c r="O112" s="19">
        <f t="shared" si="161"/>
        <v>-2452.4079524092313</v>
      </c>
      <c r="P112" s="19">
        <f t="shared" si="161"/>
        <v>-2548.175867992476</v>
      </c>
      <c r="Q112" s="19">
        <f t="shared" si="161"/>
        <v>-2645.6602941859474</v>
      </c>
      <c r="R112" s="19">
        <f t="shared" si="161"/>
        <v>-2751.119360881753</v>
      </c>
      <c r="S112" s="19">
        <f t="shared" si="161"/>
        <v>-2858.8962582628801</v>
      </c>
      <c r="T112" s="19">
        <f t="shared" si="161"/>
        <v>-2975.4747498062866</v>
      </c>
      <c r="U112" s="19">
        <f t="shared" si="161"/>
        <v>-3095.0196859448106</v>
      </c>
      <c r="V112" s="19">
        <f t="shared" si="161"/>
        <v>-3224.3047660230977</v>
      </c>
    </row>
    <row r="113" spans="1:22" x14ac:dyDescent="0.3">
      <c r="A113" s="37"/>
      <c r="B113" s="37"/>
      <c r="C113" s="37"/>
      <c r="D113" s="38"/>
      <c r="E113" s="4"/>
      <c r="I113" s="14"/>
      <c r="J113" s="14"/>
      <c r="K113" s="14"/>
      <c r="L113" s="14"/>
      <c r="M113" s="4"/>
      <c r="N113" s="4"/>
      <c r="O113" s="4"/>
      <c r="P113" s="4"/>
    </row>
    <row r="114" spans="1:22" x14ac:dyDescent="0.3">
      <c r="A114" s="37"/>
      <c r="B114" s="37"/>
      <c r="C114" s="37"/>
      <c r="D114" s="38"/>
      <c r="E114" s="100"/>
      <c r="I114" s="14"/>
      <c r="J114" s="14"/>
      <c r="K114" s="14"/>
      <c r="L114" s="14"/>
      <c r="M114" s="4"/>
      <c r="N114" s="4"/>
      <c r="O114" s="4"/>
      <c r="P114" s="4"/>
    </row>
    <row r="115" spans="1:22" x14ac:dyDescent="0.3">
      <c r="A115" s="37"/>
      <c r="B115" s="37"/>
      <c r="C115" s="37"/>
      <c r="D115" s="38" t="s">
        <v>177</v>
      </c>
      <c r="E115" s="59"/>
      <c r="F115" s="4" t="s">
        <v>324</v>
      </c>
      <c r="H115" s="14">
        <f>SUM(H112,H104,H93)</f>
        <v>782.45000000000073</v>
      </c>
      <c r="I115" s="14">
        <f>SUM(I112,I104,I93)</f>
        <v>-422.80999999999949</v>
      </c>
      <c r="J115" s="14">
        <f t="shared" ref="J115:V115" si="162">SUM(J112,J104,J93)</f>
        <v>1313.0999999999995</v>
      </c>
      <c r="K115" s="14">
        <f t="shared" si="162"/>
        <v>-1023.5000000000009</v>
      </c>
      <c r="L115" s="14">
        <f t="shared" si="162"/>
        <v>146.1800000000012</v>
      </c>
      <c r="M115" s="15">
        <f t="shared" si="162"/>
        <v>2872.9130424324644</v>
      </c>
      <c r="N115" s="15">
        <f t="shared" si="162"/>
        <v>2263.9566805053805</v>
      </c>
      <c r="O115" s="15">
        <f t="shared" si="162"/>
        <v>2370.325196036194</v>
      </c>
      <c r="P115" s="15">
        <f t="shared" si="162"/>
        <v>2483.602814730747</v>
      </c>
      <c r="Q115" s="15">
        <f t="shared" si="162"/>
        <v>2606.4034923813347</v>
      </c>
      <c r="R115" s="15">
        <f t="shared" si="162"/>
        <v>2737.3601412248995</v>
      </c>
      <c r="S115" s="15">
        <f t="shared" si="162"/>
        <v>2878.3629357672294</v>
      </c>
      <c r="T115" s="15">
        <f t="shared" si="162"/>
        <v>3028.9046386421114</v>
      </c>
      <c r="U115" s="15">
        <f t="shared" si="162"/>
        <v>3190.1243273720729</v>
      </c>
      <c r="V115" s="15">
        <f t="shared" si="162"/>
        <v>3362.4213656944062</v>
      </c>
    </row>
    <row r="116" spans="1:22" x14ac:dyDescent="0.3">
      <c r="A116" s="37"/>
      <c r="B116" s="37"/>
      <c r="C116" s="37"/>
      <c r="D116" s="38" t="s">
        <v>178</v>
      </c>
      <c r="F116" s="4" t="s">
        <v>324</v>
      </c>
      <c r="H116" s="14">
        <f>historical!G169</f>
        <v>539.22</v>
      </c>
      <c r="I116" s="14">
        <f>historical!H169</f>
        <v>1262.4100000000001</v>
      </c>
      <c r="J116" s="14">
        <f>historical!I169</f>
        <v>839.6</v>
      </c>
      <c r="K116" s="14">
        <f>historical!J169</f>
        <v>2152.6999999999998</v>
      </c>
      <c r="L116" s="14">
        <f>historical!K169</f>
        <v>1129.2</v>
      </c>
      <c r="M116" s="8">
        <f>L117</f>
        <v>1275.3800000000012</v>
      </c>
      <c r="N116" s="8">
        <f t="shared" ref="N116:P116" si="163">M117</f>
        <v>4148.2930424324659</v>
      </c>
      <c r="O116" s="8">
        <f t="shared" si="163"/>
        <v>6412.2497229378459</v>
      </c>
      <c r="P116" s="8">
        <f t="shared" si="163"/>
        <v>8782.57491897404</v>
      </c>
      <c r="Q116" s="8">
        <f t="shared" ref="Q116" si="164">P117</f>
        <v>11266.177733704786</v>
      </c>
      <c r="R116" s="8">
        <f t="shared" ref="R116" si="165">Q117</f>
        <v>13872.58122608612</v>
      </c>
      <c r="S116" s="8">
        <f t="shared" ref="S116" si="166">R117</f>
        <v>16609.941367311021</v>
      </c>
      <c r="T116" s="8">
        <f t="shared" ref="T116" si="167">S117</f>
        <v>19488.30430307825</v>
      </c>
      <c r="U116" s="8">
        <f t="shared" ref="U116" si="168">T117</f>
        <v>22517.208941720361</v>
      </c>
      <c r="V116" s="8">
        <f t="shared" ref="V116" si="169">U117</f>
        <v>25707.333269092433</v>
      </c>
    </row>
    <row r="117" spans="1:22" ht="15.75" thickBot="1" x14ac:dyDescent="0.3">
      <c r="A117" s="37"/>
      <c r="B117" s="37"/>
      <c r="C117" s="37"/>
      <c r="D117" s="46" t="s">
        <v>179</v>
      </c>
      <c r="E117" s="136"/>
      <c r="F117" s="47" t="s">
        <v>324</v>
      </c>
      <c r="G117" s="48"/>
      <c r="H117" s="49">
        <f>SUM(H115:H116)</f>
        <v>1321.6700000000008</v>
      </c>
      <c r="I117" s="49">
        <f>SUM(I115:I116)</f>
        <v>839.60000000000059</v>
      </c>
      <c r="J117" s="49">
        <f t="shared" ref="J117:V117" si="170">SUM(J115:J116)</f>
        <v>2152.6999999999994</v>
      </c>
      <c r="K117" s="49">
        <f t="shared" si="170"/>
        <v>1129.1999999999989</v>
      </c>
      <c r="L117" s="49">
        <f t="shared" si="170"/>
        <v>1275.3800000000012</v>
      </c>
      <c r="M117" s="49">
        <f t="shared" si="170"/>
        <v>4148.2930424324659</v>
      </c>
      <c r="N117" s="49">
        <f t="shared" si="170"/>
        <v>6412.2497229378459</v>
      </c>
      <c r="O117" s="49">
        <f t="shared" si="170"/>
        <v>8782.57491897404</v>
      </c>
      <c r="P117" s="49">
        <f t="shared" si="170"/>
        <v>11266.177733704786</v>
      </c>
      <c r="Q117" s="49">
        <f t="shared" si="170"/>
        <v>13872.58122608612</v>
      </c>
      <c r="R117" s="49">
        <f t="shared" si="170"/>
        <v>16609.941367311021</v>
      </c>
      <c r="S117" s="49">
        <f t="shared" si="170"/>
        <v>19488.30430307825</v>
      </c>
      <c r="T117" s="49">
        <f t="shared" si="170"/>
        <v>22517.208941720361</v>
      </c>
      <c r="U117" s="49">
        <f t="shared" si="170"/>
        <v>25707.333269092433</v>
      </c>
      <c r="V117" s="49">
        <f t="shared" si="170"/>
        <v>29069.754634786837</v>
      </c>
    </row>
    <row r="118" spans="1:22" ht="17.25" thickTop="1" x14ac:dyDescent="0.3">
      <c r="A118" s="37"/>
      <c r="B118" s="37"/>
      <c r="C118" s="37"/>
      <c r="D118" s="37"/>
      <c r="M118" s="4"/>
      <c r="N118" s="4"/>
      <c r="O118" s="4"/>
      <c r="P118" s="4"/>
    </row>
    <row r="119" spans="1:22" ht="21" x14ac:dyDescent="0.35">
      <c r="A119" s="37"/>
      <c r="B119" s="37"/>
      <c r="C119" s="37"/>
      <c r="D119" s="37"/>
      <c r="E119" s="103"/>
      <c r="M119" s="4"/>
      <c r="N119" s="4"/>
      <c r="O119" s="4"/>
      <c r="P119" s="4"/>
    </row>
    <row r="120" spans="1:22" x14ac:dyDescent="0.3">
      <c r="A120" s="37"/>
      <c r="B120" s="37"/>
      <c r="C120" s="37"/>
      <c r="D120" s="37"/>
      <c r="M120" s="4"/>
      <c r="N120" s="4"/>
      <c r="O120" s="4"/>
      <c r="P120" s="4"/>
    </row>
    <row r="121" spans="1:22" ht="21" x14ac:dyDescent="0.35">
      <c r="A121" s="122" t="s">
        <v>181</v>
      </c>
      <c r="B121" s="122"/>
      <c r="C121" s="122"/>
      <c r="D121" s="122"/>
      <c r="E121" s="119"/>
      <c r="F121" s="125"/>
      <c r="G121" s="125"/>
      <c r="H121" s="125"/>
      <c r="I121" s="125"/>
      <c r="J121" s="125"/>
      <c r="K121" s="125"/>
      <c r="L121" s="125"/>
      <c r="M121" s="125"/>
      <c r="N121" s="125"/>
      <c r="O121" s="125"/>
      <c r="P121" s="125"/>
      <c r="Q121" s="125"/>
      <c r="R121" s="125"/>
      <c r="S121" s="125"/>
      <c r="T121" s="125"/>
      <c r="U121" s="125"/>
      <c r="V121" s="125"/>
    </row>
    <row r="122" spans="1:22" x14ac:dyDescent="0.3">
      <c r="A122" s="37"/>
      <c r="B122" s="37"/>
      <c r="C122" s="39" t="s">
        <v>182</v>
      </c>
      <c r="D122" s="37"/>
      <c r="E122" s="4"/>
      <c r="M122" s="4"/>
      <c r="N122" s="4"/>
      <c r="O122" s="4"/>
      <c r="P122" s="4"/>
    </row>
    <row r="123" spans="1:22" x14ac:dyDescent="0.3">
      <c r="A123" s="37"/>
      <c r="B123" s="37"/>
      <c r="C123" s="37"/>
      <c r="D123" s="38" t="s">
        <v>142</v>
      </c>
      <c r="E123" s="4"/>
      <c r="F123" s="4" t="s">
        <v>324</v>
      </c>
      <c r="H123" s="14">
        <f>historical!G136</f>
        <v>56.35</v>
      </c>
      <c r="I123" s="14">
        <f>historical!H136</f>
        <v>-793.92</v>
      </c>
      <c r="J123" s="14">
        <f>historical!I136</f>
        <v>-31.49</v>
      </c>
      <c r="K123" s="14">
        <f>historical!J136</f>
        <v>282.44</v>
      </c>
      <c r="L123" s="14">
        <f>historical!K136</f>
        <v>129.19</v>
      </c>
      <c r="M123" s="15">
        <f>L55-M55</f>
        <v>653.94846184798485</v>
      </c>
      <c r="N123" s="15">
        <f t="shared" ref="N123:P123" si="171">M55-N55</f>
        <v>-97.829036896035404</v>
      </c>
      <c r="O123" s="15">
        <f t="shared" si="171"/>
        <v>-103.80138662715331</v>
      </c>
      <c r="P123" s="15">
        <f t="shared" si="171"/>
        <v>-110.13834141258303</v>
      </c>
      <c r="Q123" s="15">
        <f t="shared" ref="Q123:Q124" si="172">P55-Q55</f>
        <v>-116.86215996985061</v>
      </c>
      <c r="R123" s="15">
        <f t="shared" ref="R123:R124" si="173">Q55-R55</f>
        <v>-123.99645988548264</v>
      </c>
      <c r="S123" s="15">
        <f t="shared" ref="S123:S124" si="174">R55-S55</f>
        <v>-131.5663005723909</v>
      </c>
      <c r="T123" s="15">
        <f t="shared" ref="T123:T124" si="175">S55-T55</f>
        <v>-139.5982712917048</v>
      </c>
      <c r="U123" s="15">
        <f t="shared" ref="U123:U124" si="176">T55-U55</f>
        <v>-148.12058454824364</v>
      </c>
      <c r="V123" s="15">
        <f t="shared" ref="V123:V124" si="177">U55-V55</f>
        <v>-157.16317518766436</v>
      </c>
    </row>
    <row r="124" spans="1:22" x14ac:dyDescent="0.3">
      <c r="A124" s="37"/>
      <c r="B124" s="37"/>
      <c r="C124" s="37"/>
      <c r="D124" s="38" t="s">
        <v>143</v>
      </c>
      <c r="E124" s="100"/>
      <c r="F124" s="4" t="s">
        <v>324</v>
      </c>
      <c r="H124" s="14">
        <f>historical!G138</f>
        <v>-19.72</v>
      </c>
      <c r="I124" s="14">
        <f>historical!H138</f>
        <v>122.5</v>
      </c>
      <c r="J124" s="14">
        <f>historical!I138</f>
        <v>-61.75</v>
      </c>
      <c r="K124" s="14">
        <f>historical!J138</f>
        <v>-220.8</v>
      </c>
      <c r="L124" s="14">
        <f>historical!K138</f>
        <v>1.73</v>
      </c>
      <c r="M124" s="15">
        <f>L56-M56</f>
        <v>-43.330535502866496</v>
      </c>
      <c r="N124" s="15">
        <f t="shared" ref="N124:P124" si="178">M56-N56</f>
        <v>-56.276079189044594</v>
      </c>
      <c r="O124" s="15">
        <f t="shared" si="178"/>
        <v>-59.711668836832359</v>
      </c>
      <c r="P124" s="15">
        <f t="shared" si="178"/>
        <v>-63.356997265253995</v>
      </c>
      <c r="Q124" s="15">
        <f t="shared" si="172"/>
        <v>-67.22486878466475</v>
      </c>
      <c r="R124" s="15">
        <f t="shared" si="173"/>
        <v>-71.328869393780451</v>
      </c>
      <c r="S124" s="15">
        <f t="shared" si="174"/>
        <v>-75.683414500849267</v>
      </c>
      <c r="T124" s="15">
        <f t="shared" si="175"/>
        <v>-80.303799558146238</v>
      </c>
      <c r="U124" s="15">
        <f t="shared" si="176"/>
        <v>-85.20625378764521</v>
      </c>
      <c r="V124" s="15">
        <f t="shared" si="177"/>
        <v>-90.407997186581497</v>
      </c>
    </row>
    <row r="125" spans="1:22" x14ac:dyDescent="0.3">
      <c r="A125" s="37"/>
      <c r="B125" s="37"/>
      <c r="C125" s="37"/>
      <c r="D125" s="38" t="s">
        <v>150</v>
      </c>
      <c r="E125" s="59"/>
      <c r="F125" s="4" t="s">
        <v>324</v>
      </c>
      <c r="H125" s="14">
        <f>historical!G139</f>
        <v>353.46</v>
      </c>
      <c r="I125" s="14">
        <f>historical!H139</f>
        <v>471.32</v>
      </c>
      <c r="J125" s="14">
        <f>historical!I139</f>
        <v>-110.47</v>
      </c>
      <c r="K125" s="14">
        <f>historical!J139</f>
        <v>-125.7</v>
      </c>
      <c r="L125" s="14">
        <f>historical!K139</f>
        <v>420.06</v>
      </c>
      <c r="M125" s="15">
        <f>M68-L68</f>
        <v>28.520283257603978</v>
      </c>
      <c r="N125" s="15">
        <f t="shared" ref="N125:P125" si="179">N68-M68</f>
        <v>82.923884726641518</v>
      </c>
      <c r="O125" s="15">
        <f t="shared" si="179"/>
        <v>87.986292130045513</v>
      </c>
      <c r="P125" s="15">
        <f t="shared" si="179"/>
        <v>93.357753659441414</v>
      </c>
      <c r="Q125" s="15">
        <f t="shared" ref="Q125" si="180">Q68-P68</f>
        <v>99.057136712330703</v>
      </c>
      <c r="R125" s="15">
        <f t="shared" ref="R125" si="181">R68-Q68</f>
        <v>105.10446051904341</v>
      </c>
      <c r="S125" s="15">
        <f t="shared" ref="S125" si="182">S68-R68</f>
        <v>111.52096646080463</v>
      </c>
      <c r="T125" s="15">
        <f t="shared" ref="T125" si="183">T68-S68</f>
        <v>118.32919268063279</v>
      </c>
      <c r="U125" s="15">
        <f t="shared" ref="U125" si="184">U68-T68</f>
        <v>125.55305324915298</v>
      </c>
      <c r="V125" s="15">
        <f t="shared" ref="V125" si="185">V68-U68</f>
        <v>133.21792216338372</v>
      </c>
    </row>
    <row r="126" spans="1:22" x14ac:dyDescent="0.3">
      <c r="A126" s="37"/>
      <c r="B126" s="37"/>
      <c r="C126" s="37"/>
      <c r="D126" s="38" t="s">
        <v>36</v>
      </c>
      <c r="E126" s="53"/>
      <c r="F126" s="4" t="s">
        <v>324</v>
      </c>
      <c r="H126" s="14">
        <f>historical!G137</f>
        <v>-630.29</v>
      </c>
      <c r="I126" s="14">
        <f>historical!H137</f>
        <v>-423.91</v>
      </c>
      <c r="J126" s="14">
        <f>historical!I137</f>
        <v>-736.95</v>
      </c>
      <c r="K126" s="14">
        <f>historical!J137</f>
        <v>-1276.1500000000001</v>
      </c>
      <c r="L126" s="14">
        <f>historical!K137</f>
        <v>-1757.3</v>
      </c>
      <c r="M126" s="15">
        <f>(L57-M57)+(M69-L69)</f>
        <v>0</v>
      </c>
      <c r="N126" s="15">
        <f t="shared" ref="N126:P126" si="186">(M57-N57)+(N69-M69)</f>
        <v>0</v>
      </c>
      <c r="O126" s="15">
        <f t="shared" si="186"/>
        <v>0</v>
      </c>
      <c r="P126" s="15">
        <f t="shared" si="186"/>
        <v>0</v>
      </c>
      <c r="Q126" s="15">
        <f t="shared" ref="Q126" si="187">(P57-Q57)+(Q69-P69)</f>
        <v>0</v>
      </c>
      <c r="R126" s="15">
        <f t="shared" ref="R126" si="188">(Q57-R57)+(R69-Q69)</f>
        <v>0</v>
      </c>
      <c r="S126" s="15">
        <f t="shared" ref="S126" si="189">(R57-S57)+(S69-R69)</f>
        <v>0</v>
      </c>
      <c r="T126" s="15">
        <f t="shared" ref="T126" si="190">(S57-T57)+(T69-S69)</f>
        <v>0</v>
      </c>
      <c r="U126" s="15">
        <f t="shared" ref="U126" si="191">(T57-U57)+(U69-T69)</f>
        <v>0</v>
      </c>
      <c r="V126" s="15">
        <f t="shared" ref="V126" si="192">(U57-V57)+(V69-U69)</f>
        <v>0</v>
      </c>
    </row>
    <row r="127" spans="1:22" x14ac:dyDescent="0.3">
      <c r="A127" s="37"/>
      <c r="B127" s="37"/>
      <c r="C127" s="37"/>
      <c r="D127" s="43" t="s">
        <v>183</v>
      </c>
      <c r="E127" s="4"/>
      <c r="F127" s="16" t="s">
        <v>324</v>
      </c>
      <c r="G127" s="18"/>
      <c r="H127" s="19">
        <f>SUM(H123:H126)</f>
        <v>-240.2</v>
      </c>
      <c r="I127" s="19">
        <f>SUM(I123:I126)</f>
        <v>-624.01</v>
      </c>
      <c r="J127" s="19">
        <f t="shared" ref="J127:V127" si="193">SUM(J123:J126)</f>
        <v>-940.66000000000008</v>
      </c>
      <c r="K127" s="19">
        <f t="shared" si="193"/>
        <v>-1340.21</v>
      </c>
      <c r="L127" s="19">
        <f t="shared" si="193"/>
        <v>-1206.32</v>
      </c>
      <c r="M127" s="19">
        <f t="shared" si="193"/>
        <v>639.13820960272233</v>
      </c>
      <c r="N127" s="19">
        <f t="shared" si="193"/>
        <v>-71.181231358438481</v>
      </c>
      <c r="O127" s="19">
        <f t="shared" si="193"/>
        <v>-75.526763333940153</v>
      </c>
      <c r="P127" s="19">
        <f t="shared" si="193"/>
        <v>-80.137585018395612</v>
      </c>
      <c r="Q127" s="19">
        <f t="shared" si="193"/>
        <v>-85.029892042184656</v>
      </c>
      <c r="R127" s="19">
        <f t="shared" si="193"/>
        <v>-90.220868760219673</v>
      </c>
      <c r="S127" s="19">
        <f t="shared" si="193"/>
        <v>-95.728748612435538</v>
      </c>
      <c r="T127" s="19">
        <f t="shared" si="193"/>
        <v>-101.57287816921826</v>
      </c>
      <c r="U127" s="19">
        <f t="shared" si="193"/>
        <v>-107.77378508673587</v>
      </c>
      <c r="V127" s="19">
        <f t="shared" si="193"/>
        <v>-114.35325021086214</v>
      </c>
    </row>
    <row r="128" spans="1:22" x14ac:dyDescent="0.3">
      <c r="A128" s="37"/>
      <c r="B128" s="37"/>
      <c r="C128" s="37"/>
      <c r="D128" s="38"/>
      <c r="E128" s="4"/>
      <c r="M128" s="4"/>
      <c r="N128" s="4"/>
      <c r="O128" s="4"/>
      <c r="P128" s="4"/>
    </row>
    <row r="129" spans="1:22" x14ac:dyDescent="0.3">
      <c r="A129" s="37"/>
      <c r="B129" s="37"/>
      <c r="C129" s="39" t="s">
        <v>184</v>
      </c>
      <c r="D129" s="38"/>
      <c r="E129" s="4"/>
      <c r="M129" s="4"/>
      <c r="N129" s="4"/>
      <c r="O129" s="4"/>
      <c r="P129" s="4"/>
    </row>
    <row r="130" spans="1:22" x14ac:dyDescent="0.3">
      <c r="A130" s="37"/>
      <c r="B130" s="37"/>
      <c r="C130" s="37"/>
      <c r="D130" s="38" t="s">
        <v>185</v>
      </c>
      <c r="E130" s="100"/>
      <c r="F130" s="4" t="s">
        <v>324</v>
      </c>
      <c r="I130" s="15">
        <f>H133</f>
        <v>24906.73</v>
      </c>
      <c r="J130" s="15">
        <f t="shared" ref="J130:L130" si="194">I133</f>
        <v>24331.03</v>
      </c>
      <c r="K130" s="15">
        <f t="shared" si="194"/>
        <v>23318.11</v>
      </c>
      <c r="L130" s="15">
        <f t="shared" si="194"/>
        <v>22966.309999999998</v>
      </c>
      <c r="M130" s="15">
        <f t="shared" ref="M130" si="195">L133</f>
        <v>22305.179999999997</v>
      </c>
      <c r="N130" s="15">
        <f t="shared" ref="N130" si="196">M133</f>
        <v>21675.945424461872</v>
      </c>
      <c r="O130" s="15">
        <f t="shared" ref="O130" si="197">N133</f>
        <v>21083.005579737961</v>
      </c>
      <c r="P130" s="15">
        <f t="shared" ref="P130" si="198">O133</f>
        <v>20518.829259019851</v>
      </c>
      <c r="Q130" s="15">
        <f t="shared" ref="Q130" si="199">P133</f>
        <v>19987.661903470034</v>
      </c>
      <c r="R130" s="15">
        <f t="shared" ref="R130" si="200">Q133</f>
        <v>19482.403601091966</v>
      </c>
      <c r="S130" s="15">
        <f t="shared" ref="S130" si="201">R133</f>
        <v>19007.165010709148</v>
      </c>
      <c r="T130" s="15">
        <f t="shared" ref="T130" si="202">S133</f>
        <v>18555.235190092215</v>
      </c>
      <c r="U130" s="15">
        <f t="shared" ref="U130" si="203">T133</f>
        <v>18130.607276401661</v>
      </c>
      <c r="V130" s="15">
        <f t="shared" ref="V130" si="204">U133</f>
        <v>17726.920606201085</v>
      </c>
    </row>
    <row r="131" spans="1:22" x14ac:dyDescent="0.3">
      <c r="A131" s="37"/>
      <c r="B131" s="37"/>
      <c r="C131" s="37"/>
      <c r="D131" s="38" t="s">
        <v>186</v>
      </c>
      <c r="E131" s="99"/>
      <c r="F131" s="4" t="s">
        <v>324</v>
      </c>
      <c r="I131" s="15">
        <f>I133-I130-I132</f>
        <v>290.94999999999925</v>
      </c>
      <c r="J131" s="15">
        <f t="shared" ref="J131:L131" si="205">J133-J130-J132</f>
        <v>-128.25999999999829</v>
      </c>
      <c r="K131" s="15">
        <f t="shared" si="205"/>
        <v>526.06999999999709</v>
      </c>
      <c r="L131" s="15">
        <f t="shared" si="205"/>
        <v>555.599999999999</v>
      </c>
      <c r="M131" s="15">
        <f>L131*(1+0.5%)</f>
        <v>558.37799999999891</v>
      </c>
      <c r="N131" s="15">
        <f t="shared" ref="N131:V131" si="206">M131*(1+0.5%)</f>
        <v>561.16988999999887</v>
      </c>
      <c r="O131" s="15">
        <f t="shared" si="206"/>
        <v>563.97573944999885</v>
      </c>
      <c r="P131" s="15">
        <f t="shared" si="206"/>
        <v>566.79561814724877</v>
      </c>
      <c r="Q131" s="15">
        <f t="shared" si="206"/>
        <v>569.62959623798497</v>
      </c>
      <c r="R131" s="15">
        <f t="shared" si="206"/>
        <v>572.47774421917484</v>
      </c>
      <c r="S131" s="15">
        <f t="shared" si="206"/>
        <v>575.34013294027068</v>
      </c>
      <c r="T131" s="15">
        <f t="shared" si="206"/>
        <v>578.21683360497195</v>
      </c>
      <c r="U131" s="15">
        <f t="shared" si="206"/>
        <v>581.10791777299676</v>
      </c>
      <c r="V131" s="15">
        <f t="shared" si="206"/>
        <v>584.0134573618617</v>
      </c>
    </row>
    <row r="132" spans="1:22" x14ac:dyDescent="0.3">
      <c r="A132" s="37"/>
      <c r="B132" s="37"/>
      <c r="C132" s="37"/>
      <c r="D132" s="38" t="s">
        <v>187</v>
      </c>
      <c r="F132" s="4" t="s">
        <v>324</v>
      </c>
      <c r="H132" s="15">
        <f>-H90</f>
        <v>-847.98</v>
      </c>
      <c r="I132" s="15">
        <f t="shared" ref="I132:L132" si="207">-I90</f>
        <v>-866.65</v>
      </c>
      <c r="J132" s="15">
        <f t="shared" si="207"/>
        <v>-884.66</v>
      </c>
      <c r="K132" s="15">
        <f t="shared" si="207"/>
        <v>-877.87</v>
      </c>
      <c r="L132" s="15">
        <f t="shared" si="207"/>
        <v>-1216.73</v>
      </c>
      <c r="M132" s="15">
        <f>-M130*M17</f>
        <v>-1187.6125755381252</v>
      </c>
      <c r="N132" s="15">
        <f t="shared" ref="N132:V132" si="208">-N130*N17</f>
        <v>-1154.1097347239074</v>
      </c>
      <c r="O132" s="15">
        <f t="shared" si="208"/>
        <v>-1128.1520601681066</v>
      </c>
      <c r="P132" s="15">
        <f t="shared" si="208"/>
        <v>-1097.9629736970633</v>
      </c>
      <c r="Q132" s="15">
        <f t="shared" si="208"/>
        <v>-1074.887898616051</v>
      </c>
      <c r="R132" s="15">
        <f t="shared" si="208"/>
        <v>-1047.7163346019934</v>
      </c>
      <c r="S132" s="15">
        <f t="shared" si="208"/>
        <v>-1027.2699535572026</v>
      </c>
      <c r="T132" s="15">
        <f t="shared" si="208"/>
        <v>-1002.8447472955272</v>
      </c>
      <c r="U132" s="15">
        <f t="shared" si="208"/>
        <v>-984.7945879735704</v>
      </c>
      <c r="V132" s="15">
        <f t="shared" si="208"/>
        <v>-962.86766396104497</v>
      </c>
    </row>
    <row r="133" spans="1:22" x14ac:dyDescent="0.3">
      <c r="A133" s="37"/>
      <c r="B133" s="37"/>
      <c r="C133" s="37"/>
      <c r="D133" s="40" t="s">
        <v>188</v>
      </c>
      <c r="E133" s="137"/>
      <c r="F133" s="16" t="s">
        <v>324</v>
      </c>
      <c r="G133" s="7"/>
      <c r="H133" s="9">
        <f>H60</f>
        <v>24906.73</v>
      </c>
      <c r="I133" s="9">
        <f t="shared" ref="I133:L133" si="209">I60</f>
        <v>24331.03</v>
      </c>
      <c r="J133" s="9">
        <f t="shared" si="209"/>
        <v>23318.11</v>
      </c>
      <c r="K133" s="9">
        <f t="shared" si="209"/>
        <v>22966.309999999998</v>
      </c>
      <c r="L133" s="9">
        <f t="shared" si="209"/>
        <v>22305.179999999997</v>
      </c>
      <c r="M133" s="19">
        <f>SUM(M130:M132)</f>
        <v>21675.945424461872</v>
      </c>
      <c r="N133" s="19">
        <f t="shared" ref="N133:V133" si="210">SUM(N130:N132)</f>
        <v>21083.005579737961</v>
      </c>
      <c r="O133" s="19">
        <f t="shared" si="210"/>
        <v>20518.829259019851</v>
      </c>
      <c r="P133" s="19">
        <f t="shared" si="210"/>
        <v>19987.661903470034</v>
      </c>
      <c r="Q133" s="19">
        <f t="shared" si="210"/>
        <v>19482.403601091966</v>
      </c>
      <c r="R133" s="19">
        <f t="shared" si="210"/>
        <v>19007.165010709148</v>
      </c>
      <c r="S133" s="19">
        <f t="shared" si="210"/>
        <v>18555.235190092215</v>
      </c>
      <c r="T133" s="19">
        <f t="shared" si="210"/>
        <v>18130.607276401661</v>
      </c>
      <c r="U133" s="19">
        <f t="shared" si="210"/>
        <v>17726.920606201085</v>
      </c>
      <c r="V133" s="19">
        <f t="shared" si="210"/>
        <v>17348.066399601903</v>
      </c>
    </row>
    <row r="134" spans="1:22" x14ac:dyDescent="0.3">
      <c r="A134" s="37"/>
      <c r="B134" s="37"/>
      <c r="C134" s="37"/>
      <c r="D134" s="37"/>
      <c r="E134" s="4"/>
      <c r="I134" s="15"/>
      <c r="J134" s="15"/>
      <c r="K134" s="15"/>
      <c r="L134" s="15"/>
      <c r="M134" s="4"/>
      <c r="N134" s="4"/>
      <c r="O134" s="4"/>
      <c r="P134" s="4"/>
    </row>
    <row r="135" spans="1:22" x14ac:dyDescent="0.3">
      <c r="A135" s="37"/>
      <c r="B135" s="37"/>
      <c r="C135" s="39" t="s">
        <v>189</v>
      </c>
      <c r="D135" s="37"/>
      <c r="E135" s="100"/>
      <c r="I135" s="15"/>
      <c r="J135" s="15"/>
      <c r="K135" s="15"/>
      <c r="L135" s="15"/>
      <c r="M135" s="4"/>
      <c r="N135" s="4"/>
      <c r="O135" s="4"/>
      <c r="P135" s="4"/>
    </row>
    <row r="136" spans="1:22" x14ac:dyDescent="0.3">
      <c r="A136" s="37"/>
      <c r="B136" s="37"/>
      <c r="C136" s="37"/>
      <c r="D136" s="38" t="s">
        <v>190</v>
      </c>
      <c r="E136" s="99"/>
      <c r="F136" s="4" t="s">
        <v>324</v>
      </c>
      <c r="I136" s="15">
        <f>H138</f>
        <v>12181.6</v>
      </c>
      <c r="J136" s="15">
        <f>I138</f>
        <v>14277.08</v>
      </c>
      <c r="K136" s="15">
        <f t="shared" ref="K136:L136" si="211">J138</f>
        <v>14960.8</v>
      </c>
      <c r="L136" s="15">
        <f t="shared" si="211"/>
        <v>14262.84</v>
      </c>
      <c r="M136" s="15">
        <f t="shared" ref="M136" si="212">L138</f>
        <v>14543.630000000001</v>
      </c>
      <c r="N136" s="15">
        <f t="shared" ref="N136" si="213">M138</f>
        <v>14543.630000000001</v>
      </c>
      <c r="O136" s="15">
        <f t="shared" ref="O136" si="214">N138</f>
        <v>14543.630000000001</v>
      </c>
      <c r="P136" s="15">
        <f t="shared" ref="P136" si="215">O138</f>
        <v>14543.630000000001</v>
      </c>
      <c r="Q136" s="15">
        <f t="shared" ref="Q136" si="216">P138</f>
        <v>14543.630000000001</v>
      </c>
      <c r="R136" s="15">
        <f t="shared" ref="R136" si="217">Q138</f>
        <v>14543.630000000001</v>
      </c>
      <c r="S136" s="15">
        <f t="shared" ref="S136" si="218">R138</f>
        <v>14543.630000000001</v>
      </c>
      <c r="T136" s="15">
        <f t="shared" ref="T136" si="219">S138</f>
        <v>14543.630000000001</v>
      </c>
      <c r="U136" s="15">
        <f t="shared" ref="U136" si="220">T138</f>
        <v>14543.630000000001</v>
      </c>
      <c r="V136" s="15">
        <f t="shared" ref="V136" si="221">U138</f>
        <v>14543.630000000001</v>
      </c>
    </row>
    <row r="137" spans="1:22" x14ac:dyDescent="0.3">
      <c r="A137" s="37"/>
      <c r="B137" s="37"/>
      <c r="C137" s="37"/>
      <c r="D137" s="38" t="s">
        <v>191</v>
      </c>
      <c r="E137" s="4"/>
      <c r="F137" s="4" t="s">
        <v>324</v>
      </c>
      <c r="I137" s="15">
        <f>I138-I136</f>
        <v>2095.4799999999996</v>
      </c>
      <c r="J137" s="15">
        <f>J138-J136</f>
        <v>683.71999999999935</v>
      </c>
      <c r="K137" s="15">
        <f t="shared" ref="K137:L137" si="222">K138-K136</f>
        <v>-697.95999999999913</v>
      </c>
      <c r="L137" s="15">
        <f t="shared" si="222"/>
        <v>280.79000000000087</v>
      </c>
      <c r="M137" s="15">
        <v>0</v>
      </c>
      <c r="N137" s="15">
        <v>0</v>
      </c>
      <c r="O137" s="15">
        <v>0</v>
      </c>
      <c r="P137" s="15">
        <v>0</v>
      </c>
      <c r="Q137" s="15">
        <v>0</v>
      </c>
      <c r="R137" s="15">
        <v>0</v>
      </c>
      <c r="S137" s="15">
        <v>0</v>
      </c>
      <c r="T137" s="15">
        <v>0</v>
      </c>
      <c r="U137" s="15">
        <v>0</v>
      </c>
      <c r="V137" s="15">
        <v>0</v>
      </c>
    </row>
    <row r="138" spans="1:22" x14ac:dyDescent="0.3">
      <c r="A138" s="37"/>
      <c r="B138" s="37"/>
      <c r="C138" s="37"/>
      <c r="D138" s="40" t="s">
        <v>192</v>
      </c>
      <c r="E138" s="137"/>
      <c r="F138" s="16" t="s">
        <v>324</v>
      </c>
      <c r="G138" s="7"/>
      <c r="H138" s="19">
        <f>H72</f>
        <v>12181.6</v>
      </c>
      <c r="I138" s="19">
        <f>I72</f>
        <v>14277.08</v>
      </c>
      <c r="J138" s="19">
        <f>J72</f>
        <v>14960.8</v>
      </c>
      <c r="K138" s="19">
        <f t="shared" ref="K138:L138" si="223">K72</f>
        <v>14262.84</v>
      </c>
      <c r="L138" s="19">
        <f t="shared" si="223"/>
        <v>14543.630000000001</v>
      </c>
      <c r="M138" s="19">
        <f>SUM(M136:M137)</f>
        <v>14543.630000000001</v>
      </c>
      <c r="N138" s="19">
        <f t="shared" ref="N138:V138" si="224">SUM(N136:N137)</f>
        <v>14543.630000000001</v>
      </c>
      <c r="O138" s="19">
        <f t="shared" si="224"/>
        <v>14543.630000000001</v>
      </c>
      <c r="P138" s="19">
        <f t="shared" si="224"/>
        <v>14543.630000000001</v>
      </c>
      <c r="Q138" s="19">
        <f t="shared" si="224"/>
        <v>14543.630000000001</v>
      </c>
      <c r="R138" s="19">
        <f t="shared" si="224"/>
        <v>14543.630000000001</v>
      </c>
      <c r="S138" s="19">
        <f t="shared" si="224"/>
        <v>14543.630000000001</v>
      </c>
      <c r="T138" s="19">
        <f t="shared" si="224"/>
        <v>14543.630000000001</v>
      </c>
      <c r="U138" s="19">
        <f t="shared" si="224"/>
        <v>14543.630000000001</v>
      </c>
      <c r="V138" s="19">
        <f t="shared" si="224"/>
        <v>14543.630000000001</v>
      </c>
    </row>
    <row r="139" spans="1:22" x14ac:dyDescent="0.3">
      <c r="A139" s="37"/>
      <c r="B139" s="37"/>
      <c r="C139" s="37"/>
      <c r="D139" s="38" t="s">
        <v>193</v>
      </c>
      <c r="F139" s="4" t="s">
        <v>324</v>
      </c>
      <c r="H139" s="15">
        <f>H44</f>
        <v>-1377.67</v>
      </c>
      <c r="I139" s="15">
        <f>I44</f>
        <v>-1225.9100000000001</v>
      </c>
      <c r="J139" s="15">
        <f t="shared" ref="J139:L139" si="225">J44</f>
        <v>-1129.3</v>
      </c>
      <c r="K139" s="15">
        <f t="shared" si="225"/>
        <v>-1117.24</v>
      </c>
      <c r="L139" s="15">
        <f t="shared" si="225"/>
        <v>-1233.9000000000001</v>
      </c>
      <c r="M139" s="15">
        <f>-M138*M18</f>
        <v>-1258.1915703324166</v>
      </c>
      <c r="N139" s="15">
        <f t="shared" ref="N139:V139" si="226">-N138*N18</f>
        <v>-1258.1915703324166</v>
      </c>
      <c r="O139" s="15">
        <f t="shared" si="226"/>
        <v>-1258.1915703324166</v>
      </c>
      <c r="P139" s="15">
        <f t="shared" si="226"/>
        <v>-1258.1915703324166</v>
      </c>
      <c r="Q139" s="15">
        <f t="shared" si="226"/>
        <v>-1258.1915703324166</v>
      </c>
      <c r="R139" s="15">
        <f t="shared" si="226"/>
        <v>-1258.1915703324166</v>
      </c>
      <c r="S139" s="15">
        <f t="shared" si="226"/>
        <v>-1258.1915703324166</v>
      </c>
      <c r="T139" s="15">
        <f t="shared" si="226"/>
        <v>-1258.1915703324166</v>
      </c>
      <c r="U139" s="15">
        <f t="shared" si="226"/>
        <v>-1258.1915703324166</v>
      </c>
      <c r="V139" s="15">
        <f t="shared" si="226"/>
        <v>-1258.1915703324166</v>
      </c>
    </row>
    <row r="140" spans="1:22" x14ac:dyDescent="0.3">
      <c r="A140" s="37"/>
      <c r="B140" s="37"/>
      <c r="C140" s="37"/>
      <c r="D140" s="37"/>
      <c r="E140" s="101"/>
    </row>
    <row r="141" spans="1:22" ht="21" x14ac:dyDescent="0.35">
      <c r="A141" s="37"/>
      <c r="B141" s="37"/>
      <c r="C141" s="37"/>
      <c r="D141" s="37"/>
      <c r="E141" s="102"/>
    </row>
    <row r="142" spans="1:22" x14ac:dyDescent="0.3">
      <c r="A142" s="37"/>
      <c r="B142" s="37"/>
      <c r="C142" s="37"/>
      <c r="D142" s="37"/>
    </row>
    <row r="143" spans="1:22" ht="21" x14ac:dyDescent="0.35">
      <c r="A143" s="122" t="s">
        <v>312</v>
      </c>
      <c r="B143" s="122"/>
      <c r="C143" s="122"/>
      <c r="D143" s="122"/>
      <c r="E143" s="113"/>
      <c r="F143" s="125"/>
      <c r="G143" s="125"/>
      <c r="H143" s="125"/>
      <c r="I143" s="125"/>
      <c r="J143" s="125"/>
      <c r="K143" s="125"/>
      <c r="L143" s="125"/>
      <c r="M143" s="125"/>
      <c r="N143" s="125"/>
      <c r="O143" s="125"/>
      <c r="P143" s="125"/>
      <c r="Q143" s="125"/>
      <c r="R143" s="125"/>
      <c r="S143" s="125"/>
      <c r="T143" s="125"/>
      <c r="U143" s="125"/>
      <c r="V143" s="125"/>
    </row>
    <row r="144" spans="1:22" x14ac:dyDescent="0.3">
      <c r="A144" s="37"/>
      <c r="B144" s="37"/>
      <c r="C144" s="37"/>
      <c r="D144" s="37"/>
    </row>
    <row r="145" spans="1:26" x14ac:dyDescent="0.3">
      <c r="A145" s="37"/>
      <c r="B145" s="37"/>
      <c r="C145" s="37"/>
      <c r="D145" s="37"/>
    </row>
    <row r="146" spans="1:26" x14ac:dyDescent="0.3">
      <c r="A146" s="37"/>
      <c r="B146" s="37"/>
      <c r="C146" s="37"/>
      <c r="D146" s="38"/>
      <c r="E146" s="25"/>
    </row>
    <row r="147" spans="1:26" x14ac:dyDescent="0.3">
      <c r="A147" s="37"/>
      <c r="B147" s="37"/>
      <c r="C147" s="37"/>
      <c r="D147" s="38" t="s">
        <v>216</v>
      </c>
      <c r="E147" s="25">
        <v>45382</v>
      </c>
      <c r="F147" s="25"/>
    </row>
    <row r="148" spans="1:26" x14ac:dyDescent="0.3">
      <c r="A148" s="37"/>
      <c r="B148" s="37"/>
      <c r="C148" s="37"/>
      <c r="D148" s="38" t="s">
        <v>217</v>
      </c>
      <c r="E148" s="50">
        <f>Wacc!I35</f>
        <v>0.14082049514891895</v>
      </c>
    </row>
    <row r="149" spans="1:26" x14ac:dyDescent="0.3">
      <c r="A149" s="37"/>
      <c r="B149" s="37"/>
      <c r="C149" s="37"/>
      <c r="D149" s="38" t="s">
        <v>300</v>
      </c>
      <c r="E149" s="189">
        <f>comps!U17</f>
        <v>10.729097102512878</v>
      </c>
    </row>
    <row r="150" spans="1:26" x14ac:dyDescent="0.3">
      <c r="A150" s="37"/>
      <c r="B150" s="37"/>
      <c r="C150" s="37"/>
      <c r="D150" s="38" t="s">
        <v>301</v>
      </c>
      <c r="E150" s="50">
        <v>0.06</v>
      </c>
    </row>
    <row r="151" spans="1:26" x14ac:dyDescent="0.3">
      <c r="A151" s="37"/>
      <c r="B151" s="37"/>
      <c r="C151" s="37"/>
      <c r="D151" s="38" t="s">
        <v>302</v>
      </c>
      <c r="E151" s="50">
        <f>Wacc!I45</f>
        <v>7.5378810740056798E-2</v>
      </c>
    </row>
    <row r="152" spans="1:26" x14ac:dyDescent="0.3">
      <c r="A152" s="37"/>
      <c r="B152" s="37"/>
      <c r="C152" s="37"/>
      <c r="D152" s="38" t="s">
        <v>303</v>
      </c>
      <c r="E152" s="4">
        <f>G152/10^6</f>
        <v>1325.57043</v>
      </c>
      <c r="G152" s="104">
        <v>1325570430</v>
      </c>
      <c r="H152" s="29"/>
    </row>
    <row r="153" spans="1:26" x14ac:dyDescent="0.3">
      <c r="A153" s="37"/>
      <c r="B153" s="37"/>
      <c r="C153" s="37"/>
      <c r="D153" s="38" t="s">
        <v>304</v>
      </c>
      <c r="E153" s="4">
        <v>185.98</v>
      </c>
    </row>
    <row r="154" spans="1:26" x14ac:dyDescent="0.3">
      <c r="A154" s="37"/>
      <c r="B154" s="37"/>
      <c r="C154" s="37"/>
      <c r="D154" s="38"/>
      <c r="E154" s="61"/>
    </row>
    <row r="155" spans="1:26" x14ac:dyDescent="0.3">
      <c r="A155" s="37"/>
      <c r="B155" s="37"/>
      <c r="C155" s="37"/>
      <c r="D155" s="38"/>
      <c r="E155" s="61"/>
    </row>
    <row r="156" spans="1:26" x14ac:dyDescent="0.3">
      <c r="A156" s="37"/>
      <c r="B156" s="37"/>
      <c r="C156" s="37"/>
      <c r="D156" s="38"/>
      <c r="E156" s="61"/>
    </row>
    <row r="157" spans="1:26" x14ac:dyDescent="0.3">
      <c r="A157" s="37"/>
      <c r="B157" s="37"/>
      <c r="C157" s="37"/>
      <c r="D157" s="270" t="s">
        <v>443</v>
      </c>
      <c r="E157" s="198"/>
      <c r="F157" s="198"/>
      <c r="G157" s="198"/>
      <c r="H157" s="199">
        <v>2020</v>
      </c>
      <c r="I157" s="199">
        <v>2021</v>
      </c>
      <c r="J157" s="199">
        <v>2022</v>
      </c>
      <c r="K157" s="199">
        <v>2023</v>
      </c>
      <c r="L157" s="199">
        <v>2024</v>
      </c>
      <c r="M157" s="199">
        <v>2025</v>
      </c>
      <c r="N157" s="199">
        <v>2026</v>
      </c>
      <c r="O157" s="199">
        <v>2027</v>
      </c>
      <c r="P157" s="199">
        <v>2028</v>
      </c>
      <c r="Q157" s="199">
        <v>2029</v>
      </c>
      <c r="R157" s="199">
        <v>2030</v>
      </c>
      <c r="S157" s="199">
        <v>2031</v>
      </c>
      <c r="T157" s="199">
        <v>2032</v>
      </c>
      <c r="U157" s="199">
        <v>2033</v>
      </c>
      <c r="V157" s="199">
        <v>2034</v>
      </c>
      <c r="W157" s="199" t="s">
        <v>365</v>
      </c>
      <c r="X157" s="15" t="s">
        <v>224</v>
      </c>
      <c r="Y157" s="15"/>
      <c r="Z157" s="15"/>
    </row>
    <row r="158" spans="1:26" x14ac:dyDescent="0.3">
      <c r="A158" s="37"/>
      <c r="B158" s="37"/>
      <c r="C158" s="37"/>
      <c r="D158" s="271"/>
      <c r="E158" s="200"/>
      <c r="F158" s="200"/>
      <c r="G158" s="200"/>
      <c r="H158" s="200" t="s">
        <v>414</v>
      </c>
      <c r="I158" s="200" t="s">
        <v>414</v>
      </c>
      <c r="J158" s="200" t="s">
        <v>414</v>
      </c>
      <c r="K158" s="200" t="s">
        <v>414</v>
      </c>
      <c r="L158" s="200" t="s">
        <v>414</v>
      </c>
      <c r="M158" s="200" t="s">
        <v>414</v>
      </c>
      <c r="N158" s="200" t="s">
        <v>414</v>
      </c>
      <c r="O158" s="200" t="s">
        <v>414</v>
      </c>
      <c r="P158" s="200" t="s">
        <v>414</v>
      </c>
      <c r="Q158" s="200" t="s">
        <v>414</v>
      </c>
      <c r="R158" s="200" t="s">
        <v>414</v>
      </c>
      <c r="S158" s="200" t="s">
        <v>414</v>
      </c>
      <c r="T158" s="200" t="s">
        <v>414</v>
      </c>
      <c r="U158" s="200" t="s">
        <v>414</v>
      </c>
      <c r="V158" s="200" t="s">
        <v>414</v>
      </c>
      <c r="W158" s="200"/>
      <c r="X158" s="15" t="s">
        <v>225</v>
      </c>
      <c r="Y158" s="15"/>
      <c r="Z158" s="15">
        <f>(V160*V163)*E149</f>
        <v>50325662.017474934</v>
      </c>
    </row>
    <row r="159" spans="1:26" ht="18.75" x14ac:dyDescent="0.3">
      <c r="A159" s="37"/>
      <c r="B159" s="37"/>
      <c r="C159" s="37"/>
      <c r="D159" s="188"/>
      <c r="E159" s="15"/>
      <c r="F159" s="15"/>
      <c r="G159" s="15"/>
      <c r="H159" s="15"/>
      <c r="I159" s="15"/>
      <c r="J159" s="15"/>
      <c r="K159" s="15"/>
      <c r="L159" s="15"/>
      <c r="M159" s="15"/>
      <c r="N159" s="15"/>
      <c r="O159" s="15"/>
      <c r="P159" s="15"/>
      <c r="Q159" s="15"/>
      <c r="R159" s="15"/>
      <c r="S159" s="15"/>
      <c r="T159" s="15"/>
      <c r="U159" s="15"/>
      <c r="V159" s="15"/>
      <c r="W159" s="15"/>
      <c r="X159" s="15" t="s">
        <v>226</v>
      </c>
      <c r="Y159" s="15"/>
      <c r="Z159" s="15">
        <f>V166*(1+E150)/(E151-E150)</f>
        <v>306718.3219148218</v>
      </c>
    </row>
    <row r="160" spans="1:26" x14ac:dyDescent="0.3">
      <c r="A160" s="37"/>
      <c r="B160" s="37"/>
      <c r="C160" s="37"/>
      <c r="D160" s="38" t="s">
        <v>131</v>
      </c>
      <c r="E160" s="15"/>
      <c r="F160" s="15"/>
      <c r="G160" s="15"/>
      <c r="H160" s="15"/>
      <c r="I160" s="15">
        <f t="shared" ref="I160:V160" si="227">I43</f>
        <v>2318.8700000000008</v>
      </c>
      <c r="J160" s="15">
        <f t="shared" si="227"/>
        <v>2032.139999999999</v>
      </c>
      <c r="K160" s="15">
        <f t="shared" si="227"/>
        <v>1271.420000000001</v>
      </c>
      <c r="L160" s="15">
        <f t="shared" si="227"/>
        <v>908.71000000000049</v>
      </c>
      <c r="M160" s="15">
        <f t="shared" si="227"/>
        <v>2235.1195032726737</v>
      </c>
      <c r="N160" s="15">
        <f t="shared" si="227"/>
        <v>2477.5761849827927</v>
      </c>
      <c r="O160" s="15">
        <f t="shared" si="227"/>
        <v>2725.2440911246822</v>
      </c>
      <c r="P160" s="15">
        <f t="shared" si="227"/>
        <v>2990.6785627927657</v>
      </c>
      <c r="Q160" s="15">
        <f t="shared" si="227"/>
        <v>3263.3604821795416</v>
      </c>
      <c r="R160" s="15">
        <f t="shared" si="227"/>
        <v>3555.3771001022942</v>
      </c>
      <c r="S160" s="15">
        <f t="shared" si="227"/>
        <v>3856.8370197581298</v>
      </c>
      <c r="T160" s="15">
        <f t="shared" si="227"/>
        <v>4179.4313166531792</v>
      </c>
      <c r="U160" s="15">
        <f t="shared" si="227"/>
        <v>4513.8534452708482</v>
      </c>
      <c r="V160" s="15">
        <f t="shared" si="227"/>
        <v>4871.4664819633681</v>
      </c>
      <c r="W160" s="15"/>
      <c r="X160" s="15" t="s">
        <v>227</v>
      </c>
      <c r="Y160" s="15"/>
      <c r="Z160" s="15">
        <f>AVERAGE(Z158:Z159)</f>
        <v>25316190.169694878</v>
      </c>
    </row>
    <row r="161" spans="1:26" x14ac:dyDescent="0.3">
      <c r="A161" s="37"/>
      <c r="B161" s="37"/>
      <c r="C161" s="37"/>
      <c r="D161" s="3" t="s">
        <v>218</v>
      </c>
      <c r="E161" s="15"/>
      <c r="F161" s="15"/>
      <c r="G161" s="15"/>
      <c r="H161" s="15"/>
      <c r="I161" s="15">
        <f t="shared" ref="I161:V161" si="228">-I160*$E$148</f>
        <v>-326.54442158597379</v>
      </c>
      <c r="J161" s="15">
        <f t="shared" si="228"/>
        <v>-286.166961011924</v>
      </c>
      <c r="K161" s="15">
        <f t="shared" si="228"/>
        <v>-179.04199394223866</v>
      </c>
      <c r="L161" s="15">
        <f t="shared" si="228"/>
        <v>-127.96499214677421</v>
      </c>
      <c r="M161" s="15">
        <f t="shared" si="228"/>
        <v>-314.75063516786366</v>
      </c>
      <c r="N161" s="15">
        <f t="shared" si="228"/>
        <v>-348.89350513844647</v>
      </c>
      <c r="O161" s="15">
        <f t="shared" si="228"/>
        <v>-383.77022231384336</v>
      </c>
      <c r="P161" s="15">
        <f t="shared" si="228"/>
        <v>-421.14883604373455</v>
      </c>
      <c r="Q161" s="15">
        <f t="shared" si="228"/>
        <v>-459.54803894993796</v>
      </c>
      <c r="R161" s="15">
        <f t="shared" si="228"/>
        <v>-500.66996367753262</v>
      </c>
      <c r="S161" s="15">
        <f t="shared" si="228"/>
        <v>-543.12169883102069</v>
      </c>
      <c r="T161" s="15">
        <f t="shared" si="228"/>
        <v>-588.54958745199895</v>
      </c>
      <c r="U161" s="15">
        <f t="shared" si="228"/>
        <v>-635.64307719269459</v>
      </c>
      <c r="V161" s="15">
        <f t="shared" si="228"/>
        <v>-686.00232209144372</v>
      </c>
      <c r="W161" s="15"/>
      <c r="X161" s="15"/>
      <c r="Y161" s="15"/>
      <c r="Z161" s="15"/>
    </row>
    <row r="162" spans="1:26" x14ac:dyDescent="0.3">
      <c r="A162" s="37"/>
      <c r="B162" s="37"/>
      <c r="C162" s="37"/>
      <c r="D162" s="38" t="s">
        <v>219</v>
      </c>
      <c r="E162" s="15"/>
      <c r="F162" s="15"/>
      <c r="G162" s="15"/>
      <c r="H162" s="15"/>
      <c r="I162" s="15">
        <f t="shared" ref="I162:V162" si="229">SUM(I160:I161)</f>
        <v>1992.3255784140269</v>
      </c>
      <c r="J162" s="15">
        <f t="shared" si="229"/>
        <v>1745.9730389880749</v>
      </c>
      <c r="K162" s="15">
        <f t="shared" si="229"/>
        <v>1092.3780060577624</v>
      </c>
      <c r="L162" s="15">
        <f t="shared" si="229"/>
        <v>780.7450078532263</v>
      </c>
      <c r="M162" s="15">
        <f t="shared" si="229"/>
        <v>1920.36886810481</v>
      </c>
      <c r="N162" s="15">
        <f t="shared" si="229"/>
        <v>2128.6826798443462</v>
      </c>
      <c r="O162" s="15">
        <f t="shared" si="229"/>
        <v>2341.4738688108387</v>
      </c>
      <c r="P162" s="15">
        <f t="shared" si="229"/>
        <v>2569.5297267490309</v>
      </c>
      <c r="Q162" s="15">
        <f t="shared" si="229"/>
        <v>2803.8124432296036</v>
      </c>
      <c r="R162" s="15">
        <f t="shared" si="229"/>
        <v>3054.7071364247618</v>
      </c>
      <c r="S162" s="15">
        <f t="shared" si="229"/>
        <v>3313.7153209271091</v>
      </c>
      <c r="T162" s="15">
        <f t="shared" si="229"/>
        <v>3590.8817292011804</v>
      </c>
      <c r="U162" s="15">
        <f t="shared" si="229"/>
        <v>3878.2103680781538</v>
      </c>
      <c r="V162" s="15">
        <f t="shared" si="229"/>
        <v>4185.4641598719245</v>
      </c>
      <c r="W162" s="15"/>
      <c r="X162" s="15"/>
      <c r="Y162" s="15"/>
      <c r="Z162" s="15"/>
    </row>
    <row r="163" spans="1:26" x14ac:dyDescent="0.3">
      <c r="A163" s="37"/>
      <c r="B163" s="37"/>
      <c r="C163" s="37"/>
      <c r="D163" s="38" t="s">
        <v>220</v>
      </c>
      <c r="E163" s="15"/>
      <c r="F163" s="15"/>
      <c r="G163" s="15"/>
      <c r="H163" s="15"/>
      <c r="I163" s="15">
        <f t="shared" ref="I163:V163" si="230">I90</f>
        <v>866.65</v>
      </c>
      <c r="J163" s="15">
        <f t="shared" si="230"/>
        <v>884.66</v>
      </c>
      <c r="K163" s="15">
        <f t="shared" si="230"/>
        <v>877.87</v>
      </c>
      <c r="L163" s="15">
        <f t="shared" si="230"/>
        <v>1216.73</v>
      </c>
      <c r="M163" s="15">
        <f t="shared" si="230"/>
        <v>1187.6125755381252</v>
      </c>
      <c r="N163" s="15">
        <f t="shared" si="230"/>
        <v>1154.1097347239074</v>
      </c>
      <c r="O163" s="15">
        <f t="shared" si="230"/>
        <v>1128.1520601681066</v>
      </c>
      <c r="P163" s="15">
        <f t="shared" si="230"/>
        <v>1097.9629736970633</v>
      </c>
      <c r="Q163" s="15">
        <f t="shared" si="230"/>
        <v>1074.887898616051</v>
      </c>
      <c r="R163" s="15">
        <f t="shared" si="230"/>
        <v>1047.7163346019934</v>
      </c>
      <c r="S163" s="15">
        <f t="shared" si="230"/>
        <v>1027.2699535572026</v>
      </c>
      <c r="T163" s="15">
        <f t="shared" si="230"/>
        <v>1002.8447472955272</v>
      </c>
      <c r="U163" s="15">
        <f t="shared" si="230"/>
        <v>984.7945879735704</v>
      </c>
      <c r="V163" s="15">
        <f t="shared" si="230"/>
        <v>962.86766396104497</v>
      </c>
      <c r="W163" s="15"/>
      <c r="X163" s="15"/>
      <c r="Y163" s="15"/>
      <c r="Z163" s="15"/>
    </row>
    <row r="164" spans="1:26" x14ac:dyDescent="0.3">
      <c r="A164" s="37"/>
      <c r="B164" s="37"/>
      <c r="C164" s="37"/>
      <c r="D164" s="38" t="s">
        <v>221</v>
      </c>
      <c r="E164" s="15"/>
      <c r="F164" s="15"/>
      <c r="G164" s="15"/>
      <c r="H164" s="15"/>
      <c r="I164" s="15">
        <f t="shared" ref="I164:V164" si="231">-I131</f>
        <v>-290.94999999999925</v>
      </c>
      <c r="J164" s="15">
        <f t="shared" si="231"/>
        <v>128.25999999999829</v>
      </c>
      <c r="K164" s="15">
        <f t="shared" si="231"/>
        <v>-526.06999999999709</v>
      </c>
      <c r="L164" s="15">
        <f t="shared" si="231"/>
        <v>-555.599999999999</v>
      </c>
      <c r="M164" s="15">
        <f t="shared" si="231"/>
        <v>-558.37799999999891</v>
      </c>
      <c r="N164" s="15">
        <f t="shared" si="231"/>
        <v>-561.16988999999887</v>
      </c>
      <c r="O164" s="15">
        <f t="shared" si="231"/>
        <v>-563.97573944999885</v>
      </c>
      <c r="P164" s="15">
        <f t="shared" si="231"/>
        <v>-566.79561814724877</v>
      </c>
      <c r="Q164" s="15">
        <f t="shared" si="231"/>
        <v>-569.62959623798497</v>
      </c>
      <c r="R164" s="15">
        <f t="shared" si="231"/>
        <v>-572.47774421917484</v>
      </c>
      <c r="S164" s="15">
        <f t="shared" si="231"/>
        <v>-575.34013294027068</v>
      </c>
      <c r="T164" s="15">
        <f t="shared" si="231"/>
        <v>-578.21683360497195</v>
      </c>
      <c r="U164" s="15">
        <f t="shared" si="231"/>
        <v>-581.10791777299676</v>
      </c>
      <c r="V164" s="15">
        <f t="shared" si="231"/>
        <v>-584.0134573618617</v>
      </c>
      <c r="W164" s="15"/>
      <c r="X164" s="15"/>
      <c r="Y164" s="15"/>
      <c r="Z164" s="15"/>
    </row>
    <row r="165" spans="1:26" x14ac:dyDescent="0.3">
      <c r="A165" s="37"/>
      <c r="B165" s="37"/>
      <c r="C165" s="37"/>
      <c r="D165" s="38" t="s">
        <v>222</v>
      </c>
      <c r="E165" s="15"/>
      <c r="F165" s="15"/>
      <c r="G165" s="15"/>
      <c r="H165" s="15"/>
      <c r="I165" s="15">
        <f t="shared" ref="I165:V165" si="232">I127</f>
        <v>-624.01</v>
      </c>
      <c r="J165" s="15">
        <f t="shared" si="232"/>
        <v>-940.66000000000008</v>
      </c>
      <c r="K165" s="15">
        <f t="shared" si="232"/>
        <v>-1340.21</v>
      </c>
      <c r="L165" s="15">
        <f t="shared" si="232"/>
        <v>-1206.32</v>
      </c>
      <c r="M165" s="15">
        <f t="shared" si="232"/>
        <v>639.13820960272233</v>
      </c>
      <c r="N165" s="15">
        <f t="shared" si="232"/>
        <v>-71.181231358438481</v>
      </c>
      <c r="O165" s="15">
        <f t="shared" si="232"/>
        <v>-75.526763333940153</v>
      </c>
      <c r="P165" s="15">
        <f t="shared" si="232"/>
        <v>-80.137585018395612</v>
      </c>
      <c r="Q165" s="15">
        <f t="shared" si="232"/>
        <v>-85.029892042184656</v>
      </c>
      <c r="R165" s="15">
        <f t="shared" si="232"/>
        <v>-90.220868760219673</v>
      </c>
      <c r="S165" s="15">
        <f t="shared" si="232"/>
        <v>-95.728748612435538</v>
      </c>
      <c r="T165" s="15">
        <f t="shared" si="232"/>
        <v>-101.57287816921826</v>
      </c>
      <c r="U165" s="15">
        <f t="shared" si="232"/>
        <v>-107.77378508673587</v>
      </c>
      <c r="V165" s="15">
        <f t="shared" si="232"/>
        <v>-114.35325021086214</v>
      </c>
      <c r="W165" s="15"/>
      <c r="X165" s="15"/>
      <c r="Y165" s="15"/>
      <c r="Z165" s="15"/>
    </row>
    <row r="166" spans="1:26" x14ac:dyDescent="0.3">
      <c r="A166" s="37"/>
      <c r="B166" s="37"/>
      <c r="C166" s="37"/>
      <c r="D166" s="38" t="s">
        <v>223</v>
      </c>
      <c r="E166" s="15"/>
      <c r="F166" s="15"/>
      <c r="G166" s="15"/>
      <c r="H166" s="15"/>
      <c r="I166" s="15">
        <f t="shared" ref="I166:V166" si="233">SUM(I162:I165)</f>
        <v>1944.0155784140277</v>
      </c>
      <c r="J166" s="15">
        <f t="shared" si="233"/>
        <v>1818.2330389880733</v>
      </c>
      <c r="K166" s="15">
        <f t="shared" si="233"/>
        <v>103.96800605776525</v>
      </c>
      <c r="L166" s="15">
        <f t="shared" si="233"/>
        <v>235.55500785322738</v>
      </c>
      <c r="M166" s="15">
        <f t="shared" si="233"/>
        <v>3188.7416532456587</v>
      </c>
      <c r="N166" s="15">
        <f t="shared" si="233"/>
        <v>2650.4412932098166</v>
      </c>
      <c r="O166" s="15">
        <f t="shared" si="233"/>
        <v>2830.1234261950058</v>
      </c>
      <c r="P166" s="15">
        <f t="shared" si="233"/>
        <v>3020.5594972804502</v>
      </c>
      <c r="Q166" s="15">
        <f t="shared" si="233"/>
        <v>3224.0408535654847</v>
      </c>
      <c r="R166" s="15">
        <f t="shared" si="233"/>
        <v>3439.7248580473611</v>
      </c>
      <c r="S166" s="15">
        <f t="shared" si="233"/>
        <v>3669.916392931606</v>
      </c>
      <c r="T166" s="15">
        <f t="shared" si="233"/>
        <v>3913.9367647225176</v>
      </c>
      <c r="U166" s="15">
        <f t="shared" si="233"/>
        <v>4174.1232531919914</v>
      </c>
      <c r="V166" s="15">
        <f t="shared" si="233"/>
        <v>4449.9651162602458</v>
      </c>
      <c r="W166" s="15">
        <f>Z160</f>
        <v>25316190.169694878</v>
      </c>
      <c r="X166" s="15"/>
      <c r="Y166" s="15"/>
      <c r="Z166" s="15"/>
    </row>
    <row r="167" spans="1:26" x14ac:dyDescent="0.3">
      <c r="A167" s="37"/>
      <c r="B167" s="37"/>
      <c r="C167" s="37"/>
      <c r="D167" s="38"/>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x14ac:dyDescent="0.3">
      <c r="A168" s="37"/>
      <c r="B168" s="37"/>
      <c r="C168" s="37"/>
      <c r="D168" s="38"/>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x14ac:dyDescent="0.3">
      <c r="A169" s="37"/>
      <c r="B169" s="37"/>
      <c r="C169" s="37"/>
      <c r="D169" s="38"/>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x14ac:dyDescent="0.3">
      <c r="A170" s="37"/>
      <c r="B170" s="37"/>
      <c r="C170" s="37"/>
      <c r="D170" s="38" t="s">
        <v>444</v>
      </c>
      <c r="E170" s="15">
        <f>NPV(E151,M166:V166)</f>
        <v>22974.101588825644</v>
      </c>
      <c r="F170" s="15"/>
      <c r="G170" s="15"/>
      <c r="H170" s="15"/>
      <c r="I170" s="15" t="s">
        <v>305</v>
      </c>
      <c r="J170" s="15"/>
      <c r="K170" s="15"/>
      <c r="L170" s="15"/>
      <c r="M170" s="15" t="s">
        <v>309</v>
      </c>
      <c r="N170" s="15"/>
      <c r="O170" s="15"/>
      <c r="P170" s="15"/>
      <c r="Q170" s="15"/>
      <c r="R170" s="15"/>
      <c r="S170" s="15"/>
      <c r="T170" s="15"/>
      <c r="U170" s="15"/>
      <c r="V170" s="15"/>
      <c r="W170" s="15"/>
      <c r="X170" s="15"/>
      <c r="Y170" s="15"/>
      <c r="Z170" s="15"/>
    </row>
    <row r="171" spans="1:26" x14ac:dyDescent="0.3">
      <c r="A171" s="37"/>
      <c r="B171" s="37"/>
      <c r="C171" s="37"/>
      <c r="D171" s="38" t="s">
        <v>445</v>
      </c>
      <c r="E171" s="15">
        <f>PV(E151,10,0,-W166)</f>
        <v>12240061.515024608</v>
      </c>
      <c r="F171" s="15"/>
      <c r="G171" s="15"/>
      <c r="H171" s="15"/>
      <c r="I171" s="15" t="s">
        <v>290</v>
      </c>
      <c r="J171" s="15"/>
      <c r="K171" s="15">
        <f>comps!K19</f>
        <v>24661.691919999997</v>
      </c>
      <c r="L171" s="15"/>
      <c r="M171" s="15" t="s">
        <v>304</v>
      </c>
      <c r="N171" s="15">
        <f>K177</f>
        <v>18.604588154550186</v>
      </c>
      <c r="O171" s="15"/>
      <c r="P171" s="15"/>
      <c r="Q171" s="15"/>
      <c r="R171" s="15"/>
      <c r="S171" s="15"/>
      <c r="T171" s="15"/>
      <c r="U171" s="15"/>
      <c r="V171" s="15"/>
      <c r="W171" s="15"/>
      <c r="X171" s="15"/>
      <c r="Y171" s="15"/>
      <c r="Z171" s="15"/>
    </row>
    <row r="172" spans="1:26" x14ac:dyDescent="0.3">
      <c r="A172" s="37"/>
      <c r="B172" s="37"/>
      <c r="C172" s="37"/>
      <c r="D172" s="38" t="s">
        <v>446</v>
      </c>
      <c r="E172" s="15">
        <f>E170+E171</f>
        <v>12263035.616613433</v>
      </c>
      <c r="F172" s="15"/>
      <c r="G172" s="15"/>
      <c r="H172" s="15"/>
      <c r="I172" s="15" t="s">
        <v>306</v>
      </c>
      <c r="J172" s="15"/>
      <c r="K172" s="15">
        <f>-E174</f>
        <v>14543.630000000001</v>
      </c>
      <c r="L172" s="15"/>
      <c r="M172" s="15" t="s">
        <v>310</v>
      </c>
      <c r="N172" s="15">
        <f>E178</f>
        <v>9242.3064058644031</v>
      </c>
      <c r="O172" s="15"/>
      <c r="P172" s="15"/>
      <c r="Q172" s="15"/>
      <c r="R172" s="15"/>
      <c r="S172" s="15"/>
      <c r="T172" s="15"/>
      <c r="U172" s="15"/>
      <c r="V172" s="15"/>
      <c r="W172" s="15"/>
      <c r="X172" s="15"/>
      <c r="Y172" s="15"/>
      <c r="Z172" s="15"/>
    </row>
    <row r="173" spans="1:26" x14ac:dyDescent="0.3">
      <c r="A173" s="37"/>
      <c r="B173" s="37"/>
      <c r="C173" s="37"/>
      <c r="D173" s="38" t="s">
        <v>229</v>
      </c>
      <c r="E173" s="15">
        <f>L53+L54+L61</f>
        <v>3375.8</v>
      </c>
      <c r="F173" s="15"/>
      <c r="G173" s="15"/>
      <c r="H173" s="15"/>
      <c r="I173" s="15" t="s">
        <v>307</v>
      </c>
      <c r="J173" s="15"/>
      <c r="K173" s="15">
        <f>-E175</f>
        <v>539.71</v>
      </c>
      <c r="L173" s="15"/>
      <c r="M173" s="15" t="s">
        <v>311</v>
      </c>
      <c r="N173" s="15">
        <f>N172/N171-1</f>
        <v>495.77565174179801</v>
      </c>
      <c r="O173" s="15"/>
      <c r="P173" s="15"/>
      <c r="Q173" s="15"/>
      <c r="R173" s="15"/>
      <c r="S173" s="15"/>
      <c r="T173" s="15"/>
      <c r="U173" s="15"/>
      <c r="V173" s="15"/>
      <c r="W173" s="15"/>
      <c r="X173" s="15"/>
      <c r="Y173" s="15"/>
      <c r="Z173" s="15"/>
    </row>
    <row r="174" spans="1:26" x14ac:dyDescent="0.3">
      <c r="A174" s="37"/>
      <c r="B174" s="37"/>
      <c r="C174" s="37"/>
      <c r="D174" s="38" t="s">
        <v>230</v>
      </c>
      <c r="E174" s="15">
        <f>-L138</f>
        <v>-14543.630000000001</v>
      </c>
      <c r="F174" s="15"/>
      <c r="G174" s="15"/>
      <c r="H174" s="15"/>
      <c r="I174" s="15" t="s">
        <v>308</v>
      </c>
      <c r="J174" s="15"/>
      <c r="K174" s="15">
        <f>-E173</f>
        <v>-3375.8</v>
      </c>
      <c r="L174" s="15"/>
      <c r="M174" s="15"/>
      <c r="N174" s="15"/>
      <c r="O174" s="15"/>
      <c r="P174" s="15"/>
      <c r="Q174" s="15"/>
      <c r="R174" s="15"/>
      <c r="S174" s="15"/>
      <c r="T174" s="15"/>
      <c r="U174" s="15"/>
      <c r="V174" s="15"/>
      <c r="W174" s="15"/>
      <c r="X174" s="15"/>
      <c r="Y174" s="15"/>
      <c r="Z174" s="15"/>
    </row>
    <row r="175" spans="1:26" x14ac:dyDescent="0.3">
      <c r="A175" s="37"/>
      <c r="B175" s="37"/>
      <c r="C175" s="37"/>
      <c r="D175" s="38" t="s">
        <v>231</v>
      </c>
      <c r="E175" s="15">
        <f>-L81</f>
        <v>-539.71</v>
      </c>
      <c r="F175" s="15"/>
      <c r="G175" s="15"/>
      <c r="H175" s="15"/>
      <c r="I175" s="15" t="s">
        <v>228</v>
      </c>
      <c r="J175" s="15"/>
      <c r="K175" s="15">
        <f>SUM(K171:K174)</f>
        <v>36369.231919999998</v>
      </c>
      <c r="L175" s="15"/>
      <c r="M175" s="15"/>
      <c r="N175" s="15"/>
      <c r="O175" s="15"/>
      <c r="P175" s="15"/>
      <c r="Q175" s="15"/>
      <c r="R175" s="15"/>
      <c r="S175" s="15"/>
      <c r="T175" s="15"/>
      <c r="U175" s="15"/>
      <c r="V175" s="15"/>
      <c r="W175" s="15"/>
      <c r="X175" s="15"/>
      <c r="Y175" s="15"/>
      <c r="Z175" s="15"/>
    </row>
    <row r="176" spans="1:26" x14ac:dyDescent="0.3">
      <c r="A176" s="37"/>
      <c r="B176" s="37"/>
      <c r="C176" s="37"/>
      <c r="D176" s="38" t="s">
        <v>232</v>
      </c>
      <c r="E176" s="15">
        <f>SUM(E172:E175)</f>
        <v>12251328.076613432</v>
      </c>
      <c r="F176" s="15"/>
      <c r="G176" s="15"/>
      <c r="H176" s="15"/>
      <c r="I176" s="15"/>
      <c r="J176" s="15"/>
      <c r="K176" s="15"/>
      <c r="L176" s="15"/>
      <c r="M176" s="15"/>
      <c r="N176" s="15"/>
      <c r="O176" s="15"/>
      <c r="P176" s="15"/>
      <c r="Q176" s="15"/>
      <c r="R176" s="15"/>
      <c r="S176" s="15"/>
      <c r="T176" s="15"/>
      <c r="U176" s="15"/>
      <c r="V176" s="15"/>
      <c r="W176" s="15"/>
      <c r="X176" s="15"/>
      <c r="Y176" s="15"/>
      <c r="Z176" s="15"/>
    </row>
    <row r="177" spans="1:26" x14ac:dyDescent="0.3">
      <c r="A177" s="37"/>
      <c r="B177" s="37"/>
      <c r="C177" s="37"/>
      <c r="D177" s="38"/>
      <c r="E177" s="15"/>
      <c r="F177" s="15"/>
      <c r="G177" s="15"/>
      <c r="H177" s="15"/>
      <c r="I177" s="15" t="s">
        <v>233</v>
      </c>
      <c r="J177" s="15"/>
      <c r="K177" s="201">
        <f>K171/E152</f>
        <v>18.604588154550186</v>
      </c>
      <c r="L177" s="15"/>
      <c r="M177" s="15"/>
      <c r="N177" s="15"/>
      <c r="O177" s="15"/>
      <c r="P177" s="15"/>
      <c r="Q177" s="15"/>
      <c r="R177" s="15"/>
      <c r="S177" s="15"/>
      <c r="T177" s="15"/>
      <c r="U177" s="15"/>
      <c r="V177" s="15"/>
      <c r="W177" s="15"/>
      <c r="X177" s="15"/>
      <c r="Y177" s="15"/>
      <c r="Z177" s="15"/>
    </row>
    <row r="178" spans="1:26" x14ac:dyDescent="0.3">
      <c r="A178" s="37"/>
      <c r="B178" s="37"/>
      <c r="C178" s="37"/>
      <c r="D178" s="38" t="s">
        <v>233</v>
      </c>
      <c r="E178" s="201">
        <f>E176/E152</f>
        <v>9242.3064058644031</v>
      </c>
      <c r="F178" s="15"/>
      <c r="G178" s="15"/>
      <c r="H178" s="15"/>
      <c r="I178" s="15"/>
      <c r="J178" s="15"/>
      <c r="K178" s="15"/>
      <c r="L178" s="15"/>
      <c r="M178" s="15"/>
      <c r="N178" s="15"/>
      <c r="O178" s="15"/>
      <c r="P178" s="15"/>
      <c r="Q178" s="15"/>
      <c r="R178" s="15"/>
      <c r="S178" s="15"/>
      <c r="T178" s="15"/>
      <c r="U178" s="15"/>
      <c r="V178" s="15"/>
      <c r="W178" s="15"/>
      <c r="X178" s="15"/>
      <c r="Y178" s="15"/>
      <c r="Z178" s="15"/>
    </row>
    <row r="179" spans="1:26" x14ac:dyDescent="0.3">
      <c r="A179" s="37"/>
      <c r="B179" s="37"/>
      <c r="C179" s="37"/>
      <c r="D179" s="38"/>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x14ac:dyDescent="0.3">
      <c r="A180" s="37"/>
      <c r="B180" s="37"/>
      <c r="C180" s="37"/>
      <c r="D180" s="38"/>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21" x14ac:dyDescent="0.35">
      <c r="A181" s="130" t="s">
        <v>366</v>
      </c>
      <c r="B181" s="113"/>
      <c r="C181" s="113"/>
      <c r="D181" s="113"/>
      <c r="E181" s="113"/>
      <c r="F181" s="119"/>
      <c r="G181" s="113"/>
      <c r="H181" s="113"/>
      <c r="I181" s="113"/>
      <c r="J181" s="113"/>
      <c r="K181" s="113"/>
      <c r="L181" s="113"/>
      <c r="M181" s="113"/>
      <c r="N181" s="113"/>
      <c r="O181" s="113"/>
      <c r="P181" s="113"/>
      <c r="Q181" s="113"/>
      <c r="R181" s="113"/>
      <c r="S181" s="113"/>
      <c r="T181" s="113"/>
      <c r="U181" s="113"/>
      <c r="V181" s="113"/>
    </row>
    <row r="182" spans="1:26" x14ac:dyDescent="0.3">
      <c r="D182" s="138"/>
      <c r="E182" s="273" t="s">
        <v>367</v>
      </c>
      <c r="F182" s="273"/>
      <c r="G182" s="273"/>
      <c r="H182" s="273"/>
      <c r="I182" s="273"/>
      <c r="J182" s="273"/>
      <c r="K182" s="273"/>
      <c r="L182" s="273"/>
      <c r="M182" s="273"/>
    </row>
    <row r="183" spans="1:26" x14ac:dyDescent="0.3">
      <c r="D183" s="138"/>
      <c r="E183" s="4"/>
      <c r="G183" s="4"/>
      <c r="H183" s="4"/>
      <c r="I183" s="4"/>
      <c r="J183" s="4"/>
      <c r="K183" s="4"/>
      <c r="L183" s="4"/>
      <c r="M183" s="4"/>
    </row>
    <row r="184" spans="1:26" x14ac:dyDescent="0.3">
      <c r="D184" s="138"/>
      <c r="E184" s="4"/>
      <c r="G184" s="4"/>
      <c r="H184" s="273" t="s">
        <v>368</v>
      </c>
      <c r="I184" s="273"/>
      <c r="J184" s="273"/>
      <c r="K184" s="273"/>
      <c r="L184" s="273"/>
      <c r="M184" s="273"/>
    </row>
    <row r="185" spans="1:26" ht="16.5" customHeight="1" x14ac:dyDescent="0.3">
      <c r="D185" s="138"/>
      <c r="E185" s="4"/>
      <c r="F185" s="272" t="s">
        <v>302</v>
      </c>
      <c r="G185" s="4"/>
      <c r="H185" s="190">
        <f>E178</f>
        <v>9242.3064058644031</v>
      </c>
      <c r="I185" s="131">
        <v>8</v>
      </c>
      <c r="J185" s="131">
        <v>9</v>
      </c>
      <c r="K185" s="131">
        <v>10.729097102512878</v>
      </c>
      <c r="L185" s="131">
        <v>11</v>
      </c>
      <c r="M185" s="131">
        <v>12</v>
      </c>
    </row>
    <row r="186" spans="1:26" ht="16.5" customHeight="1" x14ac:dyDescent="0.3">
      <c r="D186" s="138"/>
      <c r="E186" s="4"/>
      <c r="F186" s="272"/>
      <c r="G186" s="4"/>
      <c r="H186" s="50">
        <v>8.5000000000000006E-2</v>
      </c>
      <c r="I186" s="8">
        <f t="dataTable" ref="I186:M190" dt2D="1" dtr="1" r1="E149" r2="E151"/>
        <v>6299.3514206385526</v>
      </c>
      <c r="J186" s="8">
        <v>7081.872662890155</v>
      </c>
      <c r="K186" s="8">
        <v>8434.9278755221803</v>
      </c>
      <c r="L186" s="8">
        <v>8646.9151473933616</v>
      </c>
      <c r="M186" s="8">
        <v>9429.4363896449668</v>
      </c>
    </row>
    <row r="187" spans="1:26" ht="16.5" customHeight="1" x14ac:dyDescent="0.3">
      <c r="D187" s="138"/>
      <c r="E187" s="4"/>
      <c r="F187" s="272"/>
      <c r="G187" s="4"/>
      <c r="H187" s="50">
        <v>9.5000000000000001E-2</v>
      </c>
      <c r="I187" s="8">
        <v>5738.8442141283895</v>
      </c>
      <c r="J187" s="133">
        <v>6452.7687794391295</v>
      </c>
      <c r="K187" s="133">
        <v>7687.2136767306956</v>
      </c>
      <c r="L187" s="133">
        <v>7880.6179100606078</v>
      </c>
      <c r="M187" s="8">
        <v>8594.5424753713487</v>
      </c>
    </row>
    <row r="188" spans="1:26" ht="16.5" customHeight="1" x14ac:dyDescent="0.3">
      <c r="D188" s="138"/>
      <c r="E188" s="4"/>
      <c r="F188" s="272"/>
      <c r="G188" s="4"/>
      <c r="H188" s="50">
        <v>0.10083337060471115</v>
      </c>
      <c r="I188" s="8">
        <v>5439.0460679208782</v>
      </c>
      <c r="J188" s="133">
        <v>6116.0288991942725</v>
      </c>
      <c r="K188" s="134">
        <v>7286.597951200064</v>
      </c>
      <c r="L188" s="133">
        <v>7469.9945617410622</v>
      </c>
      <c r="M188" s="8">
        <v>8146.9773930144584</v>
      </c>
    </row>
    <row r="189" spans="1:26" ht="16.5" customHeight="1" x14ac:dyDescent="0.3">
      <c r="D189" s="138"/>
      <c r="E189" s="4"/>
      <c r="F189" s="272"/>
      <c r="G189" s="4"/>
      <c r="H189" s="50">
        <v>0.115</v>
      </c>
      <c r="I189" s="8">
        <v>4782.2321075875816</v>
      </c>
      <c r="J189" s="133">
        <v>5377.9557602434506</v>
      </c>
      <c r="K189" s="133">
        <v>6408.0198019491008</v>
      </c>
      <c r="L189" s="133">
        <v>6569.4030655551878</v>
      </c>
      <c r="M189" s="8">
        <v>7165.1267182110578</v>
      </c>
    </row>
    <row r="190" spans="1:26" ht="16.5" customHeight="1" x14ac:dyDescent="0.3">
      <c r="D190" s="138"/>
      <c r="E190" s="4"/>
      <c r="F190" s="272"/>
      <c r="G190" s="4"/>
      <c r="H190" s="50">
        <v>0.125</v>
      </c>
      <c r="I190" s="8">
        <v>4372.0695107145839</v>
      </c>
      <c r="J190" s="8">
        <v>4916.9086435885292</v>
      </c>
      <c r="K190" s="8">
        <v>5858.9884095764955</v>
      </c>
      <c r="L190" s="8">
        <v>6006.5869093364181</v>
      </c>
      <c r="M190" s="8">
        <v>6551.4260422103616</v>
      </c>
    </row>
    <row r="191" spans="1:26" x14ac:dyDescent="0.3">
      <c r="D191" s="138"/>
      <c r="E191" s="4"/>
      <c r="G191" s="4"/>
      <c r="H191" s="4"/>
      <c r="I191" s="4"/>
      <c r="J191" s="4"/>
      <c r="K191" s="4"/>
      <c r="L191" s="4"/>
      <c r="M191" s="4"/>
    </row>
    <row r="192" spans="1:26" x14ac:dyDescent="0.3">
      <c r="D192" s="138"/>
      <c r="E192" s="4"/>
      <c r="G192" s="4"/>
      <c r="H192" s="4"/>
      <c r="I192" s="4"/>
      <c r="J192" s="4"/>
      <c r="K192" s="4"/>
      <c r="L192" s="4"/>
      <c r="M192" s="4"/>
    </row>
    <row r="193" spans="4:13" x14ac:dyDescent="0.3">
      <c r="D193" s="138"/>
      <c r="E193" s="4"/>
      <c r="G193" s="4"/>
      <c r="H193" s="273" t="s">
        <v>301</v>
      </c>
      <c r="I193" s="273"/>
      <c r="J193" s="273"/>
      <c r="K193" s="273"/>
      <c r="L193" s="273"/>
      <c r="M193" s="273"/>
    </row>
    <row r="194" spans="4:13" x14ac:dyDescent="0.3">
      <c r="D194" s="138"/>
      <c r="E194" s="4"/>
      <c r="G194" s="4"/>
      <c r="H194" s="4"/>
      <c r="I194" s="4"/>
      <c r="J194" s="4"/>
      <c r="K194" s="4"/>
      <c r="L194" s="4"/>
      <c r="M194" s="4"/>
    </row>
    <row r="195" spans="4:13" x14ac:dyDescent="0.3">
      <c r="D195" s="138"/>
      <c r="E195" s="4"/>
      <c r="F195" s="272" t="s">
        <v>302</v>
      </c>
      <c r="G195" s="4"/>
      <c r="H195" s="190">
        <f>E178</f>
        <v>9242.3064058644031</v>
      </c>
      <c r="I195" s="132">
        <v>0.04</v>
      </c>
      <c r="J195" s="132">
        <v>0.05</v>
      </c>
      <c r="K195" s="132">
        <v>0.06</v>
      </c>
      <c r="L195" s="132">
        <v>7.0000000000000007E-2</v>
      </c>
      <c r="M195" s="132">
        <v>7.4999999999999997E-2</v>
      </c>
    </row>
    <row r="196" spans="4:13" ht="16.5" customHeight="1" x14ac:dyDescent="0.3">
      <c r="D196" s="138"/>
      <c r="E196" s="4"/>
      <c r="F196" s="272"/>
      <c r="G196" s="4"/>
      <c r="H196" s="50">
        <v>8.5000000000000006E-2</v>
      </c>
      <c r="I196" s="8">
        <f t="dataTable" ref="I196:M200" dt2D="1" dtr="1" r1="E150" r2="E151" ca="1"/>
        <v>8420.6081849743732</v>
      </c>
      <c r="J196" s="8">
        <v>8425.7223601700171</v>
      </c>
      <c r="K196" s="8">
        <v>8434.9278755221803</v>
      </c>
      <c r="L196" s="8">
        <v>8456.4074113438946</v>
      </c>
      <c r="M196" s="8">
        <v>8483.2568311210362</v>
      </c>
    </row>
    <row r="197" spans="4:13" x14ac:dyDescent="0.3">
      <c r="D197" s="138"/>
      <c r="E197" s="4"/>
      <c r="F197" s="272"/>
      <c r="G197" s="4"/>
      <c r="H197" s="50">
        <v>9.5000000000000001E-2</v>
      </c>
      <c r="I197" s="8">
        <v>7679.5082624666338</v>
      </c>
      <c r="J197" s="133">
        <v>7682.5048124582136</v>
      </c>
      <c r="K197" s="133">
        <v>7687.2136767306956</v>
      </c>
      <c r="L197" s="133">
        <v>7695.6896324211621</v>
      </c>
      <c r="M197" s="8">
        <v>7703.10609365032</v>
      </c>
    </row>
    <row r="198" spans="4:13" ht="16.5" customHeight="1" x14ac:dyDescent="0.3">
      <c r="D198" s="138"/>
      <c r="E198" s="4"/>
      <c r="F198" s="272"/>
      <c r="G198" s="4"/>
      <c r="H198" s="50">
        <v>0.10083337060471115</v>
      </c>
      <c r="I198" s="8">
        <v>7280.9054594224672</v>
      </c>
      <c r="J198" s="133">
        <v>7283.1917884977756</v>
      </c>
      <c r="K198" s="134">
        <v>7286.597951200064</v>
      </c>
      <c r="L198" s="133">
        <v>7292.2135140655464</v>
      </c>
      <c r="M198" s="8">
        <v>7296.6516178489992</v>
      </c>
    </row>
    <row r="199" spans="4:13" ht="16.5" customHeight="1" x14ac:dyDescent="0.3">
      <c r="D199" s="138"/>
      <c r="E199" s="4"/>
      <c r="F199" s="272"/>
      <c r="G199" s="4"/>
      <c r="H199" s="50">
        <v>0.115</v>
      </c>
      <c r="I199" s="8">
        <v>6404.9644866156514</v>
      </c>
      <c r="J199" s="133">
        <v>6406.2571200259563</v>
      </c>
      <c r="K199" s="133">
        <v>6408.0198019491008</v>
      </c>
      <c r="L199" s="133">
        <v>6410.5658980603084</v>
      </c>
      <c r="M199" s="8">
        <v>6412.3163391367643</v>
      </c>
    </row>
    <row r="200" spans="4:13" ht="16.5" customHeight="1" x14ac:dyDescent="0.3">
      <c r="D200" s="138"/>
      <c r="E200" s="4"/>
      <c r="F200" s="272"/>
      <c r="G200" s="4"/>
      <c r="H200" s="50">
        <v>0.125</v>
      </c>
      <c r="I200" s="8">
        <v>5856.8834255014926</v>
      </c>
      <c r="J200" s="8">
        <v>5857.7955852673276</v>
      </c>
      <c r="K200" s="8">
        <v>5858.9884095764955</v>
      </c>
      <c r="L200" s="8">
        <v>5860.6149881799056</v>
      </c>
      <c r="M200" s="8">
        <v>5861.6722642721234</v>
      </c>
    </row>
    <row r="201" spans="4:13" x14ac:dyDescent="0.3">
      <c r="E201" s="4"/>
      <c r="G201" s="4"/>
      <c r="H201" s="4"/>
      <c r="I201" s="4"/>
      <c r="J201" s="4"/>
      <c r="K201" s="4"/>
      <c r="L201" s="4"/>
      <c r="M201" s="4"/>
    </row>
  </sheetData>
  <mergeCells count="6">
    <mergeCell ref="D157:D158"/>
    <mergeCell ref="F185:F190"/>
    <mergeCell ref="H184:M184"/>
    <mergeCell ref="F195:F200"/>
    <mergeCell ref="H193:M193"/>
    <mergeCell ref="E182:M182"/>
  </mergeCells>
  <pageMargins left="0.7" right="0.7" top="0.75" bottom="0.75" header="0.3" footer="0.3"/>
  <pageSetup orientation="portrait" horizontalDpi="300" verticalDpi="0" r:id="rId1"/>
  <ignoredErrors>
    <ignoredError sqref="H36:L36 H73:L73 H108:L108" formulaRange="1"/>
    <ignoredError sqref="M20 N20:V20 N17:V17" formula="1"/>
  </ignoredError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A774687-F1CB-4AC6-A3C5-5A5433EE751E}">
          <x14:formula1>
            <xm:f>scenario!$D$9:$D$11</xm:f>
          </x14:formula1>
          <xm:sqref>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31E1F-2940-4D86-ACE5-707DD4244469}">
  <dimension ref="A6:S17"/>
  <sheetViews>
    <sheetView showGridLines="0" workbookViewId="0">
      <selection activeCell="J11" sqref="J11"/>
    </sheetView>
  </sheetViews>
  <sheetFormatPr defaultRowHeight="15" x14ac:dyDescent="0.25"/>
  <cols>
    <col min="1" max="3" width="1.28515625" customWidth="1"/>
    <col min="10" max="10" width="11.7109375" customWidth="1"/>
  </cols>
  <sheetData>
    <row r="6" spans="1:19" s="140" customFormat="1" ht="31.5" x14ac:dyDescent="0.5">
      <c r="A6" s="118" t="s">
        <v>119</v>
      </c>
      <c r="B6" s="121"/>
      <c r="C6" s="121"/>
      <c r="D6" s="121"/>
      <c r="E6" s="121"/>
      <c r="F6" s="121"/>
      <c r="G6" s="121"/>
      <c r="H6" s="121"/>
      <c r="I6" s="121"/>
      <c r="J6" s="121"/>
      <c r="K6" s="121"/>
      <c r="L6" s="121"/>
      <c r="M6" s="121"/>
      <c r="N6" s="121"/>
      <c r="O6" s="121"/>
      <c r="P6" s="121"/>
      <c r="Q6" s="121"/>
      <c r="R6" s="121"/>
    </row>
    <row r="7" spans="1:19" ht="16.5" x14ac:dyDescent="0.3">
      <c r="A7" s="24"/>
      <c r="B7" s="98" t="s">
        <v>364</v>
      </c>
      <c r="C7" s="24"/>
      <c r="D7" s="24"/>
      <c r="E7" s="24"/>
      <c r="F7" s="24"/>
      <c r="G7" s="24"/>
      <c r="H7" s="24"/>
      <c r="I7" s="24"/>
      <c r="J7" s="24"/>
      <c r="K7" s="24"/>
      <c r="L7" s="24"/>
      <c r="M7" s="24"/>
      <c r="N7" s="24"/>
      <c r="O7" s="24"/>
      <c r="P7" s="24"/>
      <c r="Q7" s="24"/>
      <c r="R7" s="24"/>
    </row>
    <row r="8" spans="1:19" ht="16.5" x14ac:dyDescent="0.3">
      <c r="A8" s="24"/>
      <c r="B8" s="24"/>
      <c r="C8" s="141" t="s">
        <v>315</v>
      </c>
      <c r="D8" s="26"/>
      <c r="E8" s="26"/>
      <c r="F8" s="26"/>
      <c r="G8" s="143" t="s">
        <v>316</v>
      </c>
      <c r="H8" s="143"/>
      <c r="I8" s="26">
        <f>Model!M7</f>
        <v>2025</v>
      </c>
      <c r="J8" s="26">
        <f>Model!N7</f>
        <v>2026</v>
      </c>
      <c r="K8" s="26">
        <f>Model!O7</f>
        <v>2027</v>
      </c>
      <c r="L8" s="26">
        <f>Model!P7</f>
        <v>2028</v>
      </c>
      <c r="M8" s="26">
        <f>Model!Q7</f>
        <v>2029</v>
      </c>
      <c r="N8" s="26">
        <f>Model!R7</f>
        <v>2030</v>
      </c>
      <c r="O8" s="26">
        <f>Model!S7</f>
        <v>2031</v>
      </c>
      <c r="P8" s="26">
        <f>Model!T7</f>
        <v>2032</v>
      </c>
      <c r="Q8" s="26">
        <f>Model!U7</f>
        <v>2033</v>
      </c>
      <c r="R8" s="26">
        <f>Model!V7</f>
        <v>2034</v>
      </c>
    </row>
    <row r="9" spans="1:19" ht="16.5" x14ac:dyDescent="0.3">
      <c r="A9" s="24"/>
      <c r="B9" s="24"/>
      <c r="C9" s="24"/>
      <c r="D9" s="105" t="s">
        <v>211</v>
      </c>
      <c r="E9" s="105"/>
      <c r="F9" s="105"/>
      <c r="G9" s="144">
        <f>AVERAGE(Model!I13:L13)</f>
        <v>6.1048845216216896E-2</v>
      </c>
      <c r="H9" s="24"/>
      <c r="I9" s="68">
        <f>G9</f>
        <v>6.1048845216216896E-2</v>
      </c>
      <c r="J9" s="105">
        <f>I9</f>
        <v>6.1048845216216896E-2</v>
      </c>
      <c r="K9" s="105">
        <f t="shared" ref="K9:R9" si="0">J9</f>
        <v>6.1048845216216896E-2</v>
      </c>
      <c r="L9" s="105">
        <f t="shared" si="0"/>
        <v>6.1048845216216896E-2</v>
      </c>
      <c r="M9" s="105">
        <f t="shared" si="0"/>
        <v>6.1048845216216896E-2</v>
      </c>
      <c r="N9" s="105">
        <f t="shared" si="0"/>
        <v>6.1048845216216896E-2</v>
      </c>
      <c r="O9" s="105">
        <f t="shared" si="0"/>
        <v>6.1048845216216896E-2</v>
      </c>
      <c r="P9" s="105">
        <f t="shared" si="0"/>
        <v>6.1048845216216896E-2</v>
      </c>
      <c r="Q9" s="105">
        <f t="shared" si="0"/>
        <v>6.1048845216216896E-2</v>
      </c>
      <c r="R9" s="105">
        <f t="shared" si="0"/>
        <v>6.1048845216216896E-2</v>
      </c>
      <c r="S9" s="105"/>
    </row>
    <row r="10" spans="1:19" ht="16.5" x14ac:dyDescent="0.3">
      <c r="A10" s="24"/>
      <c r="B10" s="24"/>
      <c r="C10" s="24"/>
      <c r="D10" s="105" t="s">
        <v>212</v>
      </c>
      <c r="E10" s="105"/>
      <c r="F10" s="105"/>
      <c r="G10" s="144">
        <f>G9+5%</f>
        <v>0.1110488452162169</v>
      </c>
      <c r="H10" s="24"/>
      <c r="I10" s="68">
        <f t="shared" ref="I10:I11" si="1">G10</f>
        <v>0.1110488452162169</v>
      </c>
      <c r="J10" s="105">
        <f>I10</f>
        <v>0.1110488452162169</v>
      </c>
      <c r="K10" s="105">
        <f t="shared" ref="K10:R10" si="2">J10</f>
        <v>0.1110488452162169</v>
      </c>
      <c r="L10" s="105">
        <f t="shared" si="2"/>
        <v>0.1110488452162169</v>
      </c>
      <c r="M10" s="105">
        <f t="shared" si="2"/>
        <v>0.1110488452162169</v>
      </c>
      <c r="N10" s="105">
        <f t="shared" si="2"/>
        <v>0.1110488452162169</v>
      </c>
      <c r="O10" s="105">
        <f t="shared" si="2"/>
        <v>0.1110488452162169</v>
      </c>
      <c r="P10" s="105">
        <f t="shared" si="2"/>
        <v>0.1110488452162169</v>
      </c>
      <c r="Q10" s="105">
        <f t="shared" si="2"/>
        <v>0.1110488452162169</v>
      </c>
      <c r="R10" s="105">
        <f t="shared" si="2"/>
        <v>0.1110488452162169</v>
      </c>
    </row>
    <row r="11" spans="1:19" ht="16.5" x14ac:dyDescent="0.3">
      <c r="A11" s="24"/>
      <c r="B11" s="24"/>
      <c r="C11" s="24"/>
      <c r="D11" s="105" t="s">
        <v>213</v>
      </c>
      <c r="E11" s="105"/>
      <c r="F11" s="105"/>
      <c r="G11" s="144">
        <f>G9-5%</f>
        <v>1.1048845216216893E-2</v>
      </c>
      <c r="H11" s="24"/>
      <c r="I11" s="68">
        <f t="shared" si="1"/>
        <v>1.1048845216216893E-2</v>
      </c>
      <c r="J11" s="105">
        <f>I11</f>
        <v>1.1048845216216893E-2</v>
      </c>
      <c r="K11" s="105">
        <f t="shared" ref="K11:R11" si="3">J11</f>
        <v>1.1048845216216893E-2</v>
      </c>
      <c r="L11" s="105">
        <f t="shared" si="3"/>
        <v>1.1048845216216893E-2</v>
      </c>
      <c r="M11" s="105">
        <f t="shared" si="3"/>
        <v>1.1048845216216893E-2</v>
      </c>
      <c r="N11" s="105">
        <f t="shared" si="3"/>
        <v>1.1048845216216893E-2</v>
      </c>
      <c r="O11" s="105">
        <f t="shared" si="3"/>
        <v>1.1048845216216893E-2</v>
      </c>
      <c r="P11" s="105">
        <f t="shared" si="3"/>
        <v>1.1048845216216893E-2</v>
      </c>
      <c r="Q11" s="105">
        <f t="shared" si="3"/>
        <v>1.1048845216216893E-2</v>
      </c>
      <c r="R11" s="105">
        <f t="shared" si="3"/>
        <v>1.1048845216216893E-2</v>
      </c>
    </row>
    <row r="12" spans="1:19" ht="16.5" x14ac:dyDescent="0.3">
      <c r="A12" s="24"/>
      <c r="B12" s="24"/>
      <c r="C12" s="24"/>
      <c r="D12" s="105"/>
      <c r="E12" s="105"/>
      <c r="F12" s="176"/>
      <c r="G12" s="179"/>
      <c r="H12" s="24"/>
      <c r="I12" s="24"/>
      <c r="J12" s="139"/>
      <c r="K12" s="24"/>
      <c r="L12" s="24"/>
      <c r="M12" s="24"/>
      <c r="N12" s="24"/>
      <c r="O12" s="24"/>
      <c r="P12" s="24"/>
      <c r="Q12" s="24"/>
      <c r="R12" s="24"/>
    </row>
    <row r="16" spans="1:19" x14ac:dyDescent="0.25">
      <c r="J16" s="178"/>
    </row>
    <row r="17" spans="10:10" x14ac:dyDescent="0.25">
      <c r="J17" s="17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E3E9B-4A52-487D-91E2-8E841CED9351}">
  <dimension ref="A6:T19"/>
  <sheetViews>
    <sheetView showGridLines="0" topLeftCell="A4" workbookViewId="0">
      <selection activeCell="L19" sqref="L19"/>
    </sheetView>
  </sheetViews>
  <sheetFormatPr defaultRowHeight="15" x14ac:dyDescent="0.25"/>
  <cols>
    <col min="1" max="3" width="1.7109375" customWidth="1"/>
    <col min="4" max="4" width="39.28515625" customWidth="1"/>
    <col min="5" max="5" width="13" customWidth="1"/>
    <col min="6" max="6" width="11.85546875" customWidth="1"/>
    <col min="9" max="9" width="10.5703125" customWidth="1"/>
    <col min="10" max="10" width="11" customWidth="1"/>
    <col min="11" max="11" width="10.5703125" customWidth="1"/>
    <col min="12" max="12" width="10.140625" customWidth="1"/>
    <col min="13" max="13" width="10.85546875" customWidth="1"/>
    <col min="14" max="14" width="10.28515625" customWidth="1"/>
    <col min="15" max="15" width="10.7109375" customWidth="1"/>
    <col min="16" max="16" width="10.5703125" customWidth="1"/>
    <col min="17" max="17" width="9.28515625" customWidth="1"/>
  </cols>
  <sheetData>
    <row r="6" spans="1:20" s="21" customFormat="1" ht="26.25" x14ac:dyDescent="0.4">
      <c r="A6" s="115" t="s">
        <v>119</v>
      </c>
      <c r="B6" s="112"/>
      <c r="C6" s="112"/>
      <c r="D6" s="112"/>
      <c r="E6" s="112"/>
      <c r="F6" s="112"/>
      <c r="G6" s="112"/>
      <c r="H6" s="112"/>
      <c r="I6" s="112"/>
      <c r="J6" s="112"/>
      <c r="K6" s="112"/>
      <c r="L6" s="112"/>
      <c r="M6" s="112"/>
      <c r="N6" s="112"/>
      <c r="O6" s="112"/>
      <c r="P6" s="112"/>
      <c r="Q6" s="112"/>
      <c r="R6" s="112"/>
      <c r="S6" s="112"/>
    </row>
    <row r="7" spans="1:20" s="21" customFormat="1" ht="16.5" x14ac:dyDescent="0.3">
      <c r="A7" s="112"/>
      <c r="B7" s="120" t="s">
        <v>182</v>
      </c>
      <c r="C7" s="112"/>
      <c r="D7" s="112"/>
      <c r="E7" s="224">
        <f>Model!H7</f>
        <v>2020</v>
      </c>
      <c r="F7" s="224">
        <f>Model!I7</f>
        <v>2021</v>
      </c>
      <c r="G7" s="224">
        <f>Model!J7</f>
        <v>2022</v>
      </c>
      <c r="H7" s="224">
        <f>Model!K7</f>
        <v>2023</v>
      </c>
      <c r="I7" s="224">
        <f>Model!L7</f>
        <v>2024</v>
      </c>
      <c r="J7" s="224">
        <f>Model!M7</f>
        <v>2025</v>
      </c>
      <c r="K7" s="224">
        <f>Model!N7</f>
        <v>2026</v>
      </c>
      <c r="L7" s="224">
        <f>Model!O7</f>
        <v>2027</v>
      </c>
      <c r="M7" s="224">
        <f>Model!P7</f>
        <v>2028</v>
      </c>
      <c r="N7" s="224">
        <f>Model!Q7</f>
        <v>2029</v>
      </c>
      <c r="O7" s="224">
        <f>Model!R7</f>
        <v>2030</v>
      </c>
      <c r="P7" s="224">
        <f>Model!S7</f>
        <v>2031</v>
      </c>
      <c r="Q7" s="224">
        <f>Model!T7</f>
        <v>2032</v>
      </c>
      <c r="R7" s="224">
        <f>Model!U7</f>
        <v>2033</v>
      </c>
      <c r="S7" s="224">
        <f>Model!V7</f>
        <v>2034</v>
      </c>
      <c r="T7" s="97"/>
    </row>
    <row r="8" spans="1:20" s="21" customFormat="1" ht="15.75" x14ac:dyDescent="0.25">
      <c r="A8" s="112"/>
      <c r="B8" s="120"/>
      <c r="C8" s="112"/>
      <c r="D8" s="112"/>
      <c r="E8" s="169" t="s">
        <v>414</v>
      </c>
      <c r="F8" s="169" t="str">
        <f>E8</f>
        <v>Audited</v>
      </c>
      <c r="G8" s="169" t="str">
        <f t="shared" ref="G8:I8" si="0">F8</f>
        <v>Audited</v>
      </c>
      <c r="H8" s="169" t="str">
        <f t="shared" si="0"/>
        <v>Audited</v>
      </c>
      <c r="I8" s="169" t="str">
        <f t="shared" si="0"/>
        <v>Audited</v>
      </c>
      <c r="J8" s="169" t="s">
        <v>416</v>
      </c>
      <c r="K8" s="169" t="str">
        <f>J8</f>
        <v>Projected</v>
      </c>
      <c r="L8" s="169" t="str">
        <f t="shared" ref="L8:S8" si="1">K8</f>
        <v>Projected</v>
      </c>
      <c r="M8" s="169" t="str">
        <f t="shared" si="1"/>
        <v>Projected</v>
      </c>
      <c r="N8" s="169" t="str">
        <f t="shared" si="1"/>
        <v>Projected</v>
      </c>
      <c r="O8" s="169" t="str">
        <f t="shared" si="1"/>
        <v>Projected</v>
      </c>
      <c r="P8" s="169" t="str">
        <f t="shared" si="1"/>
        <v>Projected</v>
      </c>
      <c r="Q8" s="169" t="str">
        <f t="shared" si="1"/>
        <v>Projected</v>
      </c>
      <c r="R8" s="169" t="str">
        <f t="shared" si="1"/>
        <v>Projected</v>
      </c>
      <c r="S8" s="169" t="str">
        <f t="shared" si="1"/>
        <v>Projected</v>
      </c>
      <c r="T8" s="97"/>
    </row>
    <row r="9" spans="1:20" ht="16.5" x14ac:dyDescent="0.3">
      <c r="D9" s="38" t="s">
        <v>142</v>
      </c>
      <c r="E9" s="227">
        <f>historical!G136</f>
        <v>56.35</v>
      </c>
      <c r="F9" s="227">
        <f>historical!H136</f>
        <v>-793.92</v>
      </c>
      <c r="G9" s="227">
        <f>historical!I136</f>
        <v>-31.49</v>
      </c>
      <c r="H9" s="227">
        <f>historical!J136</f>
        <v>282.44</v>
      </c>
      <c r="I9" s="227">
        <f>historical!K136</f>
        <v>129.19</v>
      </c>
      <c r="J9" s="227">
        <f>Model!L55-Model!M55</f>
        <v>653.94846184798485</v>
      </c>
      <c r="K9" s="227">
        <f>Model!M55-Model!N55</f>
        <v>-97.829036896035404</v>
      </c>
      <c r="L9" s="227">
        <f>Model!N55-Model!O55</f>
        <v>-103.80138662715331</v>
      </c>
      <c r="M9" s="227">
        <f>Model!O55-Model!P55</f>
        <v>-110.13834141258303</v>
      </c>
      <c r="N9" s="227">
        <f>Model!P55-Model!Q55</f>
        <v>-116.86215996985061</v>
      </c>
      <c r="O9" s="227">
        <f>Model!Q55-Model!R55</f>
        <v>-123.99645988548264</v>
      </c>
      <c r="P9" s="227">
        <f>Model!R55-Model!S55</f>
        <v>-131.5663005723909</v>
      </c>
      <c r="Q9" s="227">
        <f>Model!S55-Model!T55</f>
        <v>-139.5982712917048</v>
      </c>
      <c r="R9" s="227">
        <f>Model!T55-Model!U55</f>
        <v>-148.12058454824364</v>
      </c>
      <c r="S9" s="227">
        <f>Model!U55-Model!V55</f>
        <v>-157.16317518766436</v>
      </c>
    </row>
    <row r="10" spans="1:20" ht="16.5" x14ac:dyDescent="0.3">
      <c r="D10" s="38" t="s">
        <v>143</v>
      </c>
      <c r="E10" s="227">
        <f>historical!G138</f>
        <v>-19.72</v>
      </c>
      <c r="F10" s="227">
        <f>historical!H138</f>
        <v>122.5</v>
      </c>
      <c r="G10" s="227">
        <f>historical!I138</f>
        <v>-61.75</v>
      </c>
      <c r="H10" s="227">
        <f>historical!J138</f>
        <v>-220.8</v>
      </c>
      <c r="I10" s="227">
        <f>historical!K138</f>
        <v>1.73</v>
      </c>
      <c r="J10" s="227">
        <f>Model!L56-Model!M56</f>
        <v>-43.330535502866496</v>
      </c>
      <c r="K10" s="227">
        <f>Model!M56-Model!N56</f>
        <v>-56.276079189044594</v>
      </c>
      <c r="L10" s="227">
        <f>Model!N56-Model!O56</f>
        <v>-59.711668836832359</v>
      </c>
      <c r="M10" s="227">
        <f>Model!O56-Model!P56</f>
        <v>-63.356997265253995</v>
      </c>
      <c r="N10" s="227">
        <f>Model!P56-Model!Q56</f>
        <v>-67.22486878466475</v>
      </c>
      <c r="O10" s="227">
        <f>Model!Q56-Model!R56</f>
        <v>-71.328869393780451</v>
      </c>
      <c r="P10" s="227">
        <f>Model!R56-Model!S56</f>
        <v>-75.683414500849267</v>
      </c>
      <c r="Q10" s="227">
        <f>Model!S56-Model!T56</f>
        <v>-80.303799558146238</v>
      </c>
      <c r="R10" s="227">
        <f>Model!T56-Model!U56</f>
        <v>-85.20625378764521</v>
      </c>
      <c r="S10" s="227">
        <f>Model!U56-Model!V56</f>
        <v>-90.407997186581497</v>
      </c>
    </row>
    <row r="11" spans="1:20" ht="16.5" x14ac:dyDescent="0.3">
      <c r="D11" s="38" t="s">
        <v>150</v>
      </c>
      <c r="E11" s="227">
        <f>historical!G139</f>
        <v>353.46</v>
      </c>
      <c r="F11" s="227">
        <f>historical!H139</f>
        <v>471.32</v>
      </c>
      <c r="G11" s="227">
        <f>historical!I139</f>
        <v>-110.47</v>
      </c>
      <c r="H11" s="227">
        <f>historical!J139</f>
        <v>-125.7</v>
      </c>
      <c r="I11" s="227">
        <f>historical!K139</f>
        <v>420.06</v>
      </c>
      <c r="J11" s="227">
        <f>Model!M68-Model!L68</f>
        <v>28.520283257603978</v>
      </c>
      <c r="K11" s="227">
        <f>Model!N68-Model!M68</f>
        <v>82.923884726641518</v>
      </c>
      <c r="L11" s="227">
        <f>Model!O68-Model!N68</f>
        <v>87.986292130045513</v>
      </c>
      <c r="M11" s="227">
        <f>Model!P68-Model!O68</f>
        <v>93.357753659441414</v>
      </c>
      <c r="N11" s="227">
        <f>Model!Q68-Model!P68</f>
        <v>99.057136712330703</v>
      </c>
      <c r="O11" s="227">
        <f>Model!R68-Model!Q68</f>
        <v>105.10446051904341</v>
      </c>
      <c r="P11" s="227">
        <f>Model!S68-Model!R68</f>
        <v>111.52096646080463</v>
      </c>
      <c r="Q11" s="227">
        <f>Model!T68-Model!S68</f>
        <v>118.32919268063279</v>
      </c>
      <c r="R11" s="227">
        <f>Model!U68-Model!T68</f>
        <v>125.55305324915298</v>
      </c>
      <c r="S11" s="227">
        <f>Model!V68-Model!U68</f>
        <v>133.21792216338372</v>
      </c>
    </row>
    <row r="12" spans="1:20" ht="16.5" x14ac:dyDescent="0.3">
      <c r="E12" s="225"/>
      <c r="F12" s="27"/>
      <c r="G12" s="27"/>
      <c r="H12" s="27"/>
      <c r="I12" s="27"/>
      <c r="J12" s="27"/>
      <c r="K12" s="27"/>
      <c r="L12" s="27"/>
      <c r="M12" s="27"/>
      <c r="N12" s="27"/>
      <c r="O12" s="27"/>
      <c r="P12" s="27"/>
      <c r="Q12" s="27"/>
      <c r="R12" s="27"/>
      <c r="S12" s="27"/>
    </row>
    <row r="13" spans="1:20" ht="16.5" x14ac:dyDescent="0.3">
      <c r="D13" s="38" t="s">
        <v>325</v>
      </c>
      <c r="E13" s="228">
        <f>E9+E10-E11</f>
        <v>-316.83</v>
      </c>
      <c r="F13" s="228">
        <f>F9+F10-F11</f>
        <v>-1142.74</v>
      </c>
      <c r="G13" s="228">
        <f t="shared" ref="G13:M13" si="2">G9+G10-G11</f>
        <v>17.230000000000004</v>
      </c>
      <c r="H13" s="228">
        <f t="shared" si="2"/>
        <v>187.33999999999997</v>
      </c>
      <c r="I13" s="228">
        <f t="shared" si="2"/>
        <v>-289.14</v>
      </c>
      <c r="J13" s="228">
        <f t="shared" si="2"/>
        <v>582.09764308751437</v>
      </c>
      <c r="K13" s="228">
        <f t="shared" si="2"/>
        <v>-237.02900081172152</v>
      </c>
      <c r="L13" s="228">
        <f t="shared" si="2"/>
        <v>-251.49934759403118</v>
      </c>
      <c r="M13" s="228">
        <f t="shared" si="2"/>
        <v>-266.85309233727844</v>
      </c>
      <c r="N13" s="228">
        <f t="shared" ref="N13:S13" si="3">N9+N10-N11</f>
        <v>-283.14416546684606</v>
      </c>
      <c r="O13" s="228">
        <f t="shared" si="3"/>
        <v>-300.4297897983065</v>
      </c>
      <c r="P13" s="228">
        <f t="shared" si="3"/>
        <v>-318.7706815340448</v>
      </c>
      <c r="Q13" s="228">
        <f t="shared" si="3"/>
        <v>-338.23126353048383</v>
      </c>
      <c r="R13" s="228">
        <f t="shared" si="3"/>
        <v>-358.87989158504183</v>
      </c>
      <c r="S13" s="228">
        <f t="shared" si="3"/>
        <v>-380.78909453762958</v>
      </c>
    </row>
    <row r="14" spans="1:20" x14ac:dyDescent="0.25">
      <c r="E14" s="27"/>
      <c r="F14" s="27"/>
      <c r="G14" s="27"/>
      <c r="H14" s="27"/>
      <c r="I14" s="27"/>
      <c r="J14" s="27"/>
      <c r="K14" s="27"/>
      <c r="L14" s="27"/>
      <c r="M14" s="27"/>
      <c r="N14" s="27"/>
      <c r="O14" s="27"/>
      <c r="P14" s="27"/>
      <c r="Q14" s="27"/>
      <c r="R14" s="27"/>
      <c r="S14" s="27"/>
    </row>
    <row r="15" spans="1:20" ht="16.5" x14ac:dyDescent="0.3">
      <c r="D15" s="94" t="s">
        <v>326</v>
      </c>
      <c r="E15" s="229">
        <f>Model!H22</f>
        <v>55.210689462607199</v>
      </c>
      <c r="F15" s="229">
        <f>Model!I22</f>
        <v>72.600396439093672</v>
      </c>
      <c r="G15" s="229">
        <f>Model!J22</f>
        <v>60.974263943851504</v>
      </c>
      <c r="H15" s="229">
        <f>Model!K22</f>
        <v>56.148051957167972</v>
      </c>
      <c r="I15" s="229">
        <f>Model!L22</f>
        <v>53.85352715355377</v>
      </c>
      <c r="J15" s="229">
        <f>AVERAGE(E15:I15)</f>
        <v>59.757385791254819</v>
      </c>
      <c r="K15" s="229">
        <f>J15</f>
        <v>59.757385791254819</v>
      </c>
      <c r="L15" s="229">
        <f t="shared" ref="L15:S15" si="4">K15</f>
        <v>59.757385791254819</v>
      </c>
      <c r="M15" s="229">
        <f t="shared" si="4"/>
        <v>59.757385791254819</v>
      </c>
      <c r="N15" s="229">
        <f t="shared" si="4"/>
        <v>59.757385791254819</v>
      </c>
      <c r="O15" s="229">
        <f t="shared" si="4"/>
        <v>59.757385791254819</v>
      </c>
      <c r="P15" s="229">
        <f t="shared" si="4"/>
        <v>59.757385791254819</v>
      </c>
      <c r="Q15" s="229">
        <f t="shared" si="4"/>
        <v>59.757385791254819</v>
      </c>
      <c r="R15" s="229">
        <f t="shared" si="4"/>
        <v>59.757385791254819</v>
      </c>
      <c r="S15" s="229">
        <f t="shared" si="4"/>
        <v>59.757385791254819</v>
      </c>
    </row>
    <row r="16" spans="1:20" ht="16.5" x14ac:dyDescent="0.3">
      <c r="D16" s="95" t="s">
        <v>327</v>
      </c>
      <c r="E16" s="229">
        <f>Model!H23</f>
        <v>40.80048955238707</v>
      </c>
      <c r="F16" s="229">
        <f>Model!I23</f>
        <v>36.814699246153559</v>
      </c>
      <c r="G16" s="229">
        <f>Model!J23</f>
        <v>35.343362701908958</v>
      </c>
      <c r="H16" s="229">
        <f>Model!K23</f>
        <v>35.131645132224683</v>
      </c>
      <c r="I16" s="229">
        <f>Model!L23</f>
        <v>32.136517297055136</v>
      </c>
      <c r="J16" s="229">
        <f t="shared" ref="J16:J17" si="5">AVERAGE(E16:I16)</f>
        <v>36.045342785945877</v>
      </c>
      <c r="K16" s="229">
        <f>J16</f>
        <v>36.045342785945877</v>
      </c>
      <c r="L16" s="229">
        <f t="shared" ref="L16:S16" si="6">K16</f>
        <v>36.045342785945877</v>
      </c>
      <c r="M16" s="229">
        <f t="shared" si="6"/>
        <v>36.045342785945877</v>
      </c>
      <c r="N16" s="229">
        <f t="shared" si="6"/>
        <v>36.045342785945877</v>
      </c>
      <c r="O16" s="229">
        <f t="shared" si="6"/>
        <v>36.045342785945877</v>
      </c>
      <c r="P16" s="229">
        <f t="shared" si="6"/>
        <v>36.045342785945877</v>
      </c>
      <c r="Q16" s="229">
        <f t="shared" si="6"/>
        <v>36.045342785945877</v>
      </c>
      <c r="R16" s="229">
        <f t="shared" si="6"/>
        <v>36.045342785945877</v>
      </c>
      <c r="S16" s="229">
        <f t="shared" si="6"/>
        <v>36.045342785945877</v>
      </c>
    </row>
    <row r="17" spans="3:19" ht="16.5" x14ac:dyDescent="0.3">
      <c r="D17" s="94" t="s">
        <v>328</v>
      </c>
      <c r="E17" s="229">
        <f>Model!H24</f>
        <v>50.292295680949685</v>
      </c>
      <c r="F17" s="229">
        <f>Model!I24</f>
        <v>61.375900540197563</v>
      </c>
      <c r="G17" s="229">
        <f>Model!J24</f>
        <v>59.255418502202645</v>
      </c>
      <c r="H17" s="229">
        <f>Model!K24</f>
        <v>45.997781310962004</v>
      </c>
      <c r="I17" s="229">
        <f>Model!L24</f>
        <v>48.646132228737862</v>
      </c>
      <c r="J17" s="229">
        <f t="shared" si="5"/>
        <v>53.113505652609959</v>
      </c>
      <c r="K17" s="229">
        <f>J17</f>
        <v>53.113505652609959</v>
      </c>
      <c r="L17" s="229">
        <f t="shared" ref="L17:S17" si="7">K17</f>
        <v>53.113505652609959</v>
      </c>
      <c r="M17" s="229">
        <f t="shared" si="7"/>
        <v>53.113505652609959</v>
      </c>
      <c r="N17" s="229">
        <f t="shared" si="7"/>
        <v>53.113505652609959</v>
      </c>
      <c r="O17" s="229">
        <f t="shared" si="7"/>
        <v>53.113505652609959</v>
      </c>
      <c r="P17" s="229">
        <f t="shared" si="7"/>
        <v>53.113505652609959</v>
      </c>
      <c r="Q17" s="229">
        <f t="shared" si="7"/>
        <v>53.113505652609959</v>
      </c>
      <c r="R17" s="229">
        <f t="shared" si="7"/>
        <v>53.113505652609959</v>
      </c>
      <c r="S17" s="229">
        <f t="shared" si="7"/>
        <v>53.113505652609959</v>
      </c>
    </row>
    <row r="18" spans="3:19" ht="16.5" x14ac:dyDescent="0.3">
      <c r="E18" s="27"/>
      <c r="F18" s="227"/>
      <c r="G18" s="227"/>
      <c r="H18" s="227"/>
      <c r="I18" s="227"/>
      <c r="J18" s="227"/>
      <c r="K18" s="227"/>
      <c r="L18" s="227"/>
      <c r="M18" s="227"/>
      <c r="N18" s="27"/>
      <c r="O18" s="27"/>
      <c r="P18" s="27"/>
      <c r="Q18" s="27"/>
      <c r="R18" s="27"/>
      <c r="S18" s="27"/>
    </row>
    <row r="19" spans="3:19" ht="16.5" x14ac:dyDescent="0.3">
      <c r="C19" s="191" t="s">
        <v>329</v>
      </c>
      <c r="E19" s="227">
        <f>E15+E16-E17</f>
        <v>45.718883334044584</v>
      </c>
      <c r="F19" s="227">
        <f>F15+F16-F17</f>
        <v>48.039195145049661</v>
      </c>
      <c r="G19" s="227">
        <f t="shared" ref="G19:S19" si="8">G15+G16-G17</f>
        <v>37.062208143557825</v>
      </c>
      <c r="H19" s="227">
        <f t="shared" si="8"/>
        <v>45.281915778430651</v>
      </c>
      <c r="I19" s="227">
        <f t="shared" si="8"/>
        <v>37.343912221871044</v>
      </c>
      <c r="J19" s="227">
        <f t="shared" si="8"/>
        <v>42.689222924590737</v>
      </c>
      <c r="K19" s="227">
        <f t="shared" si="8"/>
        <v>42.689222924590737</v>
      </c>
      <c r="L19" s="227">
        <f t="shared" si="8"/>
        <v>42.689222924590737</v>
      </c>
      <c r="M19" s="227">
        <f t="shared" si="8"/>
        <v>42.689222924590737</v>
      </c>
      <c r="N19" s="227">
        <f t="shared" si="8"/>
        <v>42.689222924590737</v>
      </c>
      <c r="O19" s="227">
        <f t="shared" si="8"/>
        <v>42.689222924590737</v>
      </c>
      <c r="P19" s="227">
        <f t="shared" si="8"/>
        <v>42.689222924590737</v>
      </c>
      <c r="Q19" s="227">
        <f t="shared" si="8"/>
        <v>42.689222924590737</v>
      </c>
      <c r="R19" s="227">
        <f t="shared" si="8"/>
        <v>42.689222924590737</v>
      </c>
      <c r="S19" s="227">
        <f t="shared" si="8"/>
        <v>42.689222924590737</v>
      </c>
    </row>
  </sheetData>
  <pageMargins left="0.7" right="0.7" top="0.75" bottom="0.75" header="0.3" footer="0.3"/>
  <pageSetup orientation="portrait" horizontalDpi="300" verticalDpi="0"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W26"/>
  <sheetViews>
    <sheetView showGridLines="0" topLeftCell="C13" zoomScaleNormal="100" workbookViewId="0">
      <selection activeCell="U13" sqref="U13"/>
    </sheetView>
  </sheetViews>
  <sheetFormatPr defaultRowHeight="15" x14ac:dyDescent="0.25"/>
  <cols>
    <col min="1" max="3" width="1.140625" customWidth="1"/>
    <col min="4" max="4" width="30" customWidth="1"/>
    <col min="8" max="8" width="11" customWidth="1"/>
    <col min="9" max="9" width="13.28515625" customWidth="1"/>
    <col min="10" max="10" width="16.140625" customWidth="1"/>
    <col min="11" max="11" width="13.140625" customWidth="1"/>
    <col min="12" max="12" width="15.85546875" customWidth="1"/>
    <col min="13" max="13" width="13.42578125" customWidth="1"/>
    <col min="14" max="14" width="11" customWidth="1"/>
    <col min="16" max="16" width="11.28515625" customWidth="1"/>
    <col min="17" max="17" width="10.42578125" customWidth="1"/>
    <col min="18" max="18" width="12" customWidth="1"/>
    <col min="21" max="21" width="14" customWidth="1"/>
  </cols>
  <sheetData>
    <row r="6" spans="1:23" ht="26.25" x14ac:dyDescent="0.4">
      <c r="A6" s="115" t="str">
        <f>Model!A6</f>
        <v>CESC Limited</v>
      </c>
      <c r="B6" s="112"/>
      <c r="C6" s="112"/>
      <c r="D6" s="112"/>
      <c r="E6" s="112"/>
      <c r="F6" s="112"/>
      <c r="G6" s="112"/>
      <c r="H6" s="112"/>
      <c r="I6" s="112"/>
      <c r="J6" s="112"/>
      <c r="K6" s="112"/>
      <c r="L6" s="112"/>
      <c r="M6" s="112"/>
      <c r="N6" s="112"/>
      <c r="O6" s="112"/>
      <c r="P6" s="112"/>
      <c r="Q6" s="112"/>
      <c r="R6" s="112"/>
      <c r="S6" s="112"/>
      <c r="T6" s="112"/>
      <c r="U6" s="112"/>
      <c r="V6" s="112"/>
      <c r="W6" s="112"/>
    </row>
    <row r="7" spans="1:23" ht="18.75" x14ac:dyDescent="0.3">
      <c r="A7" s="147">
        <v>0.7</v>
      </c>
      <c r="B7" s="112"/>
      <c r="C7" s="112"/>
      <c r="D7" s="112"/>
      <c r="E7" s="112"/>
      <c r="F7" s="112"/>
      <c r="G7" s="112"/>
      <c r="H7" s="112"/>
      <c r="I7" s="112"/>
      <c r="J7" s="112"/>
      <c r="K7" s="112"/>
      <c r="L7" s="112"/>
      <c r="M7" s="112"/>
      <c r="N7" s="112"/>
      <c r="O7" s="112"/>
      <c r="P7" s="112"/>
      <c r="Q7" s="112"/>
      <c r="R7" s="112"/>
      <c r="S7" s="112"/>
      <c r="T7" s="112"/>
      <c r="U7" s="112"/>
      <c r="V7" s="112"/>
      <c r="W7" s="112"/>
    </row>
    <row r="9" spans="1:23" x14ac:dyDescent="0.25">
      <c r="A9" s="113"/>
      <c r="B9" s="113"/>
      <c r="C9" s="113"/>
      <c r="D9" s="148"/>
      <c r="E9" s="148"/>
      <c r="F9" s="148"/>
      <c r="G9" s="148"/>
      <c r="H9" s="148"/>
      <c r="I9" s="274" t="s">
        <v>317</v>
      </c>
      <c r="J9" s="274"/>
      <c r="K9" s="274"/>
      <c r="L9" s="274"/>
      <c r="M9" s="274"/>
      <c r="N9" s="274"/>
      <c r="O9" s="148"/>
      <c r="P9" s="274" t="s">
        <v>318</v>
      </c>
      <c r="Q9" s="274"/>
      <c r="R9" s="274"/>
      <c r="S9" s="148"/>
      <c r="T9" s="274" t="s">
        <v>319</v>
      </c>
      <c r="U9" s="274"/>
      <c r="V9" s="274"/>
      <c r="W9" s="148"/>
    </row>
    <row r="10" spans="1:23" x14ac:dyDescent="0.25">
      <c r="A10" s="113"/>
      <c r="B10" s="113"/>
      <c r="C10" s="113"/>
      <c r="D10" s="149" t="s">
        <v>234</v>
      </c>
      <c r="E10" s="149"/>
      <c r="F10" s="149"/>
      <c r="G10" s="148"/>
      <c r="H10" s="149" t="s">
        <v>254</v>
      </c>
      <c r="I10" s="149" t="s">
        <v>235</v>
      </c>
      <c r="J10" s="149" t="s">
        <v>236</v>
      </c>
      <c r="K10" s="149" t="s">
        <v>237</v>
      </c>
      <c r="L10" s="149" t="s">
        <v>153</v>
      </c>
      <c r="M10" s="149" t="s">
        <v>140</v>
      </c>
      <c r="N10" s="149" t="s">
        <v>238</v>
      </c>
      <c r="O10" s="149"/>
      <c r="P10" s="149" t="s">
        <v>239</v>
      </c>
      <c r="Q10" s="149" t="s">
        <v>129</v>
      </c>
      <c r="R10" s="149" t="s">
        <v>240</v>
      </c>
      <c r="S10" s="149"/>
      <c r="T10" s="149" t="s">
        <v>241</v>
      </c>
      <c r="U10" s="149" t="s">
        <v>225</v>
      </c>
      <c r="V10" s="149" t="s">
        <v>242</v>
      </c>
      <c r="W10" s="148"/>
    </row>
    <row r="11" spans="1:23" ht="16.5" x14ac:dyDescent="0.3">
      <c r="D11" s="28" t="s">
        <v>244</v>
      </c>
      <c r="E11" s="28"/>
      <c r="F11" s="28"/>
      <c r="H11" s="28" t="s">
        <v>245</v>
      </c>
      <c r="I11" s="69">
        <v>1700</v>
      </c>
      <c r="J11" s="69">
        <v>48.058</v>
      </c>
      <c r="K11" s="28">
        <f t="shared" ref="K11:K14" si="0">J11*I11</f>
        <v>81698.600000000006</v>
      </c>
      <c r="L11" s="69">
        <v>11711.35</v>
      </c>
      <c r="M11" s="69">
        <v>353.56399999999996</v>
      </c>
      <c r="N11" s="28">
        <f t="shared" ref="N11:N14" si="1">L11+K11-M11</f>
        <v>93056.386000000013</v>
      </c>
      <c r="O11" s="28"/>
      <c r="P11" s="69">
        <v>29086.894</v>
      </c>
      <c r="Q11" s="69">
        <v>5367.0309999999999</v>
      </c>
      <c r="R11" s="69">
        <v>2303.8490000000002</v>
      </c>
      <c r="T11" s="65">
        <f t="shared" ref="T11:T14" si="2">N11/P11</f>
        <v>3.1992548259020031</v>
      </c>
      <c r="U11" s="65">
        <f t="shared" ref="U11:U14" si="3">N11/Q11</f>
        <v>17.338522173618898</v>
      </c>
      <c r="V11" s="65">
        <f t="shared" ref="V11:V14" si="4">K11/R11</f>
        <v>35.461785906975678</v>
      </c>
    </row>
    <row r="12" spans="1:23" ht="16.5" x14ac:dyDescent="0.3">
      <c r="D12" s="28" t="s">
        <v>247</v>
      </c>
      <c r="E12" s="28"/>
      <c r="F12" s="28"/>
      <c r="H12" s="28" t="s">
        <v>248</v>
      </c>
      <c r="I12" s="69">
        <v>131.99</v>
      </c>
      <c r="J12" s="69">
        <v>392.50400000000002</v>
      </c>
      <c r="K12" s="28">
        <f t="shared" si="0"/>
        <v>51806.602960000004</v>
      </c>
      <c r="L12" s="69">
        <v>20462.189999999999</v>
      </c>
      <c r="M12" s="69">
        <v>347.447</v>
      </c>
      <c r="N12" s="28">
        <f t="shared" si="1"/>
        <v>71921.345960000006</v>
      </c>
      <c r="O12" s="28"/>
      <c r="P12" s="69">
        <v>2793.9279999999999</v>
      </c>
      <c r="Q12" s="69">
        <v>2005.4569999999999</v>
      </c>
      <c r="R12" s="69">
        <v>1003.597</v>
      </c>
      <c r="T12" s="65">
        <f t="shared" si="2"/>
        <v>25.742018391311447</v>
      </c>
      <c r="U12" s="65">
        <f t="shared" si="3"/>
        <v>35.862821272158918</v>
      </c>
      <c r="V12" s="65">
        <f t="shared" si="4"/>
        <v>51.620922501761171</v>
      </c>
    </row>
    <row r="13" spans="1:23" ht="16.5" x14ac:dyDescent="0.3">
      <c r="D13" s="28" t="s">
        <v>250</v>
      </c>
      <c r="E13" s="28"/>
      <c r="F13" s="28"/>
      <c r="H13" s="28">
        <v>540565</v>
      </c>
      <c r="I13" s="69">
        <v>140.12</v>
      </c>
      <c r="J13" s="69">
        <v>75.385000000000005</v>
      </c>
      <c r="K13" s="28">
        <f t="shared" si="0"/>
        <v>10562.9462</v>
      </c>
      <c r="L13" s="69">
        <v>0</v>
      </c>
      <c r="M13" s="69">
        <v>0</v>
      </c>
      <c r="N13" s="28">
        <f t="shared" si="1"/>
        <v>10562.9462</v>
      </c>
      <c r="O13" s="28"/>
      <c r="P13" s="69">
        <v>3090.85</v>
      </c>
      <c r="Q13" s="69">
        <v>2564.0259999999998</v>
      </c>
      <c r="R13" s="69">
        <v>317.46600000000001</v>
      </c>
      <c r="T13" s="65">
        <f t="shared" si="2"/>
        <v>3.4174891049387712</v>
      </c>
      <c r="U13" s="65">
        <f t="shared" si="3"/>
        <v>4.119672031406858</v>
      </c>
      <c r="V13" s="65">
        <f t="shared" si="4"/>
        <v>33.272684948939414</v>
      </c>
    </row>
    <row r="14" spans="1:23" ht="16.5" x14ac:dyDescent="0.3">
      <c r="D14" s="28" t="s">
        <v>252</v>
      </c>
      <c r="E14" s="28"/>
      <c r="F14" s="28"/>
      <c r="H14" s="28">
        <v>500390</v>
      </c>
      <c r="I14" s="69">
        <v>213.09</v>
      </c>
      <c r="J14" s="69">
        <v>38.822000000000003</v>
      </c>
      <c r="K14" s="28">
        <f t="shared" si="0"/>
        <v>8272.5799800000004</v>
      </c>
      <c r="L14" s="69">
        <v>9807.9509999999991</v>
      </c>
      <c r="M14" s="69">
        <v>1734.8560000000002</v>
      </c>
      <c r="N14" s="28">
        <f t="shared" si="1"/>
        <v>16345.67498</v>
      </c>
      <c r="O14" s="28"/>
      <c r="P14" s="69">
        <v>23831.053</v>
      </c>
      <c r="Q14" s="69">
        <v>5159.9089999999997</v>
      </c>
      <c r="R14" s="69">
        <v>-1177.538</v>
      </c>
      <c r="T14" s="65">
        <f t="shared" si="2"/>
        <v>0.68589814222644718</v>
      </c>
      <c r="U14" s="65">
        <f t="shared" si="3"/>
        <v>3.1678223356264619</v>
      </c>
      <c r="V14" s="65">
        <f t="shared" si="4"/>
        <v>-7.0253189111519125</v>
      </c>
    </row>
    <row r="15" spans="1:23" ht="16.5" x14ac:dyDescent="0.3">
      <c r="D15" s="28"/>
      <c r="E15" s="28"/>
      <c r="F15" s="28"/>
      <c r="H15" s="27"/>
      <c r="I15" s="28"/>
      <c r="J15" s="28"/>
      <c r="K15" s="28"/>
      <c r="L15" s="28"/>
      <c r="M15" s="28"/>
      <c r="N15" s="28"/>
      <c r="O15" s="28"/>
      <c r="P15" s="28"/>
      <c r="Q15" s="28"/>
      <c r="R15" s="28"/>
    </row>
    <row r="16" spans="1:23" s="3" customFormat="1" ht="16.5" x14ac:dyDescent="0.3">
      <c r="A16" s="113"/>
      <c r="B16" s="113"/>
      <c r="C16" s="113"/>
      <c r="D16" s="240" t="s">
        <v>227</v>
      </c>
      <c r="E16" s="240"/>
      <c r="F16" s="240"/>
      <c r="G16" s="112"/>
      <c r="H16" s="241"/>
      <c r="I16" s="240"/>
      <c r="J16" s="240"/>
      <c r="K16" s="240"/>
      <c r="L16" s="240"/>
      <c r="M16" s="240"/>
      <c r="N16" s="240"/>
      <c r="O16" s="240"/>
      <c r="P16" s="240"/>
      <c r="Q16" s="240"/>
      <c r="R16" s="240"/>
      <c r="S16" s="112"/>
      <c r="T16" s="242">
        <f>AVERAGE(T11:T14)</f>
        <v>8.2611651160946682</v>
      </c>
      <c r="U16" s="242">
        <f>AVERAGE(U11:U14)</f>
        <v>15.122209453202784</v>
      </c>
      <c r="V16" s="242">
        <f>AVERAGE(V11:V14)</f>
        <v>28.332518611631087</v>
      </c>
      <c r="W16" s="113"/>
    </row>
    <row r="17" spans="1:23" s="3" customFormat="1" ht="16.5" x14ac:dyDescent="0.3">
      <c r="A17" s="113"/>
      <c r="B17" s="113"/>
      <c r="C17" s="113"/>
      <c r="D17" s="240" t="s">
        <v>260</v>
      </c>
      <c r="E17" s="240"/>
      <c r="F17" s="240"/>
      <c r="G17" s="112"/>
      <c r="H17" s="241"/>
      <c r="I17" s="240"/>
      <c r="J17" s="240"/>
      <c r="K17" s="240"/>
      <c r="L17" s="240"/>
      <c r="M17" s="240"/>
      <c r="N17" s="240"/>
      <c r="O17" s="240"/>
      <c r="P17" s="240"/>
      <c r="Q17" s="240"/>
      <c r="R17" s="240"/>
      <c r="S17" s="112"/>
      <c r="T17" s="242">
        <f>MEDIAN(T11:T14)</f>
        <v>3.3083719654203874</v>
      </c>
      <c r="U17" s="242">
        <f>MEDIAN(U11:U14)</f>
        <v>10.729097102512878</v>
      </c>
      <c r="V17" s="242">
        <f>MEDIAN(V11:V14)</f>
        <v>34.367235427957546</v>
      </c>
      <c r="W17" s="113"/>
    </row>
    <row r="18" spans="1:23" ht="16.5" x14ac:dyDescent="0.3">
      <c r="D18" s="28"/>
      <c r="E18" s="28"/>
      <c r="F18" s="28"/>
      <c r="H18" s="27"/>
      <c r="I18" s="28"/>
      <c r="J18" s="28"/>
      <c r="K18" s="28"/>
      <c r="L18" s="28"/>
      <c r="M18" s="28"/>
      <c r="N18" s="28"/>
      <c r="O18" s="28"/>
      <c r="P18" s="28"/>
      <c r="Q18" s="28"/>
      <c r="R18" s="28"/>
      <c r="T18" s="24"/>
      <c r="U18" s="24"/>
      <c r="V18" s="24"/>
    </row>
    <row r="19" spans="1:23" ht="16.5" x14ac:dyDescent="0.3">
      <c r="D19" s="28" t="s">
        <v>119</v>
      </c>
      <c r="E19" s="28"/>
      <c r="F19" s="28"/>
      <c r="H19" s="27" t="s">
        <v>243</v>
      </c>
      <c r="I19" s="69">
        <v>185.98</v>
      </c>
      <c r="J19" s="69">
        <v>132.60399999999998</v>
      </c>
      <c r="K19" s="28">
        <f>J19*I19</f>
        <v>24661.691919999997</v>
      </c>
      <c r="L19" s="69">
        <v>14643.094000000001</v>
      </c>
      <c r="M19" s="69">
        <v>1285.3200000000002</v>
      </c>
      <c r="N19" s="28">
        <f t="shared" ref="N19" si="5">L19+K19-M19</f>
        <v>38019.465919999995</v>
      </c>
      <c r="O19" s="28"/>
      <c r="P19" s="69">
        <v>15954.582</v>
      </c>
      <c r="Q19" s="69">
        <v>1957.5639999999999</v>
      </c>
      <c r="R19" s="69">
        <v>1416.9749999999999</v>
      </c>
      <c r="T19" s="65">
        <f>N19/P19</f>
        <v>2.3829810094680006</v>
      </c>
      <c r="U19" s="65">
        <f>N19/Q19</f>
        <v>19.421825248114491</v>
      </c>
      <c r="V19" s="65">
        <f>K19/R19</f>
        <v>17.404465089362901</v>
      </c>
    </row>
    <row r="20" spans="1:23" ht="16.5" x14ac:dyDescent="0.3">
      <c r="D20" s="28"/>
      <c r="E20" s="28"/>
      <c r="F20" s="28"/>
      <c r="H20" s="27"/>
      <c r="I20" s="28"/>
      <c r="J20" s="28"/>
      <c r="K20" s="28"/>
      <c r="L20" s="28"/>
      <c r="M20" s="28"/>
      <c r="N20" s="28"/>
      <c r="O20" s="28"/>
      <c r="P20" s="28"/>
      <c r="Q20" s="28"/>
      <c r="R20" s="28"/>
    </row>
    <row r="21" spans="1:23" ht="16.5" x14ac:dyDescent="0.3">
      <c r="D21" s="28"/>
      <c r="E21" s="28"/>
      <c r="F21" s="28"/>
      <c r="H21" s="27"/>
      <c r="I21" s="28"/>
      <c r="J21" s="28"/>
      <c r="K21" s="28"/>
      <c r="L21" s="28"/>
      <c r="M21" s="28"/>
      <c r="N21" s="28"/>
      <c r="O21" s="28"/>
      <c r="P21" s="28"/>
      <c r="Q21" s="28"/>
      <c r="R21" s="28"/>
    </row>
    <row r="22" spans="1:23" ht="16.5" x14ac:dyDescent="0.3">
      <c r="A22" s="113"/>
      <c r="B22" s="113"/>
      <c r="C22" s="113"/>
      <c r="D22" s="149" t="s">
        <v>261</v>
      </c>
      <c r="E22" s="149"/>
      <c r="F22" s="149"/>
      <c r="G22" s="148"/>
      <c r="H22" s="150"/>
      <c r="I22" s="151" t="s">
        <v>320</v>
      </c>
      <c r="J22" s="149" t="s">
        <v>238</v>
      </c>
      <c r="K22" s="149" t="s">
        <v>263</v>
      </c>
      <c r="L22" s="149" t="s">
        <v>232</v>
      </c>
      <c r="M22" s="149" t="s">
        <v>264</v>
      </c>
      <c r="N22" s="149" t="s">
        <v>265</v>
      </c>
      <c r="O22" s="28"/>
      <c r="P22" s="28"/>
      <c r="Q22" s="28"/>
      <c r="R22" s="28"/>
    </row>
    <row r="23" spans="1:23" ht="16.5" x14ac:dyDescent="0.3">
      <c r="D23" s="28" t="s">
        <v>262</v>
      </c>
      <c r="E23" s="28"/>
      <c r="F23" s="28"/>
      <c r="H23" s="27"/>
      <c r="I23" s="189">
        <f>T17</f>
        <v>3.3083719654203874</v>
      </c>
      <c r="J23" s="28">
        <f>P19</f>
        <v>15954.582</v>
      </c>
      <c r="K23" s="28">
        <f>L19-M19</f>
        <v>13357.774000000001</v>
      </c>
      <c r="L23" s="28">
        <f>J23-K23</f>
        <v>2596.8079999999991</v>
      </c>
      <c r="M23" s="28">
        <f>$J$19</f>
        <v>132.60399999999998</v>
      </c>
      <c r="N23" s="28">
        <f>L23/M23</f>
        <v>19.583179994570294</v>
      </c>
      <c r="O23" s="28"/>
      <c r="P23" s="28"/>
      <c r="Q23" s="28"/>
      <c r="R23" s="28"/>
    </row>
    <row r="24" spans="1:23" ht="16.5" x14ac:dyDescent="0.3">
      <c r="D24" s="28" t="s">
        <v>225</v>
      </c>
      <c r="E24" s="28"/>
      <c r="F24" s="28"/>
      <c r="H24" s="27"/>
      <c r="I24" s="189">
        <f>U17</f>
        <v>10.729097102512878</v>
      </c>
      <c r="J24" s="28">
        <f>Q19*I24</f>
        <v>21002.894240383517</v>
      </c>
      <c r="K24" s="28">
        <f>K23</f>
        <v>13357.774000000001</v>
      </c>
      <c r="L24" s="28">
        <f>J24-K24</f>
        <v>7645.1202403835159</v>
      </c>
      <c r="M24" s="28">
        <f>$J$19</f>
        <v>132.60399999999998</v>
      </c>
      <c r="N24" s="28">
        <f t="shared" ref="N24:N25" si="6">L24/M24</f>
        <v>57.653767913362472</v>
      </c>
      <c r="O24" s="28"/>
      <c r="P24" s="28"/>
      <c r="Q24" s="28"/>
      <c r="R24" s="28"/>
    </row>
    <row r="25" spans="1:23" ht="16.5" x14ac:dyDescent="0.3">
      <c r="D25" s="28" t="s">
        <v>242</v>
      </c>
      <c r="E25" s="28"/>
      <c r="F25" s="28"/>
      <c r="H25" s="27"/>
      <c r="I25" s="189">
        <f>V17</f>
        <v>34.367235427957546</v>
      </c>
      <c r="J25" s="28">
        <f>K25+L25</f>
        <v>62055.287420530149</v>
      </c>
      <c r="K25" s="28">
        <f>K23</f>
        <v>13357.774000000001</v>
      </c>
      <c r="L25" s="28">
        <f>I25*R19</f>
        <v>48697.513420530144</v>
      </c>
      <c r="M25" s="28">
        <f>$J$19</f>
        <v>132.60399999999998</v>
      </c>
      <c r="N25" s="28">
        <f t="shared" si="6"/>
        <v>367.24015429798612</v>
      </c>
      <c r="O25" s="28"/>
      <c r="P25" s="28"/>
      <c r="Q25" s="28"/>
      <c r="R25" s="28"/>
    </row>
    <row r="26" spans="1:23" x14ac:dyDescent="0.25">
      <c r="H26" s="27"/>
      <c r="I26" s="27"/>
      <c r="J26" s="27"/>
      <c r="K26" s="27"/>
      <c r="L26" s="27"/>
      <c r="M26" s="27"/>
      <c r="N26" s="27"/>
      <c r="O26" s="27"/>
      <c r="P26" s="27"/>
      <c r="Q26" s="27"/>
      <c r="R26" s="27"/>
    </row>
  </sheetData>
  <mergeCells count="3">
    <mergeCell ref="I9:N9"/>
    <mergeCell ref="P9:R9"/>
    <mergeCell ref="T9:V9"/>
  </mergeCells>
  <pageMargins left="0.7" right="0.7" top="0.75" bottom="0.75" header="0.3" footer="0.3"/>
  <pageSetup orientation="portrait" horizontalDpi="300" verticalDpi="0" copies="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5597-D673-4628-A7FE-6169F695074E}">
  <dimension ref="A6:M15"/>
  <sheetViews>
    <sheetView showGridLines="0" topLeftCell="B1" zoomScaleNormal="100" workbookViewId="0">
      <selection activeCell="G12" sqref="G12"/>
    </sheetView>
  </sheetViews>
  <sheetFormatPr defaultRowHeight="15" x14ac:dyDescent="0.25"/>
  <cols>
    <col min="1" max="3" width="1.28515625" customWidth="1"/>
    <col min="4" max="4" width="46.42578125" customWidth="1"/>
    <col min="5" max="5" width="17.7109375" customWidth="1"/>
    <col min="6" max="12" width="15.28515625" customWidth="1"/>
  </cols>
  <sheetData>
    <row r="6" spans="1:13" ht="26.25" x14ac:dyDescent="0.4">
      <c r="A6" s="115" t="str">
        <f>Model!A6</f>
        <v>CESC Limited</v>
      </c>
      <c r="B6" s="112"/>
      <c r="C6" s="112"/>
      <c r="D6" s="112"/>
      <c r="E6" s="112"/>
      <c r="F6" s="112"/>
      <c r="G6" s="112"/>
      <c r="H6" s="112"/>
      <c r="I6" s="112"/>
      <c r="J6" s="112"/>
      <c r="K6" s="112"/>
      <c r="L6" s="112"/>
      <c r="M6" s="112"/>
    </row>
    <row r="7" spans="1:13" ht="23.25" x14ac:dyDescent="0.35">
      <c r="A7" s="146" t="s">
        <v>322</v>
      </c>
      <c r="B7" s="112"/>
      <c r="C7" s="112"/>
      <c r="D7" s="112"/>
      <c r="E7" s="112"/>
      <c r="F7" s="112"/>
      <c r="G7" s="112"/>
      <c r="H7" s="112"/>
      <c r="I7" s="112"/>
      <c r="J7" s="112"/>
      <c r="K7" s="112"/>
      <c r="L7" s="112"/>
      <c r="M7" s="112"/>
    </row>
    <row r="9" spans="1:13" x14ac:dyDescent="0.25">
      <c r="D9" s="152" t="s">
        <v>321</v>
      </c>
      <c r="E9" s="152" t="s">
        <v>254</v>
      </c>
      <c r="F9" s="152" t="s">
        <v>235</v>
      </c>
      <c r="G9" s="152" t="s">
        <v>236</v>
      </c>
      <c r="H9" s="152" t="s">
        <v>255</v>
      </c>
      <c r="I9" s="152" t="s">
        <v>256</v>
      </c>
      <c r="J9" s="152" t="s">
        <v>257</v>
      </c>
      <c r="K9" s="152" t="s">
        <v>129</v>
      </c>
      <c r="L9" s="152" t="s">
        <v>258</v>
      </c>
      <c r="M9" s="152" t="s">
        <v>259</v>
      </c>
    </row>
    <row r="10" spans="1:13" ht="16.5" x14ac:dyDescent="0.3">
      <c r="D10" s="71" t="s">
        <v>119</v>
      </c>
      <c r="E10" s="70" t="s">
        <v>243</v>
      </c>
      <c r="F10" s="145">
        <v>185.98</v>
      </c>
      <c r="G10" s="145">
        <v>132.60399999999998</v>
      </c>
      <c r="H10" s="145">
        <v>14643.094000000001</v>
      </c>
      <c r="I10" s="145">
        <v>1285.3200000000002</v>
      </c>
      <c r="J10" s="145">
        <v>15954.582</v>
      </c>
      <c r="K10" s="145">
        <v>1957.5639999999999</v>
      </c>
      <c r="L10" s="145">
        <v>1416.9749999999999</v>
      </c>
      <c r="M10" s="72">
        <v>0.15490000000000001</v>
      </c>
    </row>
    <row r="11" spans="1:13" ht="16.5" x14ac:dyDescent="0.3">
      <c r="D11" s="71"/>
      <c r="E11" s="70"/>
      <c r="F11" s="145"/>
      <c r="G11" s="145"/>
      <c r="H11" s="145"/>
      <c r="I11" s="145"/>
      <c r="J11" s="145"/>
      <c r="K11" s="145"/>
      <c r="L11" s="145"/>
      <c r="M11" s="72"/>
    </row>
    <row r="12" spans="1:13" ht="16.5" x14ac:dyDescent="0.3">
      <c r="D12" s="71" t="s">
        <v>244</v>
      </c>
      <c r="E12" s="70" t="s">
        <v>245</v>
      </c>
      <c r="F12" s="145" t="s">
        <v>246</v>
      </c>
      <c r="G12" s="145">
        <v>48.058</v>
      </c>
      <c r="H12" s="145">
        <v>11711.35</v>
      </c>
      <c r="I12" s="145">
        <v>353.56399999999996</v>
      </c>
      <c r="J12" s="145">
        <v>29086.894</v>
      </c>
      <c r="K12" s="145">
        <v>5367.0309999999999</v>
      </c>
      <c r="L12" s="145">
        <v>2303.8490000000002</v>
      </c>
      <c r="M12" s="72">
        <v>0.25919999999999999</v>
      </c>
    </row>
    <row r="13" spans="1:13" ht="16.5" x14ac:dyDescent="0.3">
      <c r="D13" s="71" t="s">
        <v>247</v>
      </c>
      <c r="E13" s="70" t="s">
        <v>248</v>
      </c>
      <c r="F13" s="145" t="s">
        <v>249</v>
      </c>
      <c r="G13" s="145">
        <v>392.50400000000002</v>
      </c>
      <c r="H13" s="145">
        <v>20462.189999999999</v>
      </c>
      <c r="I13" s="145">
        <v>347.447</v>
      </c>
      <c r="J13" s="145">
        <v>2793.9279999999999</v>
      </c>
      <c r="K13" s="145">
        <v>2005.4569999999999</v>
      </c>
      <c r="L13" s="145">
        <v>1003.597</v>
      </c>
      <c r="M13" s="72">
        <v>0.21640000000000001</v>
      </c>
    </row>
    <row r="14" spans="1:13" ht="16.5" x14ac:dyDescent="0.3">
      <c r="D14" s="71" t="s">
        <v>250</v>
      </c>
      <c r="E14" s="70">
        <v>540565</v>
      </c>
      <c r="F14" s="145" t="s">
        <v>251</v>
      </c>
      <c r="G14" s="145">
        <v>75.385000000000005</v>
      </c>
      <c r="H14" s="145">
        <v>0</v>
      </c>
      <c r="I14" s="145">
        <v>0</v>
      </c>
      <c r="J14" s="145">
        <v>3090.85</v>
      </c>
      <c r="K14" s="145">
        <v>2564.0259999999998</v>
      </c>
      <c r="L14" s="145">
        <v>317.46600000000001</v>
      </c>
      <c r="M14" s="72">
        <v>5.8099999999999999E-2</v>
      </c>
    </row>
    <row r="15" spans="1:13" ht="16.5" x14ac:dyDescent="0.3">
      <c r="D15" s="71" t="s">
        <v>252</v>
      </c>
      <c r="E15" s="70">
        <v>500390</v>
      </c>
      <c r="F15" s="145" t="s">
        <v>253</v>
      </c>
      <c r="G15" s="145">
        <v>38.822000000000003</v>
      </c>
      <c r="H15" s="145">
        <v>9807.9509999999991</v>
      </c>
      <c r="I15" s="145">
        <v>1734.8560000000002</v>
      </c>
      <c r="J15" s="145">
        <v>23831.053</v>
      </c>
      <c r="K15" s="145">
        <v>5159.9089999999997</v>
      </c>
      <c r="L15" s="145">
        <v>-1177.538</v>
      </c>
      <c r="M15" s="72">
        <v>-5.0200000000000002E-2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A508-A530-4C04-A42D-D754BF481F25}">
  <dimension ref="A6:J2672"/>
  <sheetViews>
    <sheetView showGridLines="0" topLeftCell="A10" workbookViewId="0">
      <selection activeCell="I14" sqref="I14"/>
    </sheetView>
  </sheetViews>
  <sheetFormatPr defaultRowHeight="15" x14ac:dyDescent="0.25"/>
  <cols>
    <col min="2" max="2" width="11.28515625" bestFit="1" customWidth="1"/>
    <col min="5" max="5" width="12.5703125" customWidth="1"/>
    <col min="8" max="8" width="15.28515625" customWidth="1"/>
    <col min="9" max="9" width="10.5703125" bestFit="1" customWidth="1"/>
    <col min="10" max="10" width="12.85546875" customWidth="1"/>
  </cols>
  <sheetData>
    <row r="6" spans="1:10" ht="31.5" x14ac:dyDescent="0.5">
      <c r="A6" s="115" t="str">
        <f>Model!A6</f>
        <v>CESC Limited</v>
      </c>
      <c r="B6" s="118"/>
      <c r="C6" s="121"/>
      <c r="D6" s="121"/>
      <c r="E6" s="121"/>
      <c r="F6" s="121"/>
      <c r="G6" s="121"/>
      <c r="H6" s="121"/>
      <c r="I6" s="121"/>
      <c r="J6" s="121"/>
    </row>
    <row r="7" spans="1:10" ht="23.25" x14ac:dyDescent="0.35">
      <c r="A7" s="146" t="s">
        <v>266</v>
      </c>
      <c r="B7" s="121"/>
      <c r="C7" s="121"/>
      <c r="D7" s="121"/>
      <c r="E7" s="121"/>
      <c r="F7" s="121"/>
      <c r="G7" s="121"/>
      <c r="H7" s="121"/>
      <c r="I7" s="121"/>
      <c r="J7" s="121"/>
    </row>
    <row r="10" spans="1:10" x14ac:dyDescent="0.25">
      <c r="B10" s="148"/>
      <c r="C10" s="148"/>
      <c r="D10" s="148"/>
      <c r="E10" s="148" t="s">
        <v>268</v>
      </c>
      <c r="F10" s="148"/>
      <c r="G10" s="148"/>
      <c r="H10" s="148"/>
      <c r="I10" s="148"/>
    </row>
    <row r="11" spans="1:10" x14ac:dyDescent="0.25">
      <c r="B11" s="148" t="s">
        <v>267</v>
      </c>
      <c r="C11" s="148"/>
      <c r="D11" s="148"/>
      <c r="E11" s="148" t="s">
        <v>269</v>
      </c>
      <c r="F11" s="148"/>
      <c r="G11" s="148"/>
      <c r="H11" s="148" t="s">
        <v>268</v>
      </c>
      <c r="I11" s="148" t="s">
        <v>270</v>
      </c>
    </row>
    <row r="12" spans="1:10" ht="16.5" x14ac:dyDescent="0.3">
      <c r="B12" s="236">
        <v>45660</v>
      </c>
      <c r="C12" s="237"/>
      <c r="D12" s="237"/>
      <c r="E12" s="238">
        <v>24004.75</v>
      </c>
    </row>
    <row r="13" spans="1:10" ht="16.5" x14ac:dyDescent="0.3">
      <c r="B13" s="236">
        <v>45659</v>
      </c>
      <c r="C13" s="237"/>
      <c r="D13" s="237"/>
      <c r="E13" s="238">
        <v>24188.65</v>
      </c>
      <c r="G13" s="30"/>
      <c r="H13" s="5" t="s">
        <v>271</v>
      </c>
      <c r="I13" s="75">
        <f>YEARFRAC(B2491,B12)</f>
        <v>10.005555555555556</v>
      </c>
      <c r="J13" s="239"/>
    </row>
    <row r="14" spans="1:10" ht="16.5" x14ac:dyDescent="0.3">
      <c r="B14" s="236">
        <v>45658</v>
      </c>
      <c r="C14" s="237"/>
      <c r="D14" s="237"/>
      <c r="E14" s="238">
        <v>23742.9</v>
      </c>
      <c r="G14" s="30"/>
      <c r="H14" s="5" t="s">
        <v>272</v>
      </c>
      <c r="I14" s="76">
        <f>_xlfn.RRI(I13,E2491,E12)</f>
        <v>8.204335491052217E-2</v>
      </c>
      <c r="J14" s="233"/>
    </row>
    <row r="15" spans="1:10" ht="16.5" x14ac:dyDescent="0.3">
      <c r="B15" s="236">
        <v>45657</v>
      </c>
      <c r="C15" s="237"/>
      <c r="D15" s="237"/>
      <c r="E15" s="238">
        <v>23644.799999999999</v>
      </c>
    </row>
    <row r="16" spans="1:10" ht="16.5" x14ac:dyDescent="0.3">
      <c r="B16" s="236">
        <v>45656</v>
      </c>
      <c r="C16" s="237"/>
      <c r="D16" s="237"/>
      <c r="E16" s="238">
        <v>23644.9</v>
      </c>
    </row>
    <row r="17" spans="2:5" ht="16.5" x14ac:dyDescent="0.3">
      <c r="B17" s="236">
        <v>45653</v>
      </c>
      <c r="C17" s="237"/>
      <c r="D17" s="237"/>
      <c r="E17" s="238">
        <v>23813.4</v>
      </c>
    </row>
    <row r="18" spans="2:5" ht="16.5" x14ac:dyDescent="0.3">
      <c r="B18" s="236">
        <v>45652</v>
      </c>
      <c r="C18" s="237"/>
      <c r="D18" s="237"/>
      <c r="E18" s="238">
        <v>23750.2</v>
      </c>
    </row>
    <row r="19" spans="2:5" ht="16.5" x14ac:dyDescent="0.3">
      <c r="B19" s="236">
        <v>45650</v>
      </c>
      <c r="C19" s="237"/>
      <c r="D19" s="237"/>
      <c r="E19" s="238">
        <v>23727.65</v>
      </c>
    </row>
    <row r="20" spans="2:5" ht="16.5" x14ac:dyDescent="0.3">
      <c r="B20" s="236">
        <v>45649</v>
      </c>
      <c r="C20" s="237"/>
      <c r="D20" s="237"/>
      <c r="E20" s="238">
        <v>23753.45</v>
      </c>
    </row>
    <row r="21" spans="2:5" ht="16.5" x14ac:dyDescent="0.3">
      <c r="B21" s="236">
        <v>45646</v>
      </c>
      <c r="C21" s="237"/>
      <c r="D21" s="237"/>
      <c r="E21" s="238">
        <v>23587.5</v>
      </c>
    </row>
    <row r="22" spans="2:5" ht="16.5" x14ac:dyDescent="0.3">
      <c r="B22" s="236">
        <v>45645</v>
      </c>
      <c r="C22" s="237"/>
      <c r="D22" s="237"/>
      <c r="E22" s="238">
        <v>23951.7</v>
      </c>
    </row>
    <row r="23" spans="2:5" ht="16.5" x14ac:dyDescent="0.3">
      <c r="B23" s="236">
        <v>45644</v>
      </c>
      <c r="C23" s="237"/>
      <c r="D23" s="237"/>
      <c r="E23" s="238">
        <v>24198.85</v>
      </c>
    </row>
    <row r="24" spans="2:5" ht="16.5" x14ac:dyDescent="0.3">
      <c r="B24" s="236">
        <v>45643</v>
      </c>
      <c r="C24" s="237"/>
      <c r="D24" s="237"/>
      <c r="E24" s="238">
        <v>24336</v>
      </c>
    </row>
    <row r="25" spans="2:5" ht="16.5" x14ac:dyDescent="0.3">
      <c r="B25" s="236">
        <v>45642</v>
      </c>
      <c r="C25" s="237"/>
      <c r="D25" s="237"/>
      <c r="E25" s="238">
        <v>24668.25</v>
      </c>
    </row>
    <row r="26" spans="2:5" ht="16.5" x14ac:dyDescent="0.3">
      <c r="B26" s="236">
        <v>45639</v>
      </c>
      <c r="C26" s="237"/>
      <c r="D26" s="237"/>
      <c r="E26" s="238">
        <v>24768.3</v>
      </c>
    </row>
    <row r="27" spans="2:5" ht="16.5" x14ac:dyDescent="0.3">
      <c r="B27" s="236">
        <v>45638</v>
      </c>
      <c r="C27" s="237"/>
      <c r="D27" s="237"/>
      <c r="E27" s="238">
        <v>24548.7</v>
      </c>
    </row>
    <row r="28" spans="2:5" ht="16.5" x14ac:dyDescent="0.3">
      <c r="B28" s="236">
        <v>45637</v>
      </c>
      <c r="C28" s="237"/>
      <c r="D28" s="237"/>
      <c r="E28" s="238">
        <v>24641.8</v>
      </c>
    </row>
    <row r="29" spans="2:5" ht="16.5" x14ac:dyDescent="0.3">
      <c r="B29" s="236">
        <v>45636</v>
      </c>
      <c r="C29" s="237"/>
      <c r="D29" s="237"/>
      <c r="E29" s="238">
        <v>24610.05</v>
      </c>
    </row>
    <row r="30" spans="2:5" ht="16.5" x14ac:dyDescent="0.3">
      <c r="B30" s="236">
        <v>45635</v>
      </c>
      <c r="C30" s="237"/>
      <c r="D30" s="237"/>
      <c r="E30" s="238">
        <v>24619</v>
      </c>
    </row>
    <row r="31" spans="2:5" ht="16.5" x14ac:dyDescent="0.3">
      <c r="B31" s="236">
        <v>45632</v>
      </c>
      <c r="C31" s="237"/>
      <c r="D31" s="237"/>
      <c r="E31" s="238">
        <v>24677.8</v>
      </c>
    </row>
    <row r="32" spans="2:5" ht="16.5" x14ac:dyDescent="0.3">
      <c r="B32" s="236">
        <v>45631</v>
      </c>
      <c r="C32" s="237"/>
      <c r="D32" s="237"/>
      <c r="E32" s="238">
        <v>24708.400000000001</v>
      </c>
    </row>
    <row r="33" spans="2:5" ht="16.5" x14ac:dyDescent="0.3">
      <c r="B33" s="236">
        <v>45630</v>
      </c>
      <c r="C33" s="237"/>
      <c r="D33" s="237"/>
      <c r="E33" s="238">
        <v>24467.45</v>
      </c>
    </row>
    <row r="34" spans="2:5" ht="16.5" x14ac:dyDescent="0.3">
      <c r="B34" s="236">
        <v>45629</v>
      </c>
      <c r="C34" s="237"/>
      <c r="D34" s="237"/>
      <c r="E34" s="238">
        <v>24457.15</v>
      </c>
    </row>
    <row r="35" spans="2:5" ht="16.5" x14ac:dyDescent="0.3">
      <c r="B35" s="236">
        <v>45628</v>
      </c>
      <c r="C35" s="237"/>
      <c r="D35" s="237"/>
      <c r="E35" s="238">
        <v>24276.05</v>
      </c>
    </row>
    <row r="36" spans="2:5" ht="16.5" x14ac:dyDescent="0.3">
      <c r="B36" s="236">
        <v>45625</v>
      </c>
      <c r="C36" s="237"/>
      <c r="D36" s="237"/>
      <c r="E36" s="238">
        <v>24131.1</v>
      </c>
    </row>
    <row r="37" spans="2:5" ht="16.5" x14ac:dyDescent="0.3">
      <c r="B37" s="236">
        <v>45624</v>
      </c>
      <c r="C37" s="237"/>
      <c r="D37" s="237"/>
      <c r="E37" s="238">
        <v>23914.15</v>
      </c>
    </row>
    <row r="38" spans="2:5" ht="16.5" x14ac:dyDescent="0.3">
      <c r="B38" s="236">
        <v>45623</v>
      </c>
      <c r="C38" s="237"/>
      <c r="D38" s="237"/>
      <c r="E38" s="238">
        <v>24274.9</v>
      </c>
    </row>
    <row r="39" spans="2:5" ht="16.5" x14ac:dyDescent="0.3">
      <c r="B39" s="236">
        <v>45622</v>
      </c>
      <c r="C39" s="237"/>
      <c r="D39" s="237"/>
      <c r="E39" s="238">
        <v>24194.5</v>
      </c>
    </row>
    <row r="40" spans="2:5" ht="16.5" x14ac:dyDescent="0.3">
      <c r="B40" s="236">
        <v>45621</v>
      </c>
      <c r="C40" s="237"/>
      <c r="D40" s="237"/>
      <c r="E40" s="238">
        <v>24221.9</v>
      </c>
    </row>
    <row r="41" spans="2:5" ht="16.5" x14ac:dyDescent="0.3">
      <c r="B41" s="236">
        <v>45618</v>
      </c>
      <c r="C41" s="237"/>
      <c r="D41" s="237"/>
      <c r="E41" s="238">
        <v>23907.25</v>
      </c>
    </row>
    <row r="42" spans="2:5" ht="16.5" x14ac:dyDescent="0.3">
      <c r="B42" s="236">
        <v>45617</v>
      </c>
      <c r="C42" s="237"/>
      <c r="D42" s="237"/>
      <c r="E42" s="238">
        <v>23349.9</v>
      </c>
    </row>
    <row r="43" spans="2:5" ht="16.5" x14ac:dyDescent="0.3">
      <c r="B43" s="236">
        <v>45615</v>
      </c>
      <c r="C43" s="237"/>
      <c r="D43" s="237"/>
      <c r="E43" s="238">
        <v>23518.5</v>
      </c>
    </row>
    <row r="44" spans="2:5" ht="16.5" x14ac:dyDescent="0.3">
      <c r="B44" s="236">
        <v>45614</v>
      </c>
      <c r="C44" s="237"/>
      <c r="D44" s="237"/>
      <c r="E44" s="238">
        <v>23453.8</v>
      </c>
    </row>
    <row r="45" spans="2:5" ht="16.5" x14ac:dyDescent="0.3">
      <c r="B45" s="236">
        <v>45610</v>
      </c>
      <c r="C45" s="237"/>
      <c r="D45" s="237"/>
      <c r="E45" s="238">
        <v>23532.7</v>
      </c>
    </row>
    <row r="46" spans="2:5" ht="16.5" x14ac:dyDescent="0.3">
      <c r="B46" s="236">
        <v>45609</v>
      </c>
      <c r="C46" s="237"/>
      <c r="D46" s="237"/>
      <c r="E46" s="238">
        <v>23559.05</v>
      </c>
    </row>
    <row r="47" spans="2:5" ht="16.5" x14ac:dyDescent="0.3">
      <c r="B47" s="236">
        <v>45608</v>
      </c>
      <c r="C47" s="237"/>
      <c r="D47" s="237"/>
      <c r="E47" s="238">
        <v>23883.45</v>
      </c>
    </row>
    <row r="48" spans="2:5" ht="16.5" x14ac:dyDescent="0.3">
      <c r="B48" s="236">
        <v>45607</v>
      </c>
      <c r="C48" s="237"/>
      <c r="D48" s="237"/>
      <c r="E48" s="238">
        <v>24141.3</v>
      </c>
    </row>
    <row r="49" spans="2:5" ht="16.5" x14ac:dyDescent="0.3">
      <c r="B49" s="236">
        <v>45604</v>
      </c>
      <c r="C49" s="237"/>
      <c r="D49" s="237"/>
      <c r="E49" s="238">
        <v>24148.2</v>
      </c>
    </row>
    <row r="50" spans="2:5" ht="16.5" x14ac:dyDescent="0.3">
      <c r="B50" s="236">
        <v>45603</v>
      </c>
      <c r="C50" s="237"/>
      <c r="D50" s="237"/>
      <c r="E50" s="238">
        <v>24199.35</v>
      </c>
    </row>
    <row r="51" spans="2:5" ht="16.5" x14ac:dyDescent="0.3">
      <c r="B51" s="236">
        <v>45602</v>
      </c>
      <c r="C51" s="237"/>
      <c r="D51" s="237"/>
      <c r="E51" s="238">
        <v>24484.05</v>
      </c>
    </row>
    <row r="52" spans="2:5" ht="16.5" x14ac:dyDescent="0.3">
      <c r="B52" s="236">
        <v>45601</v>
      </c>
      <c r="C52" s="237"/>
      <c r="D52" s="237"/>
      <c r="E52" s="238">
        <v>24213.3</v>
      </c>
    </row>
    <row r="53" spans="2:5" ht="16.5" x14ac:dyDescent="0.3">
      <c r="B53" s="236">
        <v>45600</v>
      </c>
      <c r="C53" s="237"/>
      <c r="D53" s="237"/>
      <c r="E53" s="238">
        <v>23995.35</v>
      </c>
    </row>
    <row r="54" spans="2:5" ht="16.5" x14ac:dyDescent="0.3">
      <c r="B54" s="236">
        <v>45597</v>
      </c>
      <c r="C54" s="237"/>
      <c r="D54" s="237"/>
      <c r="E54" s="238">
        <v>24304.35</v>
      </c>
    </row>
    <row r="55" spans="2:5" ht="16.5" x14ac:dyDescent="0.3">
      <c r="B55" s="236">
        <v>45596</v>
      </c>
      <c r="C55" s="237"/>
      <c r="D55" s="237"/>
      <c r="E55" s="238">
        <v>24205.35</v>
      </c>
    </row>
    <row r="56" spans="2:5" ht="16.5" x14ac:dyDescent="0.3">
      <c r="B56" s="236">
        <v>45595</v>
      </c>
      <c r="C56" s="237"/>
      <c r="D56" s="237"/>
      <c r="E56" s="238">
        <v>24340.85</v>
      </c>
    </row>
    <row r="57" spans="2:5" ht="16.5" x14ac:dyDescent="0.3">
      <c r="B57" s="236">
        <v>45594</v>
      </c>
      <c r="C57" s="237"/>
      <c r="D57" s="237"/>
      <c r="E57" s="238">
        <v>24466.85</v>
      </c>
    </row>
    <row r="58" spans="2:5" ht="16.5" x14ac:dyDescent="0.3">
      <c r="B58" s="236">
        <v>45593</v>
      </c>
      <c r="C58" s="237"/>
      <c r="D58" s="237"/>
      <c r="E58" s="238">
        <v>24339.15</v>
      </c>
    </row>
    <row r="59" spans="2:5" ht="16.5" x14ac:dyDescent="0.3">
      <c r="B59" s="236">
        <v>45590</v>
      </c>
      <c r="C59" s="237"/>
      <c r="D59" s="237"/>
      <c r="E59" s="238">
        <v>24180.799999999999</v>
      </c>
    </row>
    <row r="60" spans="2:5" ht="16.5" x14ac:dyDescent="0.3">
      <c r="B60" s="236">
        <v>45589</v>
      </c>
      <c r="C60" s="237"/>
      <c r="D60" s="237"/>
      <c r="E60" s="238">
        <v>24399.4</v>
      </c>
    </row>
    <row r="61" spans="2:5" ht="16.5" x14ac:dyDescent="0.3">
      <c r="B61" s="236">
        <v>45588</v>
      </c>
      <c r="C61" s="237"/>
      <c r="D61" s="237"/>
      <c r="E61" s="238">
        <v>24435.5</v>
      </c>
    </row>
    <row r="62" spans="2:5" ht="16.5" x14ac:dyDescent="0.3">
      <c r="B62" s="236">
        <v>45587</v>
      </c>
      <c r="C62" s="237"/>
      <c r="D62" s="237"/>
      <c r="E62" s="238">
        <v>24472.1</v>
      </c>
    </row>
    <row r="63" spans="2:5" ht="16.5" x14ac:dyDescent="0.3">
      <c r="B63" s="236">
        <v>45586</v>
      </c>
      <c r="C63" s="237"/>
      <c r="D63" s="237"/>
      <c r="E63" s="238">
        <v>24781.1</v>
      </c>
    </row>
    <row r="64" spans="2:5" ht="16.5" x14ac:dyDescent="0.3">
      <c r="B64" s="236">
        <v>45583</v>
      </c>
      <c r="C64" s="237"/>
      <c r="D64" s="237"/>
      <c r="E64" s="238">
        <v>24854.05</v>
      </c>
    </row>
    <row r="65" spans="2:5" ht="16.5" x14ac:dyDescent="0.3">
      <c r="B65" s="236">
        <v>45582</v>
      </c>
      <c r="C65" s="237"/>
      <c r="D65" s="237"/>
      <c r="E65" s="238">
        <v>24749.85</v>
      </c>
    </row>
    <row r="66" spans="2:5" ht="16.5" x14ac:dyDescent="0.3">
      <c r="B66" s="236">
        <v>45581</v>
      </c>
      <c r="C66" s="237"/>
      <c r="D66" s="237"/>
      <c r="E66" s="238">
        <v>24971.3</v>
      </c>
    </row>
    <row r="67" spans="2:5" ht="16.5" x14ac:dyDescent="0.3">
      <c r="B67" s="236">
        <v>45580</v>
      </c>
      <c r="C67" s="237"/>
      <c r="D67" s="237"/>
      <c r="E67" s="238">
        <v>25057.35</v>
      </c>
    </row>
    <row r="68" spans="2:5" ht="16.5" x14ac:dyDescent="0.3">
      <c r="B68" s="236">
        <v>45579</v>
      </c>
      <c r="C68" s="237"/>
      <c r="D68" s="237"/>
      <c r="E68" s="238">
        <v>25127.95</v>
      </c>
    </row>
    <row r="69" spans="2:5" ht="16.5" x14ac:dyDescent="0.3">
      <c r="B69" s="236">
        <v>45576</v>
      </c>
      <c r="C69" s="237"/>
      <c r="D69" s="237"/>
      <c r="E69" s="238">
        <v>24964.25</v>
      </c>
    </row>
    <row r="70" spans="2:5" ht="16.5" x14ac:dyDescent="0.3">
      <c r="B70" s="236">
        <v>45575</v>
      </c>
      <c r="C70" s="237"/>
      <c r="D70" s="237"/>
      <c r="E70" s="238">
        <v>24998.45</v>
      </c>
    </row>
    <row r="71" spans="2:5" ht="16.5" x14ac:dyDescent="0.3">
      <c r="B71" s="236">
        <v>45574</v>
      </c>
      <c r="C71" s="237"/>
      <c r="D71" s="237"/>
      <c r="E71" s="238">
        <v>24981.95</v>
      </c>
    </row>
    <row r="72" spans="2:5" ht="16.5" x14ac:dyDescent="0.3">
      <c r="B72" s="236">
        <v>45573</v>
      </c>
      <c r="C72" s="237"/>
      <c r="D72" s="237"/>
      <c r="E72" s="238">
        <v>25013.15</v>
      </c>
    </row>
    <row r="73" spans="2:5" ht="16.5" x14ac:dyDescent="0.3">
      <c r="B73" s="236">
        <v>45572</v>
      </c>
      <c r="C73" s="237"/>
      <c r="D73" s="237"/>
      <c r="E73" s="238">
        <v>24795.75</v>
      </c>
    </row>
    <row r="74" spans="2:5" ht="16.5" x14ac:dyDescent="0.3">
      <c r="B74" s="236">
        <v>45569</v>
      </c>
      <c r="C74" s="237"/>
      <c r="D74" s="237"/>
      <c r="E74" s="238">
        <v>25014.6</v>
      </c>
    </row>
    <row r="75" spans="2:5" ht="16.5" x14ac:dyDescent="0.3">
      <c r="B75" s="236">
        <v>45568</v>
      </c>
      <c r="C75" s="237"/>
      <c r="D75" s="237"/>
      <c r="E75" s="238">
        <v>25250.1</v>
      </c>
    </row>
    <row r="76" spans="2:5" ht="16.5" x14ac:dyDescent="0.3">
      <c r="B76" s="236">
        <v>45566</v>
      </c>
      <c r="C76" s="237"/>
      <c r="D76" s="237"/>
      <c r="E76" s="238">
        <v>25796.9</v>
      </c>
    </row>
    <row r="77" spans="2:5" ht="16.5" x14ac:dyDescent="0.3">
      <c r="B77" s="236">
        <v>45565</v>
      </c>
      <c r="C77" s="237"/>
      <c r="D77" s="237"/>
      <c r="E77" s="238">
        <v>25810.85</v>
      </c>
    </row>
    <row r="78" spans="2:5" ht="16.5" x14ac:dyDescent="0.3">
      <c r="B78" s="236">
        <v>45562</v>
      </c>
      <c r="C78" s="237"/>
      <c r="D78" s="237"/>
      <c r="E78" s="238">
        <v>26178.95</v>
      </c>
    </row>
    <row r="79" spans="2:5" ht="16.5" x14ac:dyDescent="0.3">
      <c r="B79" s="236">
        <v>45561</v>
      </c>
      <c r="C79" s="237"/>
      <c r="D79" s="237"/>
      <c r="E79" s="238">
        <v>26216.05</v>
      </c>
    </row>
    <row r="80" spans="2:5" ht="16.5" x14ac:dyDescent="0.3">
      <c r="B80" s="236">
        <v>45560</v>
      </c>
      <c r="C80" s="237"/>
      <c r="D80" s="237"/>
      <c r="E80" s="238">
        <v>26004.15</v>
      </c>
    </row>
    <row r="81" spans="2:5" ht="16.5" x14ac:dyDescent="0.3">
      <c r="B81" s="236">
        <v>45559</v>
      </c>
      <c r="C81" s="237"/>
      <c r="D81" s="237"/>
      <c r="E81" s="238">
        <v>25940.400000000001</v>
      </c>
    </row>
    <row r="82" spans="2:5" ht="16.5" x14ac:dyDescent="0.3">
      <c r="B82" s="236">
        <v>45558</v>
      </c>
      <c r="C82" s="237"/>
      <c r="D82" s="237"/>
      <c r="E82" s="238">
        <v>25939.05</v>
      </c>
    </row>
    <row r="83" spans="2:5" ht="16.5" x14ac:dyDescent="0.3">
      <c r="B83" s="236">
        <v>45555</v>
      </c>
      <c r="C83" s="237"/>
      <c r="D83" s="237"/>
      <c r="E83" s="238">
        <v>25790.95</v>
      </c>
    </row>
    <row r="84" spans="2:5" ht="16.5" x14ac:dyDescent="0.3">
      <c r="B84" s="236">
        <v>45554</v>
      </c>
      <c r="C84" s="237"/>
      <c r="D84" s="237"/>
      <c r="E84" s="238">
        <v>25415.8</v>
      </c>
    </row>
    <row r="85" spans="2:5" ht="16.5" x14ac:dyDescent="0.3">
      <c r="B85" s="236">
        <v>45553</v>
      </c>
      <c r="C85" s="237"/>
      <c r="D85" s="237"/>
      <c r="E85" s="238">
        <v>25377.55</v>
      </c>
    </row>
    <row r="86" spans="2:5" ht="16.5" x14ac:dyDescent="0.3">
      <c r="B86" s="236">
        <v>45552</v>
      </c>
      <c r="C86" s="237"/>
      <c r="D86" s="237"/>
      <c r="E86" s="238">
        <v>25418.55</v>
      </c>
    </row>
    <row r="87" spans="2:5" ht="16.5" x14ac:dyDescent="0.3">
      <c r="B87" s="236">
        <v>45551</v>
      </c>
      <c r="C87" s="237"/>
      <c r="D87" s="237"/>
      <c r="E87" s="238">
        <v>25383.75</v>
      </c>
    </row>
    <row r="88" spans="2:5" ht="16.5" x14ac:dyDescent="0.3">
      <c r="B88" s="236">
        <v>45548</v>
      </c>
      <c r="C88" s="237"/>
      <c r="D88" s="237"/>
      <c r="E88" s="238">
        <v>25356.5</v>
      </c>
    </row>
    <row r="89" spans="2:5" ht="16.5" x14ac:dyDescent="0.3">
      <c r="B89" s="236">
        <v>45547</v>
      </c>
      <c r="C89" s="237"/>
      <c r="D89" s="237"/>
      <c r="E89" s="238">
        <v>25388.9</v>
      </c>
    </row>
    <row r="90" spans="2:5" ht="16.5" x14ac:dyDescent="0.3">
      <c r="B90" s="236">
        <v>45546</v>
      </c>
      <c r="C90" s="237"/>
      <c r="D90" s="237"/>
      <c r="E90" s="238">
        <v>24918.45</v>
      </c>
    </row>
    <row r="91" spans="2:5" ht="16.5" x14ac:dyDescent="0.3">
      <c r="B91" s="236">
        <v>45545</v>
      </c>
      <c r="C91" s="237"/>
      <c r="D91" s="237"/>
      <c r="E91" s="238">
        <v>25041.1</v>
      </c>
    </row>
    <row r="92" spans="2:5" ht="16.5" x14ac:dyDescent="0.3">
      <c r="B92" s="236">
        <v>45544</v>
      </c>
      <c r="C92" s="237"/>
      <c r="D92" s="237"/>
      <c r="E92" s="238">
        <v>24936.400000000001</v>
      </c>
    </row>
    <row r="93" spans="2:5" ht="16.5" x14ac:dyDescent="0.3">
      <c r="B93" s="236">
        <v>45541</v>
      </c>
      <c r="C93" s="237"/>
      <c r="D93" s="237"/>
      <c r="E93" s="238">
        <v>24852.15</v>
      </c>
    </row>
    <row r="94" spans="2:5" ht="16.5" x14ac:dyDescent="0.3">
      <c r="B94" s="236">
        <v>45540</v>
      </c>
      <c r="C94" s="237"/>
      <c r="D94" s="237"/>
      <c r="E94" s="238">
        <v>25145.1</v>
      </c>
    </row>
    <row r="95" spans="2:5" ht="16.5" x14ac:dyDescent="0.3">
      <c r="B95" s="236">
        <v>45539</v>
      </c>
      <c r="C95" s="237"/>
      <c r="D95" s="237"/>
      <c r="E95" s="238">
        <v>25198.7</v>
      </c>
    </row>
    <row r="96" spans="2:5" ht="16.5" x14ac:dyDescent="0.3">
      <c r="B96" s="236">
        <v>45538</v>
      </c>
      <c r="C96" s="237"/>
      <c r="D96" s="237"/>
      <c r="E96" s="238">
        <v>25279.85</v>
      </c>
    </row>
    <row r="97" spans="2:5" ht="16.5" x14ac:dyDescent="0.3">
      <c r="B97" s="236">
        <v>45537</v>
      </c>
      <c r="C97" s="237"/>
      <c r="D97" s="237"/>
      <c r="E97" s="238">
        <v>25278.7</v>
      </c>
    </row>
    <row r="98" spans="2:5" ht="16.5" x14ac:dyDescent="0.3">
      <c r="B98" s="236">
        <v>45534</v>
      </c>
      <c r="C98" s="237"/>
      <c r="D98" s="237"/>
      <c r="E98" s="238">
        <v>25235.9</v>
      </c>
    </row>
    <row r="99" spans="2:5" ht="16.5" x14ac:dyDescent="0.3">
      <c r="B99" s="236">
        <v>45533</v>
      </c>
      <c r="C99" s="237"/>
      <c r="D99" s="237"/>
      <c r="E99" s="238">
        <v>25151.95</v>
      </c>
    </row>
    <row r="100" spans="2:5" ht="16.5" x14ac:dyDescent="0.3">
      <c r="B100" s="236">
        <v>45532</v>
      </c>
      <c r="C100" s="237"/>
      <c r="D100" s="237"/>
      <c r="E100" s="238">
        <v>25052.35</v>
      </c>
    </row>
    <row r="101" spans="2:5" ht="16.5" x14ac:dyDescent="0.3">
      <c r="B101" s="236">
        <v>45531</v>
      </c>
      <c r="C101" s="237"/>
      <c r="D101" s="237"/>
      <c r="E101" s="238">
        <v>25017.75</v>
      </c>
    </row>
    <row r="102" spans="2:5" ht="16.5" x14ac:dyDescent="0.3">
      <c r="B102" s="236">
        <v>45530</v>
      </c>
      <c r="C102" s="237"/>
      <c r="D102" s="237"/>
      <c r="E102" s="238">
        <v>25010.6</v>
      </c>
    </row>
    <row r="103" spans="2:5" ht="16.5" x14ac:dyDescent="0.3">
      <c r="B103" s="236">
        <v>45527</v>
      </c>
      <c r="C103" s="237"/>
      <c r="D103" s="237"/>
      <c r="E103" s="238">
        <v>24823.15</v>
      </c>
    </row>
    <row r="104" spans="2:5" ht="16.5" x14ac:dyDescent="0.3">
      <c r="B104" s="236">
        <v>45526</v>
      </c>
      <c r="C104" s="237"/>
      <c r="D104" s="237"/>
      <c r="E104" s="238">
        <v>24811.5</v>
      </c>
    </row>
    <row r="105" spans="2:5" ht="16.5" x14ac:dyDescent="0.3">
      <c r="B105" s="236">
        <v>45525</v>
      </c>
      <c r="C105" s="237"/>
      <c r="D105" s="237"/>
      <c r="E105" s="238">
        <v>24770.2</v>
      </c>
    </row>
    <row r="106" spans="2:5" ht="16.5" x14ac:dyDescent="0.3">
      <c r="B106" s="236">
        <v>45524</v>
      </c>
      <c r="C106" s="237"/>
      <c r="D106" s="237"/>
      <c r="E106" s="238">
        <v>24698.85</v>
      </c>
    </row>
    <row r="107" spans="2:5" ht="16.5" x14ac:dyDescent="0.3">
      <c r="B107" s="236">
        <v>45523</v>
      </c>
      <c r="C107" s="237"/>
      <c r="D107" s="237"/>
      <c r="E107" s="238">
        <v>24572.65</v>
      </c>
    </row>
    <row r="108" spans="2:5" ht="16.5" x14ac:dyDescent="0.3">
      <c r="B108" s="236">
        <v>45520</v>
      </c>
      <c r="C108" s="237"/>
      <c r="D108" s="237"/>
      <c r="E108" s="238">
        <v>24541.15</v>
      </c>
    </row>
    <row r="109" spans="2:5" ht="16.5" x14ac:dyDescent="0.3">
      <c r="B109" s="236">
        <v>45518</v>
      </c>
      <c r="C109" s="237"/>
      <c r="D109" s="237"/>
      <c r="E109" s="238">
        <v>24143.75</v>
      </c>
    </row>
    <row r="110" spans="2:5" ht="16.5" x14ac:dyDescent="0.3">
      <c r="B110" s="236">
        <v>45517</v>
      </c>
      <c r="C110" s="237"/>
      <c r="D110" s="237"/>
      <c r="E110" s="238">
        <v>24139</v>
      </c>
    </row>
    <row r="111" spans="2:5" ht="16.5" x14ac:dyDescent="0.3">
      <c r="B111" s="236">
        <v>45516</v>
      </c>
      <c r="C111" s="237"/>
      <c r="D111" s="237"/>
      <c r="E111" s="238">
        <v>24347</v>
      </c>
    </row>
    <row r="112" spans="2:5" ht="16.5" x14ac:dyDescent="0.3">
      <c r="B112" s="236">
        <v>45513</v>
      </c>
      <c r="C112" s="237"/>
      <c r="D112" s="237"/>
      <c r="E112" s="238">
        <v>24367.5</v>
      </c>
    </row>
    <row r="113" spans="2:5" ht="16.5" x14ac:dyDescent="0.3">
      <c r="B113" s="236">
        <v>45512</v>
      </c>
      <c r="C113" s="237"/>
      <c r="D113" s="237"/>
      <c r="E113" s="238">
        <v>24117</v>
      </c>
    </row>
    <row r="114" spans="2:5" ht="16.5" x14ac:dyDescent="0.3">
      <c r="B114" s="236">
        <v>45511</v>
      </c>
      <c r="C114" s="237"/>
      <c r="D114" s="237"/>
      <c r="E114" s="238">
        <v>24297.5</v>
      </c>
    </row>
    <row r="115" spans="2:5" ht="16.5" x14ac:dyDescent="0.3">
      <c r="B115" s="236">
        <v>45510</v>
      </c>
      <c r="C115" s="237"/>
      <c r="D115" s="237"/>
      <c r="E115" s="238">
        <v>23992.55</v>
      </c>
    </row>
    <row r="116" spans="2:5" ht="16.5" x14ac:dyDescent="0.3">
      <c r="B116" s="236">
        <v>45509</v>
      </c>
      <c r="C116" s="237"/>
      <c r="D116" s="237"/>
      <c r="E116" s="238">
        <v>24055.599999999999</v>
      </c>
    </row>
    <row r="117" spans="2:5" ht="16.5" x14ac:dyDescent="0.3">
      <c r="B117" s="236">
        <v>45506</v>
      </c>
      <c r="C117" s="237"/>
      <c r="D117" s="237"/>
      <c r="E117" s="238">
        <v>24717.7</v>
      </c>
    </row>
    <row r="118" spans="2:5" ht="16.5" x14ac:dyDescent="0.3">
      <c r="B118" s="236">
        <v>45505</v>
      </c>
      <c r="C118" s="237"/>
      <c r="D118" s="237"/>
      <c r="E118" s="238">
        <v>25010.9</v>
      </c>
    </row>
    <row r="119" spans="2:5" ht="16.5" x14ac:dyDescent="0.3">
      <c r="B119" s="236">
        <v>45504</v>
      </c>
      <c r="C119" s="237"/>
      <c r="D119" s="237"/>
      <c r="E119" s="238">
        <v>24951.15</v>
      </c>
    </row>
    <row r="120" spans="2:5" ht="16.5" x14ac:dyDescent="0.3">
      <c r="B120" s="236">
        <v>45503</v>
      </c>
      <c r="C120" s="237"/>
      <c r="D120" s="237"/>
      <c r="E120" s="238">
        <v>24857.3</v>
      </c>
    </row>
    <row r="121" spans="2:5" ht="16.5" x14ac:dyDescent="0.3">
      <c r="B121" s="236">
        <v>45502</v>
      </c>
      <c r="C121" s="237"/>
      <c r="D121" s="237"/>
      <c r="E121" s="238">
        <v>24836.1</v>
      </c>
    </row>
    <row r="122" spans="2:5" ht="16.5" x14ac:dyDescent="0.3">
      <c r="B122" s="236">
        <v>45499</v>
      </c>
      <c r="C122" s="237"/>
      <c r="D122" s="237"/>
      <c r="E122" s="238">
        <v>24834.85</v>
      </c>
    </row>
    <row r="123" spans="2:5" ht="16.5" x14ac:dyDescent="0.3">
      <c r="B123" s="236">
        <v>45498</v>
      </c>
      <c r="C123" s="237"/>
      <c r="D123" s="237"/>
      <c r="E123" s="238">
        <v>24406.1</v>
      </c>
    </row>
    <row r="124" spans="2:5" ht="16.5" x14ac:dyDescent="0.3">
      <c r="B124" s="236">
        <v>45497</v>
      </c>
      <c r="C124" s="237"/>
      <c r="D124" s="237"/>
      <c r="E124" s="238">
        <v>24413.5</v>
      </c>
    </row>
    <row r="125" spans="2:5" ht="16.5" x14ac:dyDescent="0.3">
      <c r="B125" s="236">
        <v>45496</v>
      </c>
      <c r="C125" s="237"/>
      <c r="D125" s="237"/>
      <c r="E125" s="238">
        <v>24479.05</v>
      </c>
    </row>
    <row r="126" spans="2:5" ht="16.5" x14ac:dyDescent="0.3">
      <c r="B126" s="236">
        <v>45495</v>
      </c>
      <c r="C126" s="237"/>
      <c r="D126" s="237"/>
      <c r="E126" s="238">
        <v>24509.25</v>
      </c>
    </row>
    <row r="127" spans="2:5" ht="16.5" x14ac:dyDescent="0.3">
      <c r="B127" s="236">
        <v>45492</v>
      </c>
      <c r="C127" s="237"/>
      <c r="D127" s="237"/>
      <c r="E127" s="238">
        <v>24530.9</v>
      </c>
    </row>
    <row r="128" spans="2:5" ht="16.5" x14ac:dyDescent="0.3">
      <c r="B128" s="236">
        <v>45491</v>
      </c>
      <c r="C128" s="237"/>
      <c r="D128" s="237"/>
      <c r="E128" s="238">
        <v>24800.85</v>
      </c>
    </row>
    <row r="129" spans="2:5" ht="16.5" x14ac:dyDescent="0.3">
      <c r="B129" s="236">
        <v>45489</v>
      </c>
      <c r="C129" s="237"/>
      <c r="D129" s="237"/>
      <c r="E129" s="238">
        <v>24613</v>
      </c>
    </row>
    <row r="130" spans="2:5" ht="16.5" x14ac:dyDescent="0.3">
      <c r="B130" s="236">
        <v>45488</v>
      </c>
      <c r="C130" s="237"/>
      <c r="D130" s="237"/>
      <c r="E130" s="238">
        <v>24586.7</v>
      </c>
    </row>
    <row r="131" spans="2:5" ht="16.5" x14ac:dyDescent="0.3">
      <c r="B131" s="236">
        <v>45485</v>
      </c>
      <c r="C131" s="237"/>
      <c r="D131" s="237"/>
      <c r="E131" s="238">
        <v>24502.15</v>
      </c>
    </row>
    <row r="132" spans="2:5" ht="16.5" x14ac:dyDescent="0.3">
      <c r="B132" s="236">
        <v>45484</v>
      </c>
      <c r="C132" s="237"/>
      <c r="D132" s="237"/>
      <c r="E132" s="238">
        <v>24315.95</v>
      </c>
    </row>
    <row r="133" spans="2:5" ht="16.5" x14ac:dyDescent="0.3">
      <c r="B133" s="236">
        <v>45483</v>
      </c>
      <c r="C133" s="237"/>
      <c r="D133" s="237"/>
      <c r="E133" s="238">
        <v>24324.45</v>
      </c>
    </row>
    <row r="134" spans="2:5" ht="16.5" x14ac:dyDescent="0.3">
      <c r="B134" s="236">
        <v>45482</v>
      </c>
      <c r="C134" s="237"/>
      <c r="D134" s="237"/>
      <c r="E134" s="238">
        <v>24433.200000000001</v>
      </c>
    </row>
    <row r="135" spans="2:5" ht="16.5" x14ac:dyDescent="0.3">
      <c r="B135" s="236">
        <v>45481</v>
      </c>
      <c r="C135" s="237"/>
      <c r="D135" s="237"/>
      <c r="E135" s="238">
        <v>24320.55</v>
      </c>
    </row>
    <row r="136" spans="2:5" ht="16.5" x14ac:dyDescent="0.3">
      <c r="B136" s="236">
        <v>45478</v>
      </c>
      <c r="C136" s="237"/>
      <c r="D136" s="237"/>
      <c r="E136" s="238">
        <v>24323.85</v>
      </c>
    </row>
    <row r="137" spans="2:5" ht="16.5" x14ac:dyDescent="0.3">
      <c r="B137" s="236">
        <v>45477</v>
      </c>
      <c r="C137" s="237"/>
      <c r="D137" s="237"/>
      <c r="E137" s="238">
        <v>24302.15</v>
      </c>
    </row>
    <row r="138" spans="2:5" ht="16.5" x14ac:dyDescent="0.3">
      <c r="B138" s="236">
        <v>45476</v>
      </c>
      <c r="C138" s="237"/>
      <c r="D138" s="237"/>
      <c r="E138" s="238">
        <v>24286.5</v>
      </c>
    </row>
    <row r="139" spans="2:5" ht="16.5" x14ac:dyDescent="0.3">
      <c r="B139" s="236">
        <v>45475</v>
      </c>
      <c r="C139" s="237"/>
      <c r="D139" s="237"/>
      <c r="E139" s="238">
        <v>24123.85</v>
      </c>
    </row>
    <row r="140" spans="2:5" ht="16.5" x14ac:dyDescent="0.3">
      <c r="B140" s="236">
        <v>45474</v>
      </c>
      <c r="C140" s="237"/>
      <c r="D140" s="237"/>
      <c r="E140" s="238">
        <v>24141.95</v>
      </c>
    </row>
    <row r="141" spans="2:5" ht="16.5" x14ac:dyDescent="0.3">
      <c r="B141" s="236">
        <v>45471</v>
      </c>
      <c r="C141" s="237"/>
      <c r="D141" s="237"/>
      <c r="E141" s="238">
        <v>24010.6</v>
      </c>
    </row>
    <row r="142" spans="2:5" ht="16.5" x14ac:dyDescent="0.3">
      <c r="B142" s="236">
        <v>45470</v>
      </c>
      <c r="C142" s="237"/>
      <c r="D142" s="237"/>
      <c r="E142" s="238">
        <v>24044.5</v>
      </c>
    </row>
    <row r="143" spans="2:5" ht="16.5" x14ac:dyDescent="0.3">
      <c r="B143" s="236">
        <v>45469</v>
      </c>
      <c r="C143" s="237"/>
      <c r="D143" s="237"/>
      <c r="E143" s="238">
        <v>23868.799999999999</v>
      </c>
    </row>
    <row r="144" spans="2:5" ht="16.5" x14ac:dyDescent="0.3">
      <c r="B144" s="236">
        <v>45468</v>
      </c>
      <c r="C144" s="237"/>
      <c r="D144" s="237"/>
      <c r="E144" s="238">
        <v>23721.3</v>
      </c>
    </row>
    <row r="145" spans="2:5" ht="16.5" x14ac:dyDescent="0.3">
      <c r="B145" s="236">
        <v>45467</v>
      </c>
      <c r="C145" s="237"/>
      <c r="D145" s="237"/>
      <c r="E145" s="238">
        <v>23537.85</v>
      </c>
    </row>
    <row r="146" spans="2:5" ht="16.5" x14ac:dyDescent="0.3">
      <c r="B146" s="236">
        <v>45464</v>
      </c>
      <c r="C146" s="237"/>
      <c r="D146" s="237"/>
      <c r="E146" s="238">
        <v>23501.1</v>
      </c>
    </row>
    <row r="147" spans="2:5" ht="16.5" x14ac:dyDescent="0.3">
      <c r="B147" s="236">
        <v>45463</v>
      </c>
      <c r="C147" s="237"/>
      <c r="D147" s="237"/>
      <c r="E147" s="238">
        <v>23567</v>
      </c>
    </row>
    <row r="148" spans="2:5" ht="16.5" x14ac:dyDescent="0.3">
      <c r="B148" s="236">
        <v>45462</v>
      </c>
      <c r="C148" s="237"/>
      <c r="D148" s="237"/>
      <c r="E148" s="238">
        <v>23516</v>
      </c>
    </row>
    <row r="149" spans="2:5" ht="16.5" x14ac:dyDescent="0.3">
      <c r="B149" s="236">
        <v>45461</v>
      </c>
      <c r="C149" s="237"/>
      <c r="D149" s="237"/>
      <c r="E149" s="238">
        <v>23557.9</v>
      </c>
    </row>
    <row r="150" spans="2:5" ht="16.5" x14ac:dyDescent="0.3">
      <c r="B150" s="236">
        <v>45457</v>
      </c>
      <c r="C150" s="237"/>
      <c r="D150" s="237"/>
      <c r="E150" s="238">
        <v>23465.599999999999</v>
      </c>
    </row>
    <row r="151" spans="2:5" ht="16.5" x14ac:dyDescent="0.3">
      <c r="B151" s="236">
        <v>45456</v>
      </c>
      <c r="C151" s="237"/>
      <c r="D151" s="237"/>
      <c r="E151" s="238">
        <v>23398.9</v>
      </c>
    </row>
    <row r="152" spans="2:5" ht="16.5" x14ac:dyDescent="0.3">
      <c r="B152" s="236">
        <v>45455</v>
      </c>
      <c r="C152" s="237"/>
      <c r="D152" s="237"/>
      <c r="E152" s="238">
        <v>23322.95</v>
      </c>
    </row>
    <row r="153" spans="2:5" ht="16.5" x14ac:dyDescent="0.3">
      <c r="B153" s="236">
        <v>45454</v>
      </c>
      <c r="C153" s="237"/>
      <c r="D153" s="237"/>
      <c r="E153" s="238">
        <v>23264.85</v>
      </c>
    </row>
    <row r="154" spans="2:5" ht="16.5" x14ac:dyDescent="0.3">
      <c r="B154" s="236">
        <v>45453</v>
      </c>
      <c r="C154" s="237"/>
      <c r="D154" s="237"/>
      <c r="E154" s="238">
        <v>23259.200000000001</v>
      </c>
    </row>
    <row r="155" spans="2:5" ht="16.5" x14ac:dyDescent="0.3">
      <c r="B155" s="236">
        <v>45450</v>
      </c>
      <c r="C155" s="237"/>
      <c r="D155" s="237"/>
      <c r="E155" s="238">
        <v>23290.15</v>
      </c>
    </row>
    <row r="156" spans="2:5" ht="16.5" x14ac:dyDescent="0.3">
      <c r="B156" s="236">
        <v>45449</v>
      </c>
      <c r="C156" s="237"/>
      <c r="D156" s="237"/>
      <c r="E156" s="238">
        <v>22821.4</v>
      </c>
    </row>
    <row r="157" spans="2:5" ht="16.5" x14ac:dyDescent="0.3">
      <c r="B157" s="236">
        <v>45448</v>
      </c>
      <c r="C157" s="237"/>
      <c r="D157" s="237"/>
      <c r="E157" s="238">
        <v>22620.35</v>
      </c>
    </row>
    <row r="158" spans="2:5" ht="16.5" x14ac:dyDescent="0.3">
      <c r="B158" s="236">
        <v>45447</v>
      </c>
      <c r="C158" s="237"/>
      <c r="D158" s="237"/>
      <c r="E158" s="238">
        <v>21884.5</v>
      </c>
    </row>
    <row r="159" spans="2:5" ht="16.5" x14ac:dyDescent="0.3">
      <c r="B159" s="236">
        <v>45446</v>
      </c>
      <c r="C159" s="237"/>
      <c r="D159" s="237"/>
      <c r="E159" s="238">
        <v>23263.9</v>
      </c>
    </row>
    <row r="160" spans="2:5" ht="16.5" x14ac:dyDescent="0.3">
      <c r="B160" s="236">
        <v>45443</v>
      </c>
      <c r="C160" s="237"/>
      <c r="D160" s="237"/>
      <c r="E160" s="238">
        <v>22530.7</v>
      </c>
    </row>
    <row r="161" spans="2:5" ht="16.5" x14ac:dyDescent="0.3">
      <c r="B161" s="236">
        <v>45442</v>
      </c>
      <c r="C161" s="237"/>
      <c r="D161" s="237"/>
      <c r="E161" s="238">
        <v>22488.65</v>
      </c>
    </row>
    <row r="162" spans="2:5" ht="16.5" x14ac:dyDescent="0.3">
      <c r="B162" s="236">
        <v>45441</v>
      </c>
      <c r="C162" s="237"/>
      <c r="D162" s="237"/>
      <c r="E162" s="238">
        <v>22704.7</v>
      </c>
    </row>
    <row r="163" spans="2:5" ht="16.5" x14ac:dyDescent="0.3">
      <c r="B163" s="236">
        <v>45440</v>
      </c>
      <c r="C163" s="237"/>
      <c r="D163" s="237"/>
      <c r="E163" s="238">
        <v>22888.15</v>
      </c>
    </row>
    <row r="164" spans="2:5" ht="16.5" x14ac:dyDescent="0.3">
      <c r="B164" s="236">
        <v>45439</v>
      </c>
      <c r="C164" s="237"/>
      <c r="D164" s="237"/>
      <c r="E164" s="238">
        <v>22932.45</v>
      </c>
    </row>
    <row r="165" spans="2:5" ht="16.5" x14ac:dyDescent="0.3">
      <c r="B165" s="236">
        <v>45436</v>
      </c>
      <c r="C165" s="237"/>
      <c r="D165" s="237"/>
      <c r="E165" s="238">
        <v>22957.1</v>
      </c>
    </row>
    <row r="166" spans="2:5" ht="16.5" x14ac:dyDescent="0.3">
      <c r="B166" s="236">
        <v>45435</v>
      </c>
      <c r="C166" s="237"/>
      <c r="D166" s="237"/>
      <c r="E166" s="238">
        <v>22967.65</v>
      </c>
    </row>
    <row r="167" spans="2:5" ht="16.5" x14ac:dyDescent="0.3">
      <c r="B167" s="236">
        <v>45434</v>
      </c>
      <c r="C167" s="237"/>
      <c r="D167" s="237"/>
      <c r="E167" s="238">
        <v>22597.8</v>
      </c>
    </row>
    <row r="168" spans="2:5" ht="16.5" x14ac:dyDescent="0.3">
      <c r="B168" s="236">
        <v>45433</v>
      </c>
      <c r="C168" s="237"/>
      <c r="D168" s="237"/>
      <c r="E168" s="238">
        <v>22529.05</v>
      </c>
    </row>
    <row r="169" spans="2:5" ht="16.5" x14ac:dyDescent="0.3">
      <c r="B169" s="236">
        <v>45430</v>
      </c>
      <c r="C169" s="237"/>
      <c r="D169" s="237"/>
      <c r="E169" s="238">
        <v>22502</v>
      </c>
    </row>
    <row r="170" spans="2:5" ht="16.5" x14ac:dyDescent="0.3">
      <c r="B170" s="236">
        <v>45429</v>
      </c>
      <c r="C170" s="237"/>
      <c r="D170" s="237"/>
      <c r="E170" s="238">
        <v>22466.1</v>
      </c>
    </row>
    <row r="171" spans="2:5" ht="16.5" x14ac:dyDescent="0.3">
      <c r="B171" s="236">
        <v>45428</v>
      </c>
      <c r="C171" s="237"/>
      <c r="D171" s="237"/>
      <c r="E171" s="238">
        <v>22403.85</v>
      </c>
    </row>
    <row r="172" spans="2:5" ht="16.5" x14ac:dyDescent="0.3">
      <c r="B172" s="236">
        <v>45427</v>
      </c>
      <c r="C172" s="237"/>
      <c r="D172" s="237"/>
      <c r="E172" s="238">
        <v>22200.55</v>
      </c>
    </row>
    <row r="173" spans="2:5" ht="16.5" x14ac:dyDescent="0.3">
      <c r="B173" s="236">
        <v>45426</v>
      </c>
      <c r="C173" s="237"/>
      <c r="D173" s="237"/>
      <c r="E173" s="238">
        <v>22217.85</v>
      </c>
    </row>
    <row r="174" spans="2:5" ht="16.5" x14ac:dyDescent="0.3">
      <c r="B174" s="236">
        <v>45425</v>
      </c>
      <c r="C174" s="237"/>
      <c r="D174" s="237"/>
      <c r="E174" s="238">
        <v>22104.05</v>
      </c>
    </row>
    <row r="175" spans="2:5" ht="16.5" x14ac:dyDescent="0.3">
      <c r="B175" s="236">
        <v>45422</v>
      </c>
      <c r="C175" s="237"/>
      <c r="D175" s="237"/>
      <c r="E175" s="238">
        <v>22055.200000000001</v>
      </c>
    </row>
    <row r="176" spans="2:5" ht="16.5" x14ac:dyDescent="0.3">
      <c r="B176" s="236">
        <v>45421</v>
      </c>
      <c r="C176" s="237"/>
      <c r="D176" s="237"/>
      <c r="E176" s="238">
        <v>21957.5</v>
      </c>
    </row>
    <row r="177" spans="2:5" ht="16.5" x14ac:dyDescent="0.3">
      <c r="B177" s="236">
        <v>45420</v>
      </c>
      <c r="C177" s="237"/>
      <c r="D177" s="237"/>
      <c r="E177" s="238">
        <v>22302.5</v>
      </c>
    </row>
    <row r="178" spans="2:5" ht="16.5" x14ac:dyDescent="0.3">
      <c r="B178" s="236">
        <v>45419</v>
      </c>
      <c r="C178" s="237"/>
      <c r="D178" s="237"/>
      <c r="E178" s="238">
        <v>22302.5</v>
      </c>
    </row>
    <row r="179" spans="2:5" ht="16.5" x14ac:dyDescent="0.3">
      <c r="B179" s="236">
        <v>45418</v>
      </c>
      <c r="C179" s="237"/>
      <c r="D179" s="237"/>
      <c r="E179" s="238">
        <v>22442.7</v>
      </c>
    </row>
    <row r="180" spans="2:5" ht="16.5" x14ac:dyDescent="0.3">
      <c r="B180" s="236">
        <v>45415</v>
      </c>
      <c r="C180" s="237"/>
      <c r="D180" s="237"/>
      <c r="E180" s="238">
        <v>22475.85</v>
      </c>
    </row>
    <row r="181" spans="2:5" ht="16.5" x14ac:dyDescent="0.3">
      <c r="B181" s="236">
        <v>45414</v>
      </c>
      <c r="C181" s="237"/>
      <c r="D181" s="237"/>
      <c r="E181" s="238">
        <v>22648.2</v>
      </c>
    </row>
    <row r="182" spans="2:5" ht="16.5" x14ac:dyDescent="0.3">
      <c r="B182" s="236">
        <v>45412</v>
      </c>
      <c r="C182" s="237"/>
      <c r="D182" s="237"/>
      <c r="E182" s="238">
        <v>22604.85</v>
      </c>
    </row>
    <row r="183" spans="2:5" ht="16.5" x14ac:dyDescent="0.3">
      <c r="B183" s="236">
        <v>45411</v>
      </c>
      <c r="C183" s="237"/>
      <c r="D183" s="237"/>
      <c r="E183" s="238">
        <v>22643.4</v>
      </c>
    </row>
    <row r="184" spans="2:5" ht="16.5" x14ac:dyDescent="0.3">
      <c r="B184" s="236">
        <v>45408</v>
      </c>
      <c r="C184" s="237"/>
      <c r="D184" s="237"/>
      <c r="E184" s="238">
        <v>22419.95</v>
      </c>
    </row>
    <row r="185" spans="2:5" ht="16.5" x14ac:dyDescent="0.3">
      <c r="B185" s="236">
        <v>45407</v>
      </c>
      <c r="C185" s="237"/>
      <c r="D185" s="237"/>
      <c r="E185" s="238">
        <v>22570.35</v>
      </c>
    </row>
    <row r="186" spans="2:5" ht="16.5" x14ac:dyDescent="0.3">
      <c r="B186" s="236">
        <v>45406</v>
      </c>
      <c r="C186" s="237"/>
      <c r="D186" s="237"/>
      <c r="E186" s="238">
        <v>22402.400000000001</v>
      </c>
    </row>
    <row r="187" spans="2:5" ht="16.5" x14ac:dyDescent="0.3">
      <c r="B187" s="236">
        <v>45405</v>
      </c>
      <c r="C187" s="237"/>
      <c r="D187" s="237"/>
      <c r="E187" s="238">
        <v>22368</v>
      </c>
    </row>
    <row r="188" spans="2:5" ht="16.5" x14ac:dyDescent="0.3">
      <c r="B188" s="236">
        <v>45404</v>
      </c>
      <c r="C188" s="237"/>
      <c r="D188" s="237"/>
      <c r="E188" s="238">
        <v>22336.400000000001</v>
      </c>
    </row>
    <row r="189" spans="2:5" ht="16.5" x14ac:dyDescent="0.3">
      <c r="B189" s="236">
        <v>45401</v>
      </c>
      <c r="C189" s="237"/>
      <c r="D189" s="237"/>
      <c r="E189" s="238">
        <v>22147</v>
      </c>
    </row>
    <row r="190" spans="2:5" ht="16.5" x14ac:dyDescent="0.3">
      <c r="B190" s="236">
        <v>45400</v>
      </c>
      <c r="C190" s="237"/>
      <c r="D190" s="237"/>
      <c r="E190" s="238">
        <v>21995.85</v>
      </c>
    </row>
    <row r="191" spans="2:5" ht="16.5" x14ac:dyDescent="0.3">
      <c r="B191" s="236">
        <v>45398</v>
      </c>
      <c r="C191" s="237"/>
      <c r="D191" s="237"/>
      <c r="E191" s="238">
        <v>22147.9</v>
      </c>
    </row>
    <row r="192" spans="2:5" ht="16.5" x14ac:dyDescent="0.3">
      <c r="B192" s="236">
        <v>45397</v>
      </c>
      <c r="C192" s="237"/>
      <c r="D192" s="237"/>
      <c r="E192" s="238">
        <v>22272.5</v>
      </c>
    </row>
    <row r="193" spans="2:5" ht="16.5" x14ac:dyDescent="0.3">
      <c r="B193" s="236">
        <v>45394</v>
      </c>
      <c r="C193" s="237"/>
      <c r="D193" s="237"/>
      <c r="E193" s="238">
        <v>22519.4</v>
      </c>
    </row>
    <row r="194" spans="2:5" ht="16.5" x14ac:dyDescent="0.3">
      <c r="B194" s="236">
        <v>45392</v>
      </c>
      <c r="C194" s="237"/>
      <c r="D194" s="237"/>
      <c r="E194" s="238">
        <v>22753.8</v>
      </c>
    </row>
    <row r="195" spans="2:5" ht="16.5" x14ac:dyDescent="0.3">
      <c r="B195" s="236">
        <v>45391</v>
      </c>
      <c r="C195" s="237"/>
      <c r="D195" s="237"/>
      <c r="E195" s="238">
        <v>22642.75</v>
      </c>
    </row>
    <row r="196" spans="2:5" ht="16.5" x14ac:dyDescent="0.3">
      <c r="B196" s="236">
        <v>45390</v>
      </c>
      <c r="C196" s="237"/>
      <c r="D196" s="237"/>
      <c r="E196" s="238">
        <v>22666.3</v>
      </c>
    </row>
    <row r="197" spans="2:5" ht="16.5" x14ac:dyDescent="0.3">
      <c r="B197" s="236">
        <v>45387</v>
      </c>
      <c r="C197" s="237"/>
      <c r="D197" s="237"/>
      <c r="E197" s="238">
        <v>22513.7</v>
      </c>
    </row>
    <row r="198" spans="2:5" ht="16.5" x14ac:dyDescent="0.3">
      <c r="B198" s="236">
        <v>45386</v>
      </c>
      <c r="C198" s="237"/>
      <c r="D198" s="237"/>
      <c r="E198" s="238">
        <v>22514.65</v>
      </c>
    </row>
    <row r="199" spans="2:5" ht="16.5" x14ac:dyDescent="0.3">
      <c r="B199" s="236">
        <v>45385</v>
      </c>
      <c r="C199" s="237"/>
      <c r="D199" s="237"/>
      <c r="E199" s="238">
        <v>22434.65</v>
      </c>
    </row>
    <row r="200" spans="2:5" ht="16.5" x14ac:dyDescent="0.3">
      <c r="B200" s="236">
        <v>45384</v>
      </c>
      <c r="C200" s="237"/>
      <c r="D200" s="237"/>
      <c r="E200" s="238">
        <v>22453.3</v>
      </c>
    </row>
    <row r="201" spans="2:5" ht="16.5" x14ac:dyDescent="0.3">
      <c r="B201" s="236">
        <v>45383</v>
      </c>
      <c r="C201" s="237"/>
      <c r="D201" s="237"/>
      <c r="E201" s="238">
        <v>22462</v>
      </c>
    </row>
    <row r="202" spans="2:5" ht="16.5" x14ac:dyDescent="0.3">
      <c r="B202" s="236">
        <v>45379</v>
      </c>
      <c r="C202" s="73"/>
      <c r="D202" s="73"/>
      <c r="E202" s="145">
        <v>32867.230000000003</v>
      </c>
    </row>
    <row r="203" spans="2:5" ht="16.5" x14ac:dyDescent="0.3">
      <c r="B203" s="236">
        <v>45378</v>
      </c>
      <c r="C203" s="73"/>
      <c r="D203" s="73"/>
      <c r="E203" s="145">
        <v>32568.01</v>
      </c>
    </row>
    <row r="204" spans="2:5" ht="16.5" x14ac:dyDescent="0.3">
      <c r="B204" s="236">
        <v>45377</v>
      </c>
      <c r="C204" s="73"/>
      <c r="D204" s="73"/>
      <c r="E204" s="145">
        <v>32392.94</v>
      </c>
    </row>
    <row r="205" spans="2:5" ht="16.5" x14ac:dyDescent="0.3">
      <c r="B205" s="236">
        <v>45373</v>
      </c>
      <c r="C205" s="73"/>
      <c r="D205" s="73"/>
      <c r="E205" s="145">
        <v>32528.43</v>
      </c>
    </row>
    <row r="206" spans="2:5" ht="16.5" x14ac:dyDescent="0.3">
      <c r="B206" s="236">
        <v>45372</v>
      </c>
      <c r="C206" s="73"/>
      <c r="D206" s="73"/>
      <c r="E206" s="145">
        <v>32403.599999999999</v>
      </c>
    </row>
    <row r="207" spans="2:5" ht="16.5" x14ac:dyDescent="0.3">
      <c r="B207" s="236">
        <v>45371</v>
      </c>
      <c r="C207" s="73"/>
      <c r="D207" s="73"/>
      <c r="E207" s="145">
        <v>32149.17</v>
      </c>
    </row>
    <row r="208" spans="2:5" ht="16.5" x14ac:dyDescent="0.3">
      <c r="B208" s="236">
        <v>45370</v>
      </c>
      <c r="C208" s="73"/>
      <c r="D208" s="73"/>
      <c r="E208" s="145">
        <v>32117.3</v>
      </c>
    </row>
    <row r="209" spans="2:5" ht="16.5" x14ac:dyDescent="0.3">
      <c r="B209" s="236">
        <v>45369</v>
      </c>
      <c r="C209" s="73"/>
      <c r="D209" s="73"/>
      <c r="E209" s="145">
        <v>32468</v>
      </c>
    </row>
    <row r="210" spans="2:5" ht="16.5" x14ac:dyDescent="0.3">
      <c r="B210" s="236">
        <v>45366</v>
      </c>
      <c r="C210" s="73"/>
      <c r="D210" s="73"/>
      <c r="E210" s="145">
        <v>32420.41</v>
      </c>
    </row>
    <row r="211" spans="2:5" ht="16.5" x14ac:dyDescent="0.3">
      <c r="B211" s="236">
        <v>45365</v>
      </c>
      <c r="C211" s="73"/>
      <c r="D211" s="73"/>
      <c r="E211" s="145">
        <v>32601.49</v>
      </c>
    </row>
    <row r="212" spans="2:5" ht="16.5" x14ac:dyDescent="0.3">
      <c r="B212" s="236">
        <v>45364</v>
      </c>
      <c r="C212" s="73"/>
      <c r="D212" s="73"/>
      <c r="E212" s="145">
        <v>32382.22</v>
      </c>
    </row>
    <row r="213" spans="2:5" ht="16.5" x14ac:dyDescent="0.3">
      <c r="B213" s="236">
        <v>45363</v>
      </c>
      <c r="C213" s="73"/>
      <c r="D213" s="73"/>
      <c r="E213" s="145">
        <v>32879.74</v>
      </c>
    </row>
    <row r="214" spans="2:5" ht="16.5" x14ac:dyDescent="0.3">
      <c r="B214" s="236">
        <v>45362</v>
      </c>
      <c r="C214" s="73"/>
      <c r="D214" s="73"/>
      <c r="E214" s="145">
        <v>32875.25</v>
      </c>
    </row>
    <row r="215" spans="2:5" ht="16.5" x14ac:dyDescent="0.3">
      <c r="B215" s="236">
        <v>45358</v>
      </c>
      <c r="C215" s="73"/>
      <c r="D215" s="73"/>
      <c r="E215" s="145">
        <v>33112.15</v>
      </c>
    </row>
    <row r="216" spans="2:5" ht="16.5" x14ac:dyDescent="0.3">
      <c r="B216" s="236">
        <v>45357</v>
      </c>
      <c r="C216" s="73"/>
      <c r="D216" s="73"/>
      <c r="E216" s="145">
        <v>33083.42</v>
      </c>
    </row>
    <row r="217" spans="2:5" ht="16.5" x14ac:dyDescent="0.3">
      <c r="B217" s="236">
        <v>45356</v>
      </c>
      <c r="C217" s="73"/>
      <c r="D217" s="73"/>
      <c r="E217" s="145">
        <v>32910.07</v>
      </c>
    </row>
    <row r="218" spans="2:5" ht="16.5" x14ac:dyDescent="0.3">
      <c r="B218" s="236">
        <v>45355</v>
      </c>
      <c r="C218" s="73"/>
      <c r="D218" s="73"/>
      <c r="E218" s="145">
        <v>32982.68</v>
      </c>
    </row>
    <row r="219" spans="2:5" ht="16.5" x14ac:dyDescent="0.3">
      <c r="B219" s="236">
        <v>45353</v>
      </c>
      <c r="C219" s="73"/>
      <c r="D219" s="73"/>
      <c r="E219" s="145">
        <v>32942.629999999997</v>
      </c>
    </row>
    <row r="220" spans="2:5" ht="16.5" x14ac:dyDescent="0.3">
      <c r="B220" s="236">
        <v>45352</v>
      </c>
      <c r="C220" s="73"/>
      <c r="D220" s="73"/>
      <c r="E220" s="145">
        <v>32884.29</v>
      </c>
    </row>
    <row r="221" spans="2:5" ht="16.5" x14ac:dyDescent="0.3">
      <c r="B221" s="236">
        <v>45351</v>
      </c>
      <c r="C221" s="73"/>
      <c r="D221" s="73"/>
      <c r="E221" s="145">
        <v>32360.25</v>
      </c>
    </row>
    <row r="222" spans="2:5" ht="16.5" x14ac:dyDescent="0.3">
      <c r="B222" s="236">
        <v>45350</v>
      </c>
      <c r="C222" s="73"/>
      <c r="D222" s="73"/>
      <c r="E222" s="145">
        <v>32313.7</v>
      </c>
    </row>
    <row r="223" spans="2:5" ht="16.5" x14ac:dyDescent="0.3">
      <c r="B223" s="236">
        <v>45349</v>
      </c>
      <c r="C223" s="73"/>
      <c r="D223" s="73"/>
      <c r="E223" s="145">
        <v>32677.61</v>
      </c>
    </row>
    <row r="224" spans="2:5" ht="16.5" x14ac:dyDescent="0.3">
      <c r="B224" s="236">
        <v>45348</v>
      </c>
      <c r="C224" s="73"/>
      <c r="D224" s="73"/>
      <c r="E224" s="145">
        <v>32565.29</v>
      </c>
    </row>
    <row r="225" spans="2:5" ht="16.5" x14ac:dyDescent="0.3">
      <c r="B225" s="236">
        <v>45345</v>
      </c>
      <c r="C225" s="73"/>
      <c r="D225" s="73"/>
      <c r="E225" s="145">
        <v>32698.69</v>
      </c>
    </row>
    <row r="226" spans="2:5" ht="16.5" x14ac:dyDescent="0.3">
      <c r="B226" s="236">
        <v>45344</v>
      </c>
      <c r="C226" s="73"/>
      <c r="D226" s="73"/>
      <c r="E226" s="145">
        <v>32705.7</v>
      </c>
    </row>
    <row r="227" spans="2:5" ht="16.5" x14ac:dyDescent="0.3">
      <c r="B227" s="236">
        <v>45343</v>
      </c>
      <c r="C227" s="73"/>
      <c r="D227" s="73"/>
      <c r="E227" s="145">
        <v>32466.65</v>
      </c>
    </row>
    <row r="228" spans="2:5" ht="16.5" x14ac:dyDescent="0.3">
      <c r="B228" s="236">
        <v>45342</v>
      </c>
      <c r="C228" s="73"/>
      <c r="D228" s="73"/>
      <c r="E228" s="145">
        <v>32675.53</v>
      </c>
    </row>
    <row r="229" spans="2:5" ht="16.5" x14ac:dyDescent="0.3">
      <c r="B229" s="236">
        <v>45341</v>
      </c>
      <c r="C229" s="73"/>
      <c r="D229" s="73"/>
      <c r="E229" s="145">
        <v>32561.34</v>
      </c>
    </row>
    <row r="230" spans="2:5" ht="16.5" x14ac:dyDescent="0.3">
      <c r="B230" s="236">
        <v>45338</v>
      </c>
      <c r="C230" s="73"/>
      <c r="D230" s="73"/>
      <c r="E230" s="145">
        <v>32441.32</v>
      </c>
    </row>
    <row r="231" spans="2:5" ht="16.5" x14ac:dyDescent="0.3">
      <c r="B231" s="236">
        <v>45337</v>
      </c>
      <c r="C231" s="73"/>
      <c r="D231" s="73"/>
      <c r="E231" s="145">
        <v>32244.79</v>
      </c>
    </row>
    <row r="232" spans="2:5" ht="16.5" x14ac:dyDescent="0.3">
      <c r="B232" s="236">
        <v>45336</v>
      </c>
      <c r="C232" s="73"/>
      <c r="D232" s="73"/>
      <c r="E232" s="145">
        <v>32133.040000000001</v>
      </c>
    </row>
    <row r="233" spans="2:5" ht="16.5" x14ac:dyDescent="0.3">
      <c r="B233" s="236">
        <v>45335</v>
      </c>
      <c r="C233" s="73"/>
      <c r="D233" s="73"/>
      <c r="E233" s="145">
        <v>31990.61</v>
      </c>
    </row>
    <row r="234" spans="2:5" ht="16.5" x14ac:dyDescent="0.3">
      <c r="B234" s="236">
        <v>45334</v>
      </c>
      <c r="C234" s="73"/>
      <c r="D234" s="73"/>
      <c r="E234" s="145">
        <v>31803.52</v>
      </c>
    </row>
    <row r="235" spans="2:5" ht="16.5" x14ac:dyDescent="0.3">
      <c r="B235" s="236">
        <v>45331</v>
      </c>
      <c r="C235" s="73"/>
      <c r="D235" s="73"/>
      <c r="E235" s="145">
        <v>32048.38</v>
      </c>
    </row>
    <row r="236" spans="2:5" ht="16.5" x14ac:dyDescent="0.3">
      <c r="B236" s="236">
        <v>45330</v>
      </c>
      <c r="C236" s="73"/>
      <c r="D236" s="73"/>
      <c r="E236" s="145">
        <v>31950.32</v>
      </c>
    </row>
    <row r="237" spans="2:5" ht="16.5" x14ac:dyDescent="0.3">
      <c r="B237" s="236">
        <v>45329</v>
      </c>
      <c r="C237" s="73"/>
      <c r="D237" s="73"/>
      <c r="E237" s="145">
        <v>32244.22</v>
      </c>
    </row>
    <row r="238" spans="2:5" ht="16.5" x14ac:dyDescent="0.3">
      <c r="B238" s="236">
        <v>45328</v>
      </c>
      <c r="C238" s="73"/>
      <c r="D238" s="73"/>
      <c r="E238" s="145">
        <v>32242.59</v>
      </c>
    </row>
    <row r="239" spans="2:5" ht="16.5" x14ac:dyDescent="0.3">
      <c r="B239" s="236">
        <v>45327</v>
      </c>
      <c r="C239" s="73"/>
      <c r="D239" s="73"/>
      <c r="E239" s="145">
        <v>32007.18</v>
      </c>
    </row>
    <row r="240" spans="2:5" ht="16.5" x14ac:dyDescent="0.3">
      <c r="B240" s="236">
        <v>45324</v>
      </c>
      <c r="C240" s="73"/>
      <c r="D240" s="73"/>
      <c r="E240" s="145">
        <v>32127.9</v>
      </c>
    </row>
    <row r="241" spans="2:5" ht="16.5" x14ac:dyDescent="0.3">
      <c r="B241" s="236">
        <v>45323</v>
      </c>
      <c r="C241" s="73"/>
      <c r="D241" s="73"/>
      <c r="E241" s="145">
        <v>31898.06</v>
      </c>
    </row>
    <row r="242" spans="2:5" ht="16.5" x14ac:dyDescent="0.3">
      <c r="B242" s="236">
        <v>45322</v>
      </c>
      <c r="C242" s="73"/>
      <c r="D242" s="73"/>
      <c r="E242" s="145">
        <v>31939.59</v>
      </c>
    </row>
    <row r="243" spans="2:5" ht="16.5" x14ac:dyDescent="0.3">
      <c r="B243" s="236">
        <v>45321</v>
      </c>
      <c r="C243" s="73"/>
      <c r="D243" s="73"/>
      <c r="E243" s="145">
        <v>31640.240000000002</v>
      </c>
    </row>
    <row r="244" spans="2:5" ht="16.5" x14ac:dyDescent="0.3">
      <c r="B244" s="236">
        <v>45320</v>
      </c>
      <c r="C244" s="73"/>
      <c r="D244" s="73"/>
      <c r="E244" s="145">
        <v>31957.05</v>
      </c>
    </row>
    <row r="245" spans="2:5" ht="16.5" x14ac:dyDescent="0.3">
      <c r="B245" s="236">
        <v>45316</v>
      </c>
      <c r="C245" s="73"/>
      <c r="D245" s="73"/>
      <c r="E245" s="145">
        <v>31391.07</v>
      </c>
    </row>
    <row r="246" spans="2:5" ht="16.5" x14ac:dyDescent="0.3">
      <c r="B246" s="236">
        <v>45315</v>
      </c>
      <c r="C246" s="73"/>
      <c r="D246" s="73"/>
      <c r="E246" s="145">
        <v>31540.07</v>
      </c>
    </row>
    <row r="247" spans="2:5" ht="16.5" x14ac:dyDescent="0.3">
      <c r="B247" s="236">
        <v>45314</v>
      </c>
      <c r="C247" s="73"/>
      <c r="D247" s="73"/>
      <c r="E247" s="145">
        <v>31223.3</v>
      </c>
    </row>
    <row r="248" spans="2:5" ht="16.5" x14ac:dyDescent="0.3">
      <c r="B248" s="236">
        <v>45311</v>
      </c>
      <c r="C248" s="73"/>
      <c r="D248" s="73"/>
      <c r="E248" s="145">
        <v>31712.86</v>
      </c>
    </row>
    <row r="249" spans="2:5" ht="16.5" x14ac:dyDescent="0.3">
      <c r="B249" s="236">
        <v>45310</v>
      </c>
      <c r="C249" s="73"/>
      <c r="D249" s="73"/>
      <c r="E249" s="145">
        <v>31787.24</v>
      </c>
    </row>
    <row r="250" spans="2:5" ht="16.5" x14ac:dyDescent="0.3">
      <c r="B250" s="236">
        <v>45309</v>
      </c>
      <c r="C250" s="73"/>
      <c r="D250" s="73"/>
      <c r="E250" s="145">
        <v>31538.400000000001</v>
      </c>
    </row>
    <row r="251" spans="2:5" ht="16.5" x14ac:dyDescent="0.3">
      <c r="B251" s="236">
        <v>45308</v>
      </c>
      <c r="C251" s="73"/>
      <c r="D251" s="73"/>
      <c r="E251" s="145">
        <v>31699.64</v>
      </c>
    </row>
    <row r="252" spans="2:5" ht="16.5" x14ac:dyDescent="0.3">
      <c r="B252" s="236">
        <v>45307</v>
      </c>
      <c r="C252" s="73"/>
      <c r="D252" s="73"/>
      <c r="E252" s="145">
        <v>32376.1</v>
      </c>
    </row>
    <row r="253" spans="2:5" ht="16.5" x14ac:dyDescent="0.3">
      <c r="B253" s="236">
        <v>45306</v>
      </c>
      <c r="C253" s="73"/>
      <c r="D253" s="73"/>
      <c r="E253" s="145">
        <v>32471.8</v>
      </c>
    </row>
    <row r="254" spans="2:5" ht="16.5" x14ac:dyDescent="0.3">
      <c r="B254" s="236">
        <v>45303</v>
      </c>
      <c r="C254" s="73"/>
      <c r="D254" s="73"/>
      <c r="E254" s="145">
        <v>32173.66</v>
      </c>
    </row>
    <row r="255" spans="2:5" ht="16.5" x14ac:dyDescent="0.3">
      <c r="B255" s="236">
        <v>45302</v>
      </c>
      <c r="C255" s="73"/>
      <c r="D255" s="73"/>
      <c r="E255" s="145">
        <v>31810.18</v>
      </c>
    </row>
    <row r="256" spans="2:5" ht="16.5" x14ac:dyDescent="0.3">
      <c r="B256" s="236">
        <v>45301</v>
      </c>
      <c r="C256" s="73"/>
      <c r="D256" s="73"/>
      <c r="E256" s="145">
        <v>31768.3</v>
      </c>
    </row>
    <row r="257" spans="2:5" ht="16.5" x14ac:dyDescent="0.3">
      <c r="B257" s="236">
        <v>45300</v>
      </c>
      <c r="C257" s="73"/>
      <c r="D257" s="73"/>
      <c r="E257" s="145">
        <v>31659.81</v>
      </c>
    </row>
    <row r="258" spans="2:5" ht="16.5" x14ac:dyDescent="0.3">
      <c r="B258" s="236">
        <v>45299</v>
      </c>
      <c r="C258" s="73"/>
      <c r="D258" s="73"/>
      <c r="E258" s="145">
        <v>31613.01</v>
      </c>
    </row>
    <row r="259" spans="2:5" ht="16.5" x14ac:dyDescent="0.3">
      <c r="B259" s="236">
        <v>45296</v>
      </c>
      <c r="C259" s="73"/>
      <c r="D259" s="73"/>
      <c r="E259" s="145">
        <v>31903.69</v>
      </c>
    </row>
    <row r="260" spans="2:5" ht="16.5" x14ac:dyDescent="0.3">
      <c r="B260" s="236">
        <v>45295</v>
      </c>
      <c r="C260" s="73"/>
      <c r="D260" s="73"/>
      <c r="E260" s="145">
        <v>31826.97</v>
      </c>
    </row>
    <row r="261" spans="2:5" ht="16.5" x14ac:dyDescent="0.3">
      <c r="B261" s="236">
        <v>45294</v>
      </c>
      <c r="C261" s="73"/>
      <c r="D261" s="73"/>
      <c r="E261" s="145">
        <v>31619.360000000001</v>
      </c>
    </row>
    <row r="262" spans="2:5" ht="16.5" x14ac:dyDescent="0.3">
      <c r="B262" s="236">
        <v>45293</v>
      </c>
      <c r="C262" s="73"/>
      <c r="D262" s="73"/>
      <c r="E262" s="145">
        <v>31837.56</v>
      </c>
    </row>
    <row r="263" spans="2:5" ht="16.5" x14ac:dyDescent="0.3">
      <c r="B263" s="236">
        <v>45292</v>
      </c>
      <c r="C263" s="73"/>
      <c r="D263" s="73"/>
      <c r="E263" s="145">
        <v>31949.360000000001</v>
      </c>
    </row>
    <row r="264" spans="2:5" ht="16.5" x14ac:dyDescent="0.3">
      <c r="B264" s="236">
        <v>45289</v>
      </c>
      <c r="C264" s="73"/>
      <c r="D264" s="73"/>
      <c r="E264" s="145">
        <v>31933.93</v>
      </c>
    </row>
    <row r="265" spans="2:5" ht="16.5" x14ac:dyDescent="0.3">
      <c r="B265" s="236">
        <v>45288</v>
      </c>
      <c r="C265" s="73"/>
      <c r="D265" s="73"/>
      <c r="E265" s="145">
        <v>32003.47</v>
      </c>
    </row>
    <row r="266" spans="2:5" ht="16.5" x14ac:dyDescent="0.3">
      <c r="B266" s="236">
        <v>45287</v>
      </c>
      <c r="C266" s="73"/>
      <c r="D266" s="73"/>
      <c r="E266" s="145">
        <v>31821.31</v>
      </c>
    </row>
    <row r="267" spans="2:5" ht="16.5" x14ac:dyDescent="0.3">
      <c r="B267" s="236">
        <v>45286</v>
      </c>
      <c r="C267" s="73"/>
      <c r="D267" s="73"/>
      <c r="E267" s="145">
        <v>31507.69</v>
      </c>
    </row>
    <row r="268" spans="2:5" ht="16.5" x14ac:dyDescent="0.3">
      <c r="B268" s="236">
        <v>45282</v>
      </c>
      <c r="C268" s="73"/>
      <c r="D268" s="73"/>
      <c r="E268" s="145">
        <v>31372.6</v>
      </c>
    </row>
    <row r="269" spans="2:5" ht="16.5" x14ac:dyDescent="0.3">
      <c r="B269" s="236">
        <v>45281</v>
      </c>
      <c r="C269" s="73"/>
      <c r="D269" s="73"/>
      <c r="E269" s="145">
        <v>31233.93</v>
      </c>
    </row>
    <row r="270" spans="2:5" ht="16.5" x14ac:dyDescent="0.3">
      <c r="B270" s="236">
        <v>45280</v>
      </c>
      <c r="C270" s="73"/>
      <c r="D270" s="73"/>
      <c r="E270" s="145">
        <v>31079.759999999998</v>
      </c>
    </row>
    <row r="271" spans="2:5" ht="16.5" x14ac:dyDescent="0.3">
      <c r="B271" s="236">
        <v>45279</v>
      </c>
      <c r="C271" s="73"/>
      <c r="D271" s="73"/>
      <c r="E271" s="145">
        <v>31525</v>
      </c>
    </row>
    <row r="272" spans="2:5" ht="16.5" x14ac:dyDescent="0.3">
      <c r="B272" s="236">
        <v>45278</v>
      </c>
      <c r="C272" s="73"/>
      <c r="D272" s="73"/>
      <c r="E272" s="145">
        <v>31474.35</v>
      </c>
    </row>
    <row r="273" spans="2:5" ht="16.5" x14ac:dyDescent="0.3">
      <c r="B273" s="236">
        <v>45275</v>
      </c>
      <c r="C273" s="73"/>
      <c r="D273" s="73"/>
      <c r="E273" s="145">
        <v>31530.19</v>
      </c>
    </row>
    <row r="274" spans="2:5" ht="16.5" x14ac:dyDescent="0.3">
      <c r="B274" s="236">
        <v>45274</v>
      </c>
      <c r="C274" s="73"/>
      <c r="D274" s="73"/>
      <c r="E274" s="145">
        <v>31127.599999999999</v>
      </c>
    </row>
    <row r="275" spans="2:5" ht="16.5" x14ac:dyDescent="0.3">
      <c r="B275" s="236">
        <v>45273</v>
      </c>
      <c r="C275" s="73"/>
      <c r="D275" s="73"/>
      <c r="E275" s="145">
        <v>30750.95</v>
      </c>
    </row>
    <row r="276" spans="2:5" ht="16.5" x14ac:dyDescent="0.3">
      <c r="B276" s="236">
        <v>45272</v>
      </c>
      <c r="C276" s="73"/>
      <c r="D276" s="73"/>
      <c r="E276" s="145">
        <v>30721.59</v>
      </c>
    </row>
    <row r="277" spans="2:5" ht="16.5" x14ac:dyDescent="0.3">
      <c r="B277" s="236">
        <v>45271</v>
      </c>
      <c r="C277" s="73"/>
      <c r="D277" s="73"/>
      <c r="E277" s="145">
        <v>30854.9</v>
      </c>
    </row>
    <row r="278" spans="2:5" ht="16.5" x14ac:dyDescent="0.3">
      <c r="B278" s="236">
        <v>45268</v>
      </c>
      <c r="C278" s="73"/>
      <c r="D278" s="73"/>
      <c r="E278" s="145">
        <v>30814.15</v>
      </c>
    </row>
    <row r="279" spans="2:5" ht="16.5" x14ac:dyDescent="0.3">
      <c r="B279" s="236">
        <v>45267</v>
      </c>
      <c r="C279" s="73"/>
      <c r="D279" s="73"/>
      <c r="E279" s="145">
        <v>30713.86</v>
      </c>
    </row>
    <row r="280" spans="2:5" ht="16.5" x14ac:dyDescent="0.3">
      <c r="B280" s="236">
        <v>45266</v>
      </c>
      <c r="C280" s="73"/>
      <c r="D280" s="73"/>
      <c r="E280" s="145">
        <v>30767.599999999999</v>
      </c>
    </row>
    <row r="281" spans="2:5" ht="16.5" x14ac:dyDescent="0.3">
      <c r="B281" s="236">
        <v>45265</v>
      </c>
      <c r="C281" s="73"/>
      <c r="D281" s="73"/>
      <c r="E281" s="145">
        <v>30646.19</v>
      </c>
    </row>
    <row r="282" spans="2:5" ht="16.5" x14ac:dyDescent="0.3">
      <c r="B282" s="236">
        <v>45264</v>
      </c>
      <c r="C282" s="73"/>
      <c r="D282" s="73"/>
      <c r="E282" s="145">
        <v>30398.91</v>
      </c>
    </row>
    <row r="283" spans="2:5" ht="16.5" x14ac:dyDescent="0.3">
      <c r="B283" s="236">
        <v>45261</v>
      </c>
      <c r="C283" s="73"/>
      <c r="D283" s="73"/>
      <c r="E283" s="145">
        <v>29783.34</v>
      </c>
    </row>
    <row r="284" spans="2:5" ht="16.5" x14ac:dyDescent="0.3">
      <c r="B284" s="236">
        <v>45260</v>
      </c>
      <c r="C284" s="73"/>
      <c r="D284" s="73"/>
      <c r="E284" s="145">
        <v>29585.360000000001</v>
      </c>
    </row>
    <row r="285" spans="2:5" ht="16.5" x14ac:dyDescent="0.3">
      <c r="B285" s="236">
        <v>45259</v>
      </c>
      <c r="C285" s="73"/>
      <c r="D285" s="73"/>
      <c r="E285" s="145">
        <v>29531.63</v>
      </c>
    </row>
    <row r="286" spans="2:5" ht="16.5" x14ac:dyDescent="0.3">
      <c r="B286" s="236">
        <v>45258</v>
      </c>
      <c r="C286" s="73"/>
      <c r="D286" s="73"/>
      <c r="E286" s="145">
        <v>29227.61</v>
      </c>
    </row>
    <row r="287" spans="2:5" ht="16.5" x14ac:dyDescent="0.3">
      <c r="B287" s="236">
        <v>45254</v>
      </c>
      <c r="C287" s="73"/>
      <c r="D287" s="73"/>
      <c r="E287" s="145">
        <v>29087.95</v>
      </c>
    </row>
    <row r="288" spans="2:5" ht="16.5" x14ac:dyDescent="0.3">
      <c r="B288" s="236">
        <v>45253</v>
      </c>
      <c r="C288" s="73"/>
      <c r="D288" s="73"/>
      <c r="E288" s="145">
        <v>29098.74</v>
      </c>
    </row>
    <row r="289" spans="2:5" ht="16.5" x14ac:dyDescent="0.3">
      <c r="B289" s="236">
        <v>45252</v>
      </c>
      <c r="C289" s="73"/>
      <c r="D289" s="73"/>
      <c r="E289" s="145">
        <v>29113.18</v>
      </c>
    </row>
    <row r="290" spans="2:5" ht="16.5" x14ac:dyDescent="0.3">
      <c r="B290" s="236">
        <v>45251</v>
      </c>
      <c r="C290" s="73"/>
      <c r="D290" s="73"/>
      <c r="E290" s="145">
        <v>29071.360000000001</v>
      </c>
    </row>
    <row r="291" spans="2:5" ht="16.5" x14ac:dyDescent="0.3">
      <c r="B291" s="236">
        <v>45250</v>
      </c>
      <c r="C291" s="73"/>
      <c r="D291" s="73"/>
      <c r="E291" s="145">
        <v>28939.98</v>
      </c>
    </row>
    <row r="292" spans="2:5" ht="16.5" x14ac:dyDescent="0.3">
      <c r="B292" s="236">
        <v>45247</v>
      </c>
      <c r="C292" s="73"/>
      <c r="D292" s="73"/>
      <c r="E292" s="145">
        <v>28995.52</v>
      </c>
    </row>
    <row r="293" spans="2:5" ht="16.5" x14ac:dyDescent="0.3">
      <c r="B293" s="236">
        <v>45246</v>
      </c>
      <c r="C293" s="73"/>
      <c r="D293" s="73"/>
      <c r="E293" s="145">
        <v>29044.66</v>
      </c>
    </row>
    <row r="294" spans="2:5" ht="16.5" x14ac:dyDescent="0.3">
      <c r="B294" s="236">
        <v>45245</v>
      </c>
      <c r="C294" s="73"/>
      <c r="D294" s="73"/>
      <c r="E294" s="145">
        <v>28906.7</v>
      </c>
    </row>
    <row r="295" spans="2:5" ht="16.5" x14ac:dyDescent="0.3">
      <c r="B295" s="236">
        <v>45243</v>
      </c>
      <c r="C295" s="73"/>
      <c r="D295" s="73"/>
      <c r="E295" s="145">
        <v>28565.95</v>
      </c>
    </row>
    <row r="296" spans="2:5" ht="16.5" x14ac:dyDescent="0.3">
      <c r="B296" s="236">
        <v>45242</v>
      </c>
      <c r="C296" s="73"/>
      <c r="D296" s="73"/>
      <c r="E296" s="145">
        <v>28686.47</v>
      </c>
    </row>
    <row r="297" spans="2:5" ht="16.5" x14ac:dyDescent="0.3">
      <c r="B297" s="236">
        <v>45240</v>
      </c>
      <c r="C297" s="73"/>
      <c r="D297" s="73"/>
      <c r="E297" s="145">
        <v>28539.24</v>
      </c>
    </row>
    <row r="298" spans="2:5" ht="16.5" x14ac:dyDescent="0.3">
      <c r="B298" s="236">
        <v>45239</v>
      </c>
      <c r="C298" s="73"/>
      <c r="D298" s="73"/>
      <c r="E298" s="145">
        <v>28495.08</v>
      </c>
    </row>
    <row r="299" spans="2:5" ht="16.5" x14ac:dyDescent="0.3">
      <c r="B299" s="236">
        <v>45238</v>
      </c>
      <c r="C299" s="73"/>
      <c r="D299" s="73"/>
      <c r="E299" s="145">
        <v>28565.86</v>
      </c>
    </row>
    <row r="300" spans="2:5" ht="16.5" x14ac:dyDescent="0.3">
      <c r="B300" s="236">
        <v>45237</v>
      </c>
      <c r="C300" s="73"/>
      <c r="D300" s="73"/>
      <c r="E300" s="145">
        <v>28511.81</v>
      </c>
    </row>
    <row r="301" spans="2:5" ht="16.5" x14ac:dyDescent="0.3">
      <c r="B301" s="236">
        <v>45236</v>
      </c>
      <c r="C301" s="73"/>
      <c r="D301" s="73"/>
      <c r="E301" s="145">
        <v>28519.25</v>
      </c>
    </row>
    <row r="302" spans="2:5" ht="16.5" x14ac:dyDescent="0.3">
      <c r="B302" s="236">
        <v>45233</v>
      </c>
      <c r="C302" s="73"/>
      <c r="D302" s="73"/>
      <c r="E302" s="145">
        <v>28253.09</v>
      </c>
    </row>
    <row r="303" spans="2:5" ht="16.5" x14ac:dyDescent="0.3">
      <c r="B303" s="236">
        <v>45232</v>
      </c>
      <c r="C303" s="73"/>
      <c r="D303" s="73"/>
      <c r="E303" s="145">
        <v>28105.75</v>
      </c>
    </row>
    <row r="304" spans="2:5" ht="16.5" x14ac:dyDescent="0.3">
      <c r="B304" s="236">
        <v>45231</v>
      </c>
      <c r="C304" s="73"/>
      <c r="D304" s="73"/>
      <c r="E304" s="145">
        <v>27886.240000000002</v>
      </c>
    </row>
    <row r="305" spans="2:5" ht="16.5" x14ac:dyDescent="0.3">
      <c r="B305" s="236">
        <v>45230</v>
      </c>
      <c r="C305" s="73"/>
      <c r="D305" s="73"/>
      <c r="E305" s="145">
        <v>28017.360000000001</v>
      </c>
    </row>
    <row r="306" spans="2:5" ht="16.5" x14ac:dyDescent="0.3">
      <c r="B306" s="236">
        <v>45229</v>
      </c>
      <c r="C306" s="73"/>
      <c r="D306" s="73"/>
      <c r="E306" s="145">
        <v>28107.42</v>
      </c>
    </row>
    <row r="307" spans="2:5" ht="16.5" x14ac:dyDescent="0.3">
      <c r="B307" s="236">
        <v>45226</v>
      </c>
      <c r="C307" s="73"/>
      <c r="D307" s="73"/>
      <c r="E307" s="145">
        <v>27969.919999999998</v>
      </c>
    </row>
    <row r="308" spans="2:5" ht="16.5" x14ac:dyDescent="0.3">
      <c r="B308" s="236">
        <v>45225</v>
      </c>
      <c r="C308" s="73"/>
      <c r="D308" s="73"/>
      <c r="E308" s="145">
        <v>27690.29</v>
      </c>
    </row>
    <row r="309" spans="2:5" ht="16.5" x14ac:dyDescent="0.3">
      <c r="B309" s="236">
        <v>45224</v>
      </c>
      <c r="C309" s="73"/>
      <c r="D309" s="73"/>
      <c r="E309" s="145">
        <v>28079.26</v>
      </c>
    </row>
    <row r="310" spans="2:5" ht="16.5" x14ac:dyDescent="0.3">
      <c r="B310" s="236">
        <v>45222</v>
      </c>
      <c r="C310" s="73"/>
      <c r="D310" s="73"/>
      <c r="E310" s="145">
        <v>28291.96</v>
      </c>
    </row>
    <row r="311" spans="2:5" ht="16.5" x14ac:dyDescent="0.3">
      <c r="B311" s="236">
        <v>45219</v>
      </c>
      <c r="C311" s="73"/>
      <c r="D311" s="73"/>
      <c r="E311" s="145">
        <v>28674.78</v>
      </c>
    </row>
    <row r="312" spans="2:5" ht="16.5" x14ac:dyDescent="0.3">
      <c r="B312" s="236">
        <v>45218</v>
      </c>
      <c r="C312" s="73"/>
      <c r="D312" s="73"/>
      <c r="E312" s="145">
        <v>28790.880000000001</v>
      </c>
    </row>
    <row r="313" spans="2:5" ht="16.5" x14ac:dyDescent="0.3">
      <c r="B313" s="236">
        <v>45217</v>
      </c>
      <c r="C313" s="73"/>
      <c r="D313" s="73"/>
      <c r="E313" s="145">
        <v>28855.87</v>
      </c>
    </row>
    <row r="314" spans="2:5" ht="16.5" x14ac:dyDescent="0.3">
      <c r="B314" s="236">
        <v>45216</v>
      </c>
      <c r="C314" s="73"/>
      <c r="D314" s="73"/>
      <c r="E314" s="145">
        <v>29061.8</v>
      </c>
    </row>
    <row r="315" spans="2:5" ht="16.5" x14ac:dyDescent="0.3">
      <c r="B315" s="236">
        <v>45215</v>
      </c>
      <c r="C315" s="73"/>
      <c r="D315" s="73"/>
      <c r="E315" s="145">
        <v>28944.87</v>
      </c>
    </row>
    <row r="316" spans="2:5" ht="16.5" x14ac:dyDescent="0.3">
      <c r="B316" s="236">
        <v>45212</v>
      </c>
      <c r="C316" s="73"/>
      <c r="D316" s="73"/>
      <c r="E316" s="145">
        <v>28973.14</v>
      </c>
    </row>
    <row r="317" spans="2:5" ht="16.5" x14ac:dyDescent="0.3">
      <c r="B317" s="236">
        <v>45211</v>
      </c>
      <c r="C317" s="73"/>
      <c r="D317" s="73"/>
      <c r="E317" s="145">
        <v>29036.17</v>
      </c>
    </row>
    <row r="318" spans="2:5" ht="16.5" x14ac:dyDescent="0.3">
      <c r="B318" s="236">
        <v>45210</v>
      </c>
      <c r="C318" s="73"/>
      <c r="D318" s="73"/>
      <c r="E318" s="145">
        <v>29061.61</v>
      </c>
    </row>
    <row r="319" spans="2:5" ht="16.5" x14ac:dyDescent="0.3">
      <c r="B319" s="236">
        <v>45209</v>
      </c>
      <c r="C319" s="73"/>
      <c r="D319" s="73"/>
      <c r="E319" s="145">
        <v>28883.35</v>
      </c>
    </row>
    <row r="320" spans="2:5" ht="16.5" x14ac:dyDescent="0.3">
      <c r="B320" s="236">
        <v>45208</v>
      </c>
      <c r="C320" s="73"/>
      <c r="D320" s="73"/>
      <c r="E320" s="145">
        <v>28622.98</v>
      </c>
    </row>
    <row r="321" spans="2:5" ht="16.5" x14ac:dyDescent="0.3">
      <c r="B321" s="236">
        <v>45205</v>
      </c>
      <c r="C321" s="73"/>
      <c r="D321" s="73"/>
      <c r="E321" s="145">
        <v>28830.080000000002</v>
      </c>
    </row>
    <row r="322" spans="2:5" ht="16.5" x14ac:dyDescent="0.3">
      <c r="B322" s="236">
        <v>45204</v>
      </c>
      <c r="C322" s="73"/>
      <c r="D322" s="73"/>
      <c r="E322" s="145">
        <v>28671.97</v>
      </c>
    </row>
    <row r="323" spans="2:5" ht="16.5" x14ac:dyDescent="0.3">
      <c r="B323" s="236">
        <v>45203</v>
      </c>
      <c r="C323" s="73"/>
      <c r="D323" s="73"/>
      <c r="E323" s="145">
        <v>28511.13</v>
      </c>
    </row>
    <row r="324" spans="2:5" ht="16.5" x14ac:dyDescent="0.3">
      <c r="B324" s="236">
        <v>45202</v>
      </c>
      <c r="C324" s="73"/>
      <c r="D324" s="73"/>
      <c r="E324" s="145">
        <v>28647.040000000001</v>
      </c>
    </row>
    <row r="325" spans="2:5" ht="16.5" x14ac:dyDescent="0.3">
      <c r="B325" s="236">
        <v>45198</v>
      </c>
      <c r="C325" s="73"/>
      <c r="D325" s="73"/>
      <c r="E325" s="145">
        <v>28807.77</v>
      </c>
    </row>
    <row r="326" spans="2:5" ht="16.5" x14ac:dyDescent="0.3">
      <c r="B326" s="236">
        <v>45197</v>
      </c>
      <c r="C326" s="73"/>
      <c r="D326" s="73"/>
      <c r="E326" s="145">
        <v>28639.439999999999</v>
      </c>
    </row>
    <row r="327" spans="2:5" ht="16.5" x14ac:dyDescent="0.3">
      <c r="B327" s="236">
        <v>45196</v>
      </c>
      <c r="C327" s="73"/>
      <c r="D327" s="73"/>
      <c r="E327" s="145">
        <v>28922.43</v>
      </c>
    </row>
    <row r="328" spans="2:5" ht="16.5" x14ac:dyDescent="0.3">
      <c r="B328" s="236">
        <v>45195</v>
      </c>
      <c r="C328" s="73"/>
      <c r="D328" s="73"/>
      <c r="E328" s="145">
        <v>28846.47</v>
      </c>
    </row>
    <row r="329" spans="2:5" ht="16.5" x14ac:dyDescent="0.3">
      <c r="B329" s="236">
        <v>45194</v>
      </c>
      <c r="C329" s="73"/>
      <c r="D329" s="73"/>
      <c r="E329" s="145">
        <v>28860.9</v>
      </c>
    </row>
    <row r="330" spans="2:5" ht="16.5" x14ac:dyDescent="0.3">
      <c r="B330" s="236">
        <v>45191</v>
      </c>
      <c r="C330" s="73"/>
      <c r="D330" s="73"/>
      <c r="E330" s="145">
        <v>28860.46</v>
      </c>
    </row>
    <row r="331" spans="2:5" ht="16.5" x14ac:dyDescent="0.3">
      <c r="B331" s="236">
        <v>45190</v>
      </c>
      <c r="C331" s="73"/>
      <c r="D331" s="73"/>
      <c r="E331" s="145">
        <v>28960.36</v>
      </c>
    </row>
    <row r="332" spans="2:5" ht="16.5" x14ac:dyDescent="0.3">
      <c r="B332" s="236">
        <v>45189</v>
      </c>
      <c r="C332" s="73"/>
      <c r="D332" s="73"/>
      <c r="E332" s="145">
        <v>29193.69</v>
      </c>
    </row>
    <row r="333" spans="2:5" ht="16.5" x14ac:dyDescent="0.3">
      <c r="B333" s="236">
        <v>45187</v>
      </c>
      <c r="C333" s="73"/>
      <c r="D333" s="73"/>
      <c r="E333" s="145">
        <v>29533.91</v>
      </c>
    </row>
    <row r="334" spans="2:5" ht="16.5" x14ac:dyDescent="0.3">
      <c r="B334" s="236">
        <v>45184</v>
      </c>
      <c r="C334" s="73"/>
      <c r="D334" s="73"/>
      <c r="E334" s="145">
        <v>29620.53</v>
      </c>
    </row>
    <row r="335" spans="2:5" ht="16.5" x14ac:dyDescent="0.3">
      <c r="B335" s="236">
        <v>45183</v>
      </c>
      <c r="C335" s="73"/>
      <c r="D335" s="73"/>
      <c r="E335" s="145">
        <v>29489.61</v>
      </c>
    </row>
    <row r="336" spans="2:5" ht="16.5" x14ac:dyDescent="0.3">
      <c r="B336" s="236">
        <v>45182</v>
      </c>
      <c r="C336" s="73"/>
      <c r="D336" s="73"/>
      <c r="E336" s="145">
        <v>29441.040000000001</v>
      </c>
    </row>
    <row r="337" spans="2:5" ht="16.5" x14ac:dyDescent="0.3">
      <c r="B337" s="236">
        <v>45181</v>
      </c>
      <c r="C337" s="73"/>
      <c r="D337" s="73"/>
      <c r="E337" s="145">
        <v>29328.37</v>
      </c>
    </row>
    <row r="338" spans="2:5" ht="16.5" x14ac:dyDescent="0.3">
      <c r="B338" s="236">
        <v>45180</v>
      </c>
      <c r="C338" s="73"/>
      <c r="D338" s="73"/>
      <c r="E338" s="145">
        <v>29333</v>
      </c>
    </row>
    <row r="339" spans="2:5" ht="16.5" x14ac:dyDescent="0.3">
      <c r="B339" s="236">
        <v>45177</v>
      </c>
      <c r="C339" s="73"/>
      <c r="D339" s="73"/>
      <c r="E339" s="145">
        <v>29074.22</v>
      </c>
    </row>
    <row r="340" spans="2:5" ht="16.5" x14ac:dyDescent="0.3">
      <c r="B340" s="236">
        <v>45176</v>
      </c>
      <c r="C340" s="73"/>
      <c r="D340" s="73"/>
      <c r="E340" s="145">
        <v>28937.96</v>
      </c>
    </row>
    <row r="341" spans="2:5" ht="16.5" x14ac:dyDescent="0.3">
      <c r="B341" s="236">
        <v>45175</v>
      </c>
      <c r="C341" s="73"/>
      <c r="D341" s="73"/>
      <c r="E341" s="145">
        <v>28767.78</v>
      </c>
    </row>
    <row r="342" spans="2:5" ht="16.5" x14ac:dyDescent="0.3">
      <c r="B342" s="236">
        <v>45174</v>
      </c>
      <c r="C342" s="73"/>
      <c r="D342" s="73"/>
      <c r="E342" s="145">
        <v>28714.78</v>
      </c>
    </row>
    <row r="343" spans="2:5" ht="16.5" x14ac:dyDescent="0.3">
      <c r="B343" s="236">
        <v>45173</v>
      </c>
      <c r="C343" s="73"/>
      <c r="D343" s="73"/>
      <c r="E343" s="145">
        <v>28647.16</v>
      </c>
    </row>
    <row r="344" spans="2:5" ht="16.5" x14ac:dyDescent="0.3">
      <c r="B344" s="236">
        <v>45170</v>
      </c>
      <c r="C344" s="73"/>
      <c r="D344" s="73"/>
      <c r="E344" s="145">
        <v>28509.94</v>
      </c>
    </row>
    <row r="345" spans="2:5" ht="16.5" x14ac:dyDescent="0.3">
      <c r="B345" s="236">
        <v>45169</v>
      </c>
      <c r="C345" s="73"/>
      <c r="D345" s="73"/>
      <c r="E345" s="145">
        <v>28243.74</v>
      </c>
    </row>
    <row r="346" spans="2:5" ht="16.5" x14ac:dyDescent="0.3">
      <c r="B346" s="236">
        <v>45168</v>
      </c>
      <c r="C346" s="73"/>
      <c r="D346" s="73"/>
      <c r="E346" s="145">
        <v>28381.13</v>
      </c>
    </row>
    <row r="347" spans="2:5" ht="16.5" x14ac:dyDescent="0.3">
      <c r="B347" s="236">
        <v>45167</v>
      </c>
      <c r="C347" s="73"/>
      <c r="D347" s="73"/>
      <c r="E347" s="145">
        <v>28374.03</v>
      </c>
    </row>
    <row r="348" spans="2:5" ht="16.5" x14ac:dyDescent="0.3">
      <c r="B348" s="236">
        <v>45166</v>
      </c>
      <c r="C348" s="73"/>
      <c r="D348" s="73"/>
      <c r="E348" s="145">
        <v>28320.400000000001</v>
      </c>
    </row>
    <row r="349" spans="2:5" ht="16.5" x14ac:dyDescent="0.3">
      <c r="B349" s="236">
        <v>45163</v>
      </c>
      <c r="C349" s="73"/>
      <c r="D349" s="73"/>
      <c r="E349" s="145">
        <v>28261.32</v>
      </c>
    </row>
    <row r="350" spans="2:5" ht="16.5" x14ac:dyDescent="0.3">
      <c r="B350" s="236">
        <v>45162</v>
      </c>
      <c r="C350" s="73"/>
      <c r="D350" s="73"/>
      <c r="E350" s="145">
        <v>28438.68</v>
      </c>
    </row>
    <row r="351" spans="2:5" ht="16.5" x14ac:dyDescent="0.3">
      <c r="B351" s="236">
        <v>45161</v>
      </c>
      <c r="C351" s="73"/>
      <c r="D351" s="73"/>
      <c r="E351" s="145">
        <v>28522.76</v>
      </c>
    </row>
    <row r="352" spans="2:5" ht="16.5" x14ac:dyDescent="0.3">
      <c r="B352" s="236">
        <v>45160</v>
      </c>
      <c r="C352" s="73"/>
      <c r="D352" s="73"/>
      <c r="E352" s="145">
        <v>28453.01</v>
      </c>
    </row>
    <row r="353" spans="2:5" ht="16.5" x14ac:dyDescent="0.3">
      <c r="B353" s="236">
        <v>45159</v>
      </c>
      <c r="C353" s="73"/>
      <c r="D353" s="73"/>
      <c r="E353" s="145">
        <v>28448.83</v>
      </c>
    </row>
    <row r="354" spans="2:5" ht="16.5" x14ac:dyDescent="0.3">
      <c r="B354" s="236">
        <v>45156</v>
      </c>
      <c r="C354" s="73"/>
      <c r="D354" s="73"/>
      <c r="E354" s="145">
        <v>28316.31</v>
      </c>
    </row>
    <row r="355" spans="2:5" ht="16.5" x14ac:dyDescent="0.3">
      <c r="B355" s="236">
        <v>45155</v>
      </c>
      <c r="C355" s="73"/>
      <c r="D355" s="73"/>
      <c r="E355" s="145">
        <v>28393.16</v>
      </c>
    </row>
    <row r="356" spans="2:5" ht="16.5" x14ac:dyDescent="0.3">
      <c r="B356" s="236">
        <v>45154</v>
      </c>
      <c r="C356" s="73"/>
      <c r="D356" s="73"/>
      <c r="E356" s="145">
        <v>28539.38</v>
      </c>
    </row>
    <row r="357" spans="2:5" ht="16.5" x14ac:dyDescent="0.3">
      <c r="B357" s="236">
        <v>45152</v>
      </c>
      <c r="C357" s="73"/>
      <c r="D357" s="73"/>
      <c r="E357" s="145">
        <v>28494.78</v>
      </c>
    </row>
    <row r="358" spans="2:5" ht="16.5" x14ac:dyDescent="0.3">
      <c r="B358" s="236">
        <v>45149</v>
      </c>
      <c r="C358" s="73"/>
      <c r="D358" s="73"/>
      <c r="E358" s="145">
        <v>28482.45</v>
      </c>
    </row>
    <row r="359" spans="2:5" ht="16.5" x14ac:dyDescent="0.3">
      <c r="B359" s="236">
        <v>45148</v>
      </c>
      <c r="C359" s="73"/>
      <c r="D359" s="73"/>
      <c r="E359" s="145">
        <v>28638.92</v>
      </c>
    </row>
    <row r="360" spans="2:5" ht="16.5" x14ac:dyDescent="0.3">
      <c r="B360" s="236">
        <v>45147</v>
      </c>
      <c r="C360" s="73"/>
      <c r="D360" s="73"/>
      <c r="E360" s="145">
        <v>28769.97</v>
      </c>
    </row>
    <row r="361" spans="2:5" ht="16.5" x14ac:dyDescent="0.3">
      <c r="B361" s="236">
        <v>45146</v>
      </c>
      <c r="C361" s="73"/>
      <c r="D361" s="73"/>
      <c r="E361" s="145">
        <v>28661.08</v>
      </c>
    </row>
    <row r="362" spans="2:5" ht="16.5" x14ac:dyDescent="0.3">
      <c r="B362" s="236">
        <v>45145</v>
      </c>
      <c r="C362" s="73"/>
      <c r="D362" s="73"/>
      <c r="E362" s="145">
        <v>28699.8</v>
      </c>
    </row>
    <row r="363" spans="2:5" ht="16.5" x14ac:dyDescent="0.3">
      <c r="B363" s="236">
        <v>45142</v>
      </c>
      <c r="C363" s="73"/>
      <c r="D363" s="73"/>
      <c r="E363" s="145">
        <v>28582.25</v>
      </c>
    </row>
    <row r="364" spans="2:5" ht="16.5" x14ac:dyDescent="0.3">
      <c r="B364" s="236">
        <v>45141</v>
      </c>
      <c r="C364" s="73"/>
      <c r="D364" s="73"/>
      <c r="E364" s="145">
        <v>28383.279999999999</v>
      </c>
    </row>
    <row r="365" spans="2:5" ht="16.5" x14ac:dyDescent="0.3">
      <c r="B365" s="236">
        <v>45140</v>
      </c>
      <c r="C365" s="73"/>
      <c r="D365" s="73"/>
      <c r="E365" s="145">
        <v>28589.81</v>
      </c>
    </row>
    <row r="366" spans="2:5" ht="16.5" x14ac:dyDescent="0.3">
      <c r="B366" s="236">
        <v>45139</v>
      </c>
      <c r="C366" s="73"/>
      <c r="D366" s="73"/>
      <c r="E366" s="145">
        <v>28880.78</v>
      </c>
    </row>
    <row r="367" spans="2:5" ht="16.5" x14ac:dyDescent="0.3">
      <c r="B367" s="236">
        <v>45138</v>
      </c>
      <c r="C367" s="73"/>
      <c r="D367" s="73"/>
      <c r="E367" s="145">
        <v>28910.43</v>
      </c>
    </row>
    <row r="368" spans="2:5" ht="16.5" x14ac:dyDescent="0.3">
      <c r="B368" s="236">
        <v>45135</v>
      </c>
      <c r="C368" s="73"/>
      <c r="D368" s="73"/>
      <c r="E368" s="145">
        <v>28752.69</v>
      </c>
    </row>
    <row r="369" spans="2:5" ht="16.5" x14ac:dyDescent="0.3">
      <c r="B369" s="236">
        <v>45134</v>
      </c>
      <c r="C369" s="73"/>
      <c r="D369" s="73"/>
      <c r="E369" s="145">
        <v>28769.02</v>
      </c>
    </row>
    <row r="370" spans="2:5" ht="16.5" x14ac:dyDescent="0.3">
      <c r="B370" s="236">
        <v>45133</v>
      </c>
      <c r="C370" s="73"/>
      <c r="D370" s="73"/>
      <c r="E370" s="145">
        <v>28939.3</v>
      </c>
    </row>
    <row r="371" spans="2:5" ht="16.5" x14ac:dyDescent="0.3">
      <c r="B371" s="236">
        <v>45132</v>
      </c>
      <c r="C371" s="73"/>
      <c r="D371" s="73"/>
      <c r="E371" s="145">
        <v>28796.35</v>
      </c>
    </row>
    <row r="372" spans="2:5" ht="16.5" x14ac:dyDescent="0.3">
      <c r="B372" s="236">
        <v>45131</v>
      </c>
      <c r="C372" s="73"/>
      <c r="D372" s="73"/>
      <c r="E372" s="145">
        <v>28784.26</v>
      </c>
    </row>
    <row r="373" spans="2:5" ht="16.5" x14ac:dyDescent="0.3">
      <c r="B373" s="236">
        <v>45128</v>
      </c>
      <c r="C373" s="73"/>
      <c r="D373" s="73"/>
      <c r="E373" s="145">
        <v>28890.53</v>
      </c>
    </row>
    <row r="374" spans="2:5" ht="16.5" x14ac:dyDescent="0.3">
      <c r="B374" s="236">
        <v>45127</v>
      </c>
      <c r="C374" s="73"/>
      <c r="D374" s="73"/>
      <c r="E374" s="145">
        <v>29231.71</v>
      </c>
    </row>
    <row r="375" spans="2:5" ht="16.5" x14ac:dyDescent="0.3">
      <c r="B375" s="236">
        <v>45126</v>
      </c>
      <c r="C375" s="73"/>
      <c r="D375" s="73"/>
      <c r="E375" s="145">
        <v>29011.55</v>
      </c>
    </row>
    <row r="376" spans="2:5" ht="16.5" x14ac:dyDescent="0.3">
      <c r="B376" s="236">
        <v>45125</v>
      </c>
      <c r="C376" s="73"/>
      <c r="D376" s="73"/>
      <c r="E376" s="145">
        <v>28888.85</v>
      </c>
    </row>
    <row r="377" spans="2:5" ht="16.5" x14ac:dyDescent="0.3">
      <c r="B377" s="236">
        <v>45124</v>
      </c>
      <c r="C377" s="73"/>
      <c r="D377" s="73"/>
      <c r="E377" s="145">
        <v>28833.54</v>
      </c>
    </row>
    <row r="378" spans="2:5" ht="16.5" x14ac:dyDescent="0.3">
      <c r="B378" s="236">
        <v>45121</v>
      </c>
      <c r="C378" s="73"/>
      <c r="D378" s="73"/>
      <c r="E378" s="145">
        <v>28618.6</v>
      </c>
    </row>
    <row r="379" spans="2:5" ht="16.5" x14ac:dyDescent="0.3">
      <c r="B379" s="236">
        <v>45120</v>
      </c>
      <c r="C379" s="73"/>
      <c r="D379" s="73"/>
      <c r="E379" s="145">
        <v>28393.32</v>
      </c>
    </row>
    <row r="380" spans="2:5" ht="16.5" x14ac:dyDescent="0.3">
      <c r="B380" s="236">
        <v>45119</v>
      </c>
      <c r="C380" s="73"/>
      <c r="D380" s="73"/>
      <c r="E380" s="145">
        <v>28348.880000000001</v>
      </c>
    </row>
    <row r="381" spans="2:5" ht="16.5" x14ac:dyDescent="0.3">
      <c r="B381" s="236">
        <v>45118</v>
      </c>
      <c r="C381" s="73"/>
      <c r="D381" s="73"/>
      <c r="E381" s="145">
        <v>28429.42</v>
      </c>
    </row>
    <row r="382" spans="2:5" ht="16.5" x14ac:dyDescent="0.3">
      <c r="B382" s="236">
        <v>45117</v>
      </c>
      <c r="C382" s="73"/>
      <c r="D382" s="73"/>
      <c r="E382" s="145">
        <v>28304.66</v>
      </c>
    </row>
    <row r="383" spans="2:5" ht="16.5" x14ac:dyDescent="0.3">
      <c r="B383" s="236">
        <v>45114</v>
      </c>
      <c r="C383" s="73"/>
      <c r="D383" s="73"/>
      <c r="E383" s="145">
        <v>28269.43</v>
      </c>
    </row>
    <row r="384" spans="2:5" ht="16.5" x14ac:dyDescent="0.3">
      <c r="B384" s="236">
        <v>45113</v>
      </c>
      <c r="C384" s="73"/>
      <c r="D384" s="73"/>
      <c r="E384" s="145">
        <v>28510.39</v>
      </c>
    </row>
    <row r="385" spans="2:5" ht="16.5" x14ac:dyDescent="0.3">
      <c r="B385" s="236">
        <v>45112</v>
      </c>
      <c r="C385" s="73"/>
      <c r="D385" s="73"/>
      <c r="E385" s="145">
        <v>28365.96</v>
      </c>
    </row>
    <row r="386" spans="2:5" ht="16.5" x14ac:dyDescent="0.3">
      <c r="B386" s="236">
        <v>45111</v>
      </c>
      <c r="C386" s="73"/>
      <c r="D386" s="73"/>
      <c r="E386" s="145">
        <v>28352.01</v>
      </c>
    </row>
    <row r="387" spans="2:5" ht="16.5" x14ac:dyDescent="0.3">
      <c r="B387" s="236">
        <v>45110</v>
      </c>
      <c r="C387" s="73"/>
      <c r="D387" s="73"/>
      <c r="E387" s="145">
        <v>28254.9</v>
      </c>
    </row>
    <row r="388" spans="2:5" ht="16.5" x14ac:dyDescent="0.3">
      <c r="B388" s="236">
        <v>45107</v>
      </c>
      <c r="C388" s="73"/>
      <c r="D388" s="73"/>
      <c r="E388" s="145">
        <v>28059.65</v>
      </c>
    </row>
    <row r="389" spans="2:5" ht="16.5" x14ac:dyDescent="0.3">
      <c r="B389" s="236">
        <v>45105</v>
      </c>
      <c r="C389" s="73"/>
      <c r="D389" s="73"/>
      <c r="E389" s="145">
        <v>27739.64</v>
      </c>
    </row>
    <row r="390" spans="2:5" ht="16.5" x14ac:dyDescent="0.3">
      <c r="B390" s="236">
        <v>45104</v>
      </c>
      <c r="C390" s="73"/>
      <c r="D390" s="73"/>
      <c r="E390" s="145">
        <v>27513.45</v>
      </c>
    </row>
    <row r="391" spans="2:5" ht="16.5" x14ac:dyDescent="0.3">
      <c r="B391" s="236">
        <v>45103</v>
      </c>
      <c r="C391" s="73"/>
      <c r="D391" s="73"/>
      <c r="E391" s="145">
        <v>27328.91</v>
      </c>
    </row>
    <row r="392" spans="2:5" ht="16.5" x14ac:dyDescent="0.3">
      <c r="B392" s="236">
        <v>45100</v>
      </c>
      <c r="C392" s="73"/>
      <c r="D392" s="73"/>
      <c r="E392" s="145">
        <v>27291.39</v>
      </c>
    </row>
    <row r="393" spans="2:5" ht="16.5" x14ac:dyDescent="0.3">
      <c r="B393" s="236">
        <v>45099</v>
      </c>
      <c r="C393" s="73"/>
      <c r="D393" s="73"/>
      <c r="E393" s="145">
        <v>27445.97</v>
      </c>
    </row>
    <row r="394" spans="2:5" ht="16.5" x14ac:dyDescent="0.3">
      <c r="B394" s="236">
        <v>45098</v>
      </c>
      <c r="C394" s="73"/>
      <c r="D394" s="73"/>
      <c r="E394" s="145">
        <v>27571.14</v>
      </c>
    </row>
    <row r="395" spans="2:5" ht="16.5" x14ac:dyDescent="0.3">
      <c r="B395" s="236">
        <v>45097</v>
      </c>
      <c r="C395" s="73"/>
      <c r="D395" s="73"/>
      <c r="E395" s="145">
        <v>27512.41</v>
      </c>
    </row>
    <row r="396" spans="2:5" ht="16.5" x14ac:dyDescent="0.3">
      <c r="B396" s="236">
        <v>45096</v>
      </c>
      <c r="C396" s="73"/>
      <c r="D396" s="73"/>
      <c r="E396" s="145">
        <v>27422.87</v>
      </c>
    </row>
    <row r="397" spans="2:5" ht="16.5" x14ac:dyDescent="0.3">
      <c r="B397" s="236">
        <v>45093</v>
      </c>
      <c r="C397" s="73"/>
      <c r="D397" s="73"/>
      <c r="E397" s="145">
        <v>27519.439999999999</v>
      </c>
    </row>
    <row r="398" spans="2:5" ht="16.5" x14ac:dyDescent="0.3">
      <c r="B398" s="236">
        <v>45092</v>
      </c>
      <c r="C398" s="73"/>
      <c r="D398" s="73"/>
      <c r="E398" s="145">
        <v>27317.25</v>
      </c>
    </row>
    <row r="399" spans="2:5" ht="16.5" x14ac:dyDescent="0.3">
      <c r="B399" s="236">
        <v>45091</v>
      </c>
      <c r="C399" s="73"/>
      <c r="D399" s="73"/>
      <c r="E399" s="145">
        <v>27408.12</v>
      </c>
    </row>
    <row r="400" spans="2:5" ht="16.5" x14ac:dyDescent="0.3">
      <c r="B400" s="236">
        <v>45090</v>
      </c>
      <c r="C400" s="73"/>
      <c r="D400" s="73"/>
      <c r="E400" s="145">
        <v>27350.09</v>
      </c>
    </row>
    <row r="401" spans="2:5" ht="16.5" x14ac:dyDescent="0.3">
      <c r="B401" s="236">
        <v>45089</v>
      </c>
      <c r="C401" s="73"/>
      <c r="D401" s="73"/>
      <c r="E401" s="145">
        <v>27182.55</v>
      </c>
    </row>
    <row r="402" spans="2:5" ht="16.5" x14ac:dyDescent="0.3">
      <c r="B402" s="236">
        <v>45086</v>
      </c>
      <c r="C402" s="73"/>
      <c r="D402" s="73"/>
      <c r="E402" s="145">
        <v>27126.86</v>
      </c>
    </row>
    <row r="403" spans="2:5" ht="16.5" x14ac:dyDescent="0.3">
      <c r="B403" s="236">
        <v>45085</v>
      </c>
      <c r="C403" s="73"/>
      <c r="D403" s="73"/>
      <c r="E403" s="145">
        <v>27227.59</v>
      </c>
    </row>
    <row r="404" spans="2:5" ht="16.5" x14ac:dyDescent="0.3">
      <c r="B404" s="236">
        <v>45084</v>
      </c>
      <c r="C404" s="73"/>
      <c r="D404" s="73"/>
      <c r="E404" s="145">
        <v>27361.85</v>
      </c>
    </row>
    <row r="405" spans="2:5" ht="16.5" x14ac:dyDescent="0.3">
      <c r="B405" s="236">
        <v>45083</v>
      </c>
      <c r="C405" s="73"/>
      <c r="D405" s="73"/>
      <c r="E405" s="145">
        <v>27175.7</v>
      </c>
    </row>
    <row r="406" spans="2:5" ht="16.5" x14ac:dyDescent="0.3">
      <c r="B406" s="236">
        <v>45082</v>
      </c>
      <c r="C406" s="73"/>
      <c r="D406" s="73"/>
      <c r="E406" s="145">
        <v>27168.13</v>
      </c>
    </row>
    <row r="407" spans="2:5" ht="16.5" x14ac:dyDescent="0.3">
      <c r="B407" s="236">
        <v>45079</v>
      </c>
      <c r="C407" s="73"/>
      <c r="D407" s="73"/>
      <c r="E407" s="145">
        <v>27080.87</v>
      </c>
    </row>
    <row r="408" spans="2:5" ht="16.5" x14ac:dyDescent="0.3">
      <c r="B408" s="236">
        <v>45078</v>
      </c>
      <c r="C408" s="73"/>
      <c r="D408" s="73"/>
      <c r="E408" s="145">
        <v>26989.35</v>
      </c>
    </row>
    <row r="409" spans="2:5" ht="16.5" x14ac:dyDescent="0.3">
      <c r="B409" s="236">
        <v>45077</v>
      </c>
      <c r="C409" s="73"/>
      <c r="D409" s="73"/>
      <c r="E409" s="145">
        <v>27057.439999999999</v>
      </c>
    </row>
    <row r="410" spans="2:5" ht="16.5" x14ac:dyDescent="0.3">
      <c r="B410" s="236">
        <v>45076</v>
      </c>
      <c r="C410" s="73"/>
      <c r="D410" s="73"/>
      <c r="E410" s="145">
        <v>27188.18</v>
      </c>
    </row>
    <row r="411" spans="2:5" ht="16.5" x14ac:dyDescent="0.3">
      <c r="B411" s="236">
        <v>45075</v>
      </c>
      <c r="C411" s="73"/>
      <c r="D411" s="73"/>
      <c r="E411" s="145">
        <v>27136.82</v>
      </c>
    </row>
    <row r="412" spans="2:5" ht="16.5" x14ac:dyDescent="0.3">
      <c r="B412" s="236">
        <v>45072</v>
      </c>
      <c r="C412" s="73"/>
      <c r="D412" s="73"/>
      <c r="E412" s="145">
        <v>26991.87</v>
      </c>
    </row>
    <row r="413" spans="2:5" ht="16.5" x14ac:dyDescent="0.3">
      <c r="B413" s="236">
        <v>45071</v>
      </c>
      <c r="C413" s="73"/>
      <c r="D413" s="73"/>
      <c r="E413" s="145">
        <v>26731.86</v>
      </c>
    </row>
    <row r="414" spans="2:5" ht="16.5" x14ac:dyDescent="0.3">
      <c r="B414" s="236">
        <v>45070</v>
      </c>
      <c r="C414" s="73"/>
      <c r="D414" s="73"/>
      <c r="E414" s="145">
        <v>26679.72</v>
      </c>
    </row>
    <row r="415" spans="2:5" ht="16.5" x14ac:dyDescent="0.3">
      <c r="B415" s="236">
        <v>45069</v>
      </c>
      <c r="C415" s="73"/>
      <c r="D415" s="73"/>
      <c r="E415" s="145">
        <v>26771.1</v>
      </c>
    </row>
    <row r="416" spans="2:5" ht="16.5" x14ac:dyDescent="0.3">
      <c r="B416" s="236">
        <v>45068</v>
      </c>
      <c r="C416" s="73"/>
      <c r="D416" s="73"/>
      <c r="E416" s="145">
        <v>26722.03</v>
      </c>
    </row>
    <row r="417" spans="2:5" ht="16.5" x14ac:dyDescent="0.3">
      <c r="B417" s="236">
        <v>45065</v>
      </c>
      <c r="C417" s="73"/>
      <c r="D417" s="73"/>
      <c r="E417" s="145">
        <v>26560.1</v>
      </c>
    </row>
    <row r="418" spans="2:5" ht="16.5" x14ac:dyDescent="0.3">
      <c r="B418" s="236">
        <v>45064</v>
      </c>
      <c r="C418" s="73"/>
      <c r="D418" s="73"/>
      <c r="E418" s="145">
        <v>26451.26</v>
      </c>
    </row>
    <row r="419" spans="2:5" ht="16.5" x14ac:dyDescent="0.3">
      <c r="B419" s="236">
        <v>45063</v>
      </c>
      <c r="C419" s="73"/>
      <c r="D419" s="73"/>
      <c r="E419" s="145">
        <v>26526.82</v>
      </c>
    </row>
    <row r="420" spans="2:5" ht="16.5" x14ac:dyDescent="0.3">
      <c r="B420" s="236">
        <v>45062</v>
      </c>
      <c r="C420" s="73"/>
      <c r="D420" s="73"/>
      <c r="E420" s="145">
        <v>26679.67</v>
      </c>
    </row>
    <row r="421" spans="2:5" ht="16.5" x14ac:dyDescent="0.3">
      <c r="B421" s="236">
        <v>45061</v>
      </c>
      <c r="C421" s="73"/>
      <c r="D421" s="73"/>
      <c r="E421" s="145">
        <v>26789.02</v>
      </c>
    </row>
    <row r="422" spans="2:5" ht="16.5" x14ac:dyDescent="0.3">
      <c r="B422" s="236">
        <v>45058</v>
      </c>
      <c r="C422" s="73"/>
      <c r="D422" s="73"/>
      <c r="E422" s="145">
        <v>26666.67</v>
      </c>
    </row>
    <row r="423" spans="2:5" ht="16.5" x14ac:dyDescent="0.3">
      <c r="B423" s="236">
        <v>45057</v>
      </c>
      <c r="C423" s="73"/>
      <c r="D423" s="73"/>
      <c r="E423" s="145">
        <v>26640.77</v>
      </c>
    </row>
    <row r="424" spans="2:5" ht="16.5" x14ac:dyDescent="0.3">
      <c r="B424" s="236">
        <v>45056</v>
      </c>
      <c r="C424" s="73"/>
      <c r="D424" s="73"/>
      <c r="E424" s="145">
        <v>26667.11</v>
      </c>
    </row>
    <row r="425" spans="2:5" ht="16.5" x14ac:dyDescent="0.3">
      <c r="B425" s="236">
        <v>45055</v>
      </c>
      <c r="C425" s="73"/>
      <c r="D425" s="73"/>
      <c r="E425" s="145">
        <v>26595.52</v>
      </c>
    </row>
    <row r="426" spans="2:5" ht="16.5" x14ac:dyDescent="0.3">
      <c r="B426" s="236">
        <v>45054</v>
      </c>
      <c r="C426" s="73"/>
      <c r="D426" s="73"/>
      <c r="E426" s="145">
        <v>26593.29</v>
      </c>
    </row>
    <row r="427" spans="2:5" ht="16.5" x14ac:dyDescent="0.3">
      <c r="B427" s="236">
        <v>45051</v>
      </c>
      <c r="C427" s="73"/>
      <c r="D427" s="73"/>
      <c r="E427" s="145">
        <v>26308.78</v>
      </c>
    </row>
    <row r="428" spans="2:5" ht="16.5" x14ac:dyDescent="0.3">
      <c r="B428" s="236">
        <v>45050</v>
      </c>
      <c r="C428" s="73"/>
      <c r="D428" s="73"/>
      <c r="E428" s="145">
        <v>26580.77</v>
      </c>
    </row>
    <row r="429" spans="2:5" ht="16.5" x14ac:dyDescent="0.3">
      <c r="B429" s="236">
        <v>45049</v>
      </c>
      <c r="C429" s="73"/>
      <c r="D429" s="73"/>
      <c r="E429" s="145">
        <v>26339.14</v>
      </c>
    </row>
    <row r="430" spans="2:5" ht="16.5" x14ac:dyDescent="0.3">
      <c r="B430" s="236">
        <v>45048</v>
      </c>
      <c r="C430" s="73"/>
      <c r="D430" s="73"/>
      <c r="E430" s="145">
        <v>26423.3</v>
      </c>
    </row>
    <row r="431" spans="2:5" ht="16.5" x14ac:dyDescent="0.3">
      <c r="B431" s="236">
        <v>45044</v>
      </c>
      <c r="C431" s="73"/>
      <c r="D431" s="73"/>
      <c r="E431" s="145">
        <v>26302.92</v>
      </c>
    </row>
    <row r="432" spans="2:5" ht="16.5" x14ac:dyDescent="0.3">
      <c r="B432" s="236">
        <v>45043</v>
      </c>
      <c r="C432" s="73"/>
      <c r="D432" s="73"/>
      <c r="E432" s="145">
        <v>26078.38</v>
      </c>
    </row>
    <row r="433" spans="2:5" ht="16.5" x14ac:dyDescent="0.3">
      <c r="B433" s="236">
        <v>45042</v>
      </c>
      <c r="C433" s="73"/>
      <c r="D433" s="73"/>
      <c r="E433" s="145">
        <v>25930.7</v>
      </c>
    </row>
    <row r="434" spans="2:5" ht="16.5" x14ac:dyDescent="0.3">
      <c r="B434" s="236">
        <v>45041</v>
      </c>
      <c r="C434" s="73"/>
      <c r="D434" s="73"/>
      <c r="E434" s="145">
        <v>25866.09</v>
      </c>
    </row>
    <row r="435" spans="2:5" ht="16.5" x14ac:dyDescent="0.3">
      <c r="B435" s="236">
        <v>45040</v>
      </c>
      <c r="C435" s="73"/>
      <c r="D435" s="73"/>
      <c r="E435" s="145">
        <v>25828.46</v>
      </c>
    </row>
    <row r="436" spans="2:5" ht="16.5" x14ac:dyDescent="0.3">
      <c r="B436" s="236">
        <v>45037</v>
      </c>
      <c r="C436" s="73"/>
      <c r="D436" s="73"/>
      <c r="E436" s="145">
        <v>25654.78</v>
      </c>
    </row>
    <row r="437" spans="2:5" ht="16.5" x14ac:dyDescent="0.3">
      <c r="B437" s="236">
        <v>45036</v>
      </c>
      <c r="C437" s="73"/>
      <c r="D437" s="73"/>
      <c r="E437" s="145">
        <v>25654.16</v>
      </c>
    </row>
    <row r="438" spans="2:5" ht="16.5" x14ac:dyDescent="0.3">
      <c r="B438" s="236">
        <v>45035</v>
      </c>
      <c r="C438" s="73"/>
      <c r="D438" s="73"/>
      <c r="E438" s="145">
        <v>25645.82</v>
      </c>
    </row>
    <row r="439" spans="2:5" ht="16.5" x14ac:dyDescent="0.3">
      <c r="B439" s="236">
        <v>45034</v>
      </c>
      <c r="C439" s="73"/>
      <c r="D439" s="73"/>
      <c r="E439" s="145">
        <v>25706.09</v>
      </c>
    </row>
    <row r="440" spans="2:5" ht="16.5" x14ac:dyDescent="0.3">
      <c r="B440" s="236">
        <v>45033</v>
      </c>
      <c r="C440" s="73"/>
      <c r="D440" s="73"/>
      <c r="E440" s="145">
        <v>25774.07</v>
      </c>
    </row>
    <row r="441" spans="2:5" ht="16.5" x14ac:dyDescent="0.3">
      <c r="B441" s="236">
        <v>45029</v>
      </c>
      <c r="C441" s="73"/>
      <c r="D441" s="73"/>
      <c r="E441" s="145">
        <v>25950.39</v>
      </c>
    </row>
    <row r="442" spans="2:5" ht="16.5" x14ac:dyDescent="0.3">
      <c r="B442" s="236">
        <v>45028</v>
      </c>
      <c r="C442" s="73"/>
      <c r="D442" s="73"/>
      <c r="E442" s="145">
        <v>25924.89</v>
      </c>
    </row>
    <row r="443" spans="2:5" ht="16.5" x14ac:dyDescent="0.3">
      <c r="B443" s="236">
        <v>45027</v>
      </c>
      <c r="C443" s="73"/>
      <c r="D443" s="73"/>
      <c r="E443" s="145">
        <v>25793.77</v>
      </c>
    </row>
    <row r="444" spans="2:5" ht="16.5" x14ac:dyDescent="0.3">
      <c r="B444" s="236">
        <v>45026</v>
      </c>
      <c r="C444" s="73"/>
      <c r="D444" s="73"/>
      <c r="E444" s="145">
        <v>25650.73</v>
      </c>
    </row>
    <row r="445" spans="2:5" ht="16.5" x14ac:dyDescent="0.3">
      <c r="B445" s="236">
        <v>45022</v>
      </c>
      <c r="C445" s="73"/>
      <c r="D445" s="73"/>
      <c r="E445" s="145">
        <v>25614.55</v>
      </c>
    </row>
    <row r="446" spans="2:5" ht="16.5" x14ac:dyDescent="0.3">
      <c r="B446" s="236">
        <v>45021</v>
      </c>
      <c r="C446" s="73"/>
      <c r="D446" s="73"/>
      <c r="E446" s="145">
        <v>25553.279999999999</v>
      </c>
    </row>
    <row r="447" spans="2:5" ht="16.5" x14ac:dyDescent="0.3">
      <c r="B447" s="236">
        <v>45019</v>
      </c>
      <c r="C447" s="73"/>
      <c r="D447" s="73"/>
      <c r="E447" s="145">
        <v>25321.85</v>
      </c>
    </row>
    <row r="448" spans="2:5" ht="16.5" x14ac:dyDescent="0.3">
      <c r="B448" s="236">
        <v>45016</v>
      </c>
      <c r="C448" s="73"/>
      <c r="D448" s="73"/>
      <c r="E448" s="145">
        <v>25266.06</v>
      </c>
    </row>
    <row r="449" spans="2:5" ht="16.5" x14ac:dyDescent="0.3">
      <c r="B449" s="236">
        <v>45014</v>
      </c>
      <c r="C449" s="73"/>
      <c r="D449" s="73"/>
      <c r="E449" s="145">
        <v>24859.93</v>
      </c>
    </row>
    <row r="450" spans="2:5" ht="16.5" x14ac:dyDescent="0.3">
      <c r="B450" s="236">
        <v>45013</v>
      </c>
      <c r="C450" s="73"/>
      <c r="D450" s="73"/>
      <c r="E450" s="145">
        <v>24672.17</v>
      </c>
    </row>
    <row r="451" spans="2:5" ht="16.5" x14ac:dyDescent="0.3">
      <c r="B451" s="236">
        <v>45012</v>
      </c>
      <c r="C451" s="73"/>
      <c r="D451" s="73"/>
      <c r="E451" s="145">
        <v>24721.71</v>
      </c>
    </row>
    <row r="452" spans="2:5" ht="16.5" x14ac:dyDescent="0.3">
      <c r="B452" s="236">
        <v>45009</v>
      </c>
      <c r="C452" s="73"/>
      <c r="D452" s="73"/>
      <c r="E452" s="145">
        <v>24662.53</v>
      </c>
    </row>
    <row r="453" spans="2:5" ht="16.5" x14ac:dyDescent="0.3">
      <c r="B453" s="236">
        <v>45008</v>
      </c>
      <c r="C453" s="73"/>
      <c r="D453" s="73"/>
      <c r="E453" s="145">
        <v>24854.39</v>
      </c>
    </row>
    <row r="454" spans="2:5" ht="16.5" x14ac:dyDescent="0.3">
      <c r="B454" s="236">
        <v>45007</v>
      </c>
      <c r="C454" s="73"/>
      <c r="D454" s="73"/>
      <c r="E454" s="145">
        <v>24963.55</v>
      </c>
    </row>
    <row r="455" spans="2:5" ht="16.5" x14ac:dyDescent="0.3">
      <c r="B455" s="236">
        <v>45006</v>
      </c>
      <c r="C455" s="73"/>
      <c r="D455" s="73"/>
      <c r="E455" s="145">
        <v>24898.97</v>
      </c>
    </row>
    <row r="456" spans="2:5" ht="16.5" x14ac:dyDescent="0.3">
      <c r="B456" s="236">
        <v>45005</v>
      </c>
      <c r="C456" s="73"/>
      <c r="D456" s="73"/>
      <c r="E456" s="145">
        <v>24725.599999999999</v>
      </c>
    </row>
    <row r="457" spans="2:5" ht="16.5" x14ac:dyDescent="0.3">
      <c r="B457" s="236">
        <v>45002</v>
      </c>
      <c r="C457" s="73"/>
      <c r="D457" s="73"/>
      <c r="E457" s="145">
        <v>24888.1</v>
      </c>
    </row>
    <row r="458" spans="2:5" ht="16.5" x14ac:dyDescent="0.3">
      <c r="B458" s="236">
        <v>45001</v>
      </c>
      <c r="C458" s="73"/>
      <c r="D458" s="73"/>
      <c r="E458" s="145">
        <v>24721.52</v>
      </c>
    </row>
    <row r="459" spans="2:5" ht="16.5" x14ac:dyDescent="0.3">
      <c r="B459" s="236">
        <v>45000</v>
      </c>
      <c r="C459" s="73"/>
      <c r="D459" s="73"/>
      <c r="E459" s="145">
        <v>24701.599999999999</v>
      </c>
    </row>
    <row r="460" spans="2:5" ht="16.5" x14ac:dyDescent="0.3">
      <c r="B460" s="236">
        <v>44999</v>
      </c>
      <c r="C460" s="73"/>
      <c r="D460" s="73"/>
      <c r="E460" s="145">
        <v>24805.11</v>
      </c>
    </row>
    <row r="461" spans="2:5" ht="16.5" x14ac:dyDescent="0.3">
      <c r="B461" s="236">
        <v>44998</v>
      </c>
      <c r="C461" s="73"/>
      <c r="D461" s="73"/>
      <c r="E461" s="145">
        <v>24966.68</v>
      </c>
    </row>
    <row r="462" spans="2:5" ht="16.5" x14ac:dyDescent="0.3">
      <c r="B462" s="236">
        <v>44995</v>
      </c>
      <c r="C462" s="73"/>
      <c r="D462" s="73"/>
      <c r="E462" s="145">
        <v>25343.09</v>
      </c>
    </row>
    <row r="463" spans="2:5" ht="16.5" x14ac:dyDescent="0.3">
      <c r="B463" s="236">
        <v>44994</v>
      </c>
      <c r="C463" s="73"/>
      <c r="D463" s="73"/>
      <c r="E463" s="145">
        <v>25600.240000000002</v>
      </c>
    </row>
    <row r="464" spans="2:5" ht="16.5" x14ac:dyDescent="0.3">
      <c r="B464" s="236">
        <v>44993</v>
      </c>
      <c r="C464" s="73"/>
      <c r="D464" s="73"/>
      <c r="E464" s="145">
        <v>25840.12</v>
      </c>
    </row>
    <row r="465" spans="2:5" ht="16.5" x14ac:dyDescent="0.3">
      <c r="B465" s="236">
        <v>44991</v>
      </c>
      <c r="C465" s="73"/>
      <c r="D465" s="73"/>
      <c r="E465" s="145">
        <v>25777.599999999999</v>
      </c>
    </row>
    <row r="466" spans="2:5" ht="16.5" x14ac:dyDescent="0.3">
      <c r="B466" s="236">
        <v>44988</v>
      </c>
      <c r="C466" s="73"/>
      <c r="D466" s="73"/>
      <c r="E466" s="145">
        <v>25607.14</v>
      </c>
    </row>
    <row r="467" spans="2:5" ht="16.5" x14ac:dyDescent="0.3">
      <c r="B467" s="236">
        <v>44987</v>
      </c>
      <c r="C467" s="73"/>
      <c r="D467" s="73"/>
      <c r="E467" s="145">
        <v>25210.65</v>
      </c>
    </row>
    <row r="468" spans="2:5" ht="16.5" x14ac:dyDescent="0.3">
      <c r="B468" s="236">
        <v>44986</v>
      </c>
      <c r="C468" s="73"/>
      <c r="D468" s="73"/>
      <c r="E468" s="145">
        <v>25398.400000000001</v>
      </c>
    </row>
    <row r="469" spans="2:5" ht="16.5" x14ac:dyDescent="0.3">
      <c r="B469" s="236">
        <v>44985</v>
      </c>
      <c r="C469" s="73"/>
      <c r="D469" s="73"/>
      <c r="E469" s="145">
        <v>25184.47</v>
      </c>
    </row>
    <row r="470" spans="2:5" ht="16.5" x14ac:dyDescent="0.3">
      <c r="B470" s="236">
        <v>44984</v>
      </c>
      <c r="C470" s="73"/>
      <c r="D470" s="73"/>
      <c r="E470" s="145">
        <v>25313.7</v>
      </c>
    </row>
    <row r="471" spans="2:5" ht="16.5" x14ac:dyDescent="0.3">
      <c r="B471" s="236">
        <v>44981</v>
      </c>
      <c r="C471" s="73"/>
      <c r="D471" s="73"/>
      <c r="E471" s="145">
        <v>25420.07</v>
      </c>
    </row>
    <row r="472" spans="2:5" ht="16.5" x14ac:dyDescent="0.3">
      <c r="B472" s="236">
        <v>44980</v>
      </c>
      <c r="C472" s="73"/>
      <c r="D472" s="73"/>
      <c r="E472" s="145">
        <v>25485.97</v>
      </c>
    </row>
    <row r="473" spans="2:5" ht="16.5" x14ac:dyDescent="0.3">
      <c r="B473" s="236">
        <v>44979</v>
      </c>
      <c r="C473" s="73"/>
      <c r="D473" s="73"/>
      <c r="E473" s="145">
        <v>25548.67</v>
      </c>
    </row>
    <row r="474" spans="2:5" ht="16.5" x14ac:dyDescent="0.3">
      <c r="B474" s="236">
        <v>44978</v>
      </c>
      <c r="C474" s="73"/>
      <c r="D474" s="73"/>
      <c r="E474" s="145">
        <v>25945.08</v>
      </c>
    </row>
    <row r="475" spans="2:5" ht="16.5" x14ac:dyDescent="0.3">
      <c r="B475" s="236">
        <v>44977</v>
      </c>
      <c r="C475" s="73"/>
      <c r="D475" s="73"/>
      <c r="E475" s="145">
        <v>25971.19</v>
      </c>
    </row>
    <row r="476" spans="2:5" ht="16.5" x14ac:dyDescent="0.3">
      <c r="B476" s="236">
        <v>44974</v>
      </c>
      <c r="C476" s="73"/>
      <c r="D476" s="73"/>
      <c r="E476" s="145">
        <v>26116.12</v>
      </c>
    </row>
    <row r="477" spans="2:5" ht="16.5" x14ac:dyDescent="0.3">
      <c r="B477" s="236">
        <v>44973</v>
      </c>
      <c r="C477" s="73"/>
      <c r="D477" s="73"/>
      <c r="E477" s="145">
        <v>26249.52</v>
      </c>
    </row>
    <row r="478" spans="2:5" ht="16.5" x14ac:dyDescent="0.3">
      <c r="B478" s="236">
        <v>44972</v>
      </c>
      <c r="C478" s="73"/>
      <c r="D478" s="73"/>
      <c r="E478" s="145">
        <v>26220.43</v>
      </c>
    </row>
    <row r="479" spans="2:5" ht="16.5" x14ac:dyDescent="0.3">
      <c r="B479" s="236">
        <v>44971</v>
      </c>
      <c r="C479" s="73"/>
      <c r="D479" s="73"/>
      <c r="E479" s="145">
        <v>26077.93</v>
      </c>
    </row>
    <row r="480" spans="2:5" ht="16.5" x14ac:dyDescent="0.3">
      <c r="B480" s="236">
        <v>44970</v>
      </c>
      <c r="C480" s="73"/>
      <c r="D480" s="73"/>
      <c r="E480" s="145">
        <v>25846.7</v>
      </c>
    </row>
    <row r="481" spans="2:5" ht="16.5" x14ac:dyDescent="0.3">
      <c r="B481" s="236">
        <v>44967</v>
      </c>
      <c r="C481" s="73"/>
      <c r="D481" s="73"/>
      <c r="E481" s="145">
        <v>25971.23</v>
      </c>
    </row>
    <row r="482" spans="2:5" ht="16.5" x14ac:dyDescent="0.3">
      <c r="B482" s="236">
        <v>44966</v>
      </c>
      <c r="C482" s="73"/>
      <c r="D482" s="73"/>
      <c r="E482" s="145">
        <v>26024.94</v>
      </c>
    </row>
    <row r="483" spans="2:5" ht="16.5" x14ac:dyDescent="0.3">
      <c r="B483" s="236">
        <v>44965</v>
      </c>
      <c r="C483" s="73"/>
      <c r="D483" s="73"/>
      <c r="E483" s="145">
        <v>25993.34</v>
      </c>
    </row>
    <row r="484" spans="2:5" ht="16.5" x14ac:dyDescent="0.3">
      <c r="B484" s="236">
        <v>44964</v>
      </c>
      <c r="C484" s="73"/>
      <c r="D484" s="73"/>
      <c r="E484" s="145">
        <v>25772.19</v>
      </c>
    </row>
    <row r="485" spans="2:5" ht="16.5" x14ac:dyDescent="0.3">
      <c r="B485" s="236">
        <v>44963</v>
      </c>
      <c r="C485" s="73"/>
      <c r="D485" s="73"/>
      <c r="E485" s="145">
        <v>25834.87</v>
      </c>
    </row>
    <row r="486" spans="2:5" ht="16.5" x14ac:dyDescent="0.3">
      <c r="B486" s="236">
        <v>44960</v>
      </c>
      <c r="C486" s="73"/>
      <c r="D486" s="73"/>
      <c r="E486" s="145">
        <v>25965</v>
      </c>
    </row>
    <row r="487" spans="2:5" ht="16.5" x14ac:dyDescent="0.3">
      <c r="B487" s="236">
        <v>44959</v>
      </c>
      <c r="C487" s="73"/>
      <c r="D487" s="73"/>
      <c r="E487" s="145">
        <v>25610.65</v>
      </c>
    </row>
    <row r="488" spans="2:5" ht="16.5" x14ac:dyDescent="0.3">
      <c r="B488" s="236">
        <v>44958</v>
      </c>
      <c r="C488" s="73"/>
      <c r="D488" s="73"/>
      <c r="E488" s="145">
        <v>25619.24</v>
      </c>
    </row>
    <row r="489" spans="2:5" ht="16.5" x14ac:dyDescent="0.3">
      <c r="B489" s="236">
        <v>44957</v>
      </c>
      <c r="C489" s="73"/>
      <c r="D489" s="73"/>
      <c r="E489" s="145">
        <v>25685.94</v>
      </c>
    </row>
    <row r="490" spans="2:5" ht="16.5" x14ac:dyDescent="0.3">
      <c r="B490" s="236">
        <v>44956</v>
      </c>
      <c r="C490" s="73"/>
      <c r="D490" s="73"/>
      <c r="E490" s="145">
        <v>25666.69</v>
      </c>
    </row>
    <row r="491" spans="2:5" ht="16.5" x14ac:dyDescent="0.3">
      <c r="B491" s="236">
        <v>44953</v>
      </c>
      <c r="C491" s="73"/>
      <c r="D491" s="73"/>
      <c r="E491" s="145">
        <v>25601.88</v>
      </c>
    </row>
    <row r="492" spans="2:5" ht="16.5" x14ac:dyDescent="0.3">
      <c r="B492" s="236">
        <v>44951</v>
      </c>
      <c r="C492" s="73"/>
      <c r="D492" s="73"/>
      <c r="E492" s="145">
        <v>26020.13</v>
      </c>
    </row>
    <row r="493" spans="2:5" ht="16.5" x14ac:dyDescent="0.3">
      <c r="B493" s="236">
        <v>44950</v>
      </c>
      <c r="C493" s="73"/>
      <c r="D493" s="73"/>
      <c r="E493" s="145">
        <v>26349.279999999999</v>
      </c>
    </row>
    <row r="494" spans="2:5" ht="16.5" x14ac:dyDescent="0.3">
      <c r="B494" s="236">
        <v>44949</v>
      </c>
      <c r="C494" s="73"/>
      <c r="D494" s="73"/>
      <c r="E494" s="145">
        <v>26349.14</v>
      </c>
    </row>
    <row r="495" spans="2:5" ht="16.5" x14ac:dyDescent="0.3">
      <c r="B495" s="236">
        <v>44946</v>
      </c>
      <c r="C495" s="73"/>
      <c r="D495" s="73"/>
      <c r="E495" s="145">
        <v>26216.94</v>
      </c>
    </row>
    <row r="496" spans="2:5" ht="16.5" x14ac:dyDescent="0.3">
      <c r="B496" s="236">
        <v>44945</v>
      </c>
      <c r="C496" s="73"/>
      <c r="D496" s="73"/>
      <c r="E496" s="145">
        <v>26333.57</v>
      </c>
    </row>
    <row r="497" spans="2:5" ht="16.5" x14ac:dyDescent="0.3">
      <c r="B497" s="236">
        <v>44944</v>
      </c>
      <c r="C497" s="73"/>
      <c r="D497" s="73"/>
      <c r="E497" s="145">
        <v>26413.71</v>
      </c>
    </row>
    <row r="498" spans="2:5" ht="16.5" x14ac:dyDescent="0.3">
      <c r="B498" s="236">
        <v>44943</v>
      </c>
      <c r="C498" s="73"/>
      <c r="D498" s="73"/>
      <c r="E498" s="145">
        <v>26250.81</v>
      </c>
    </row>
    <row r="499" spans="2:5" ht="16.5" x14ac:dyDescent="0.3">
      <c r="B499" s="236">
        <v>44942</v>
      </c>
      <c r="C499" s="73"/>
      <c r="D499" s="73"/>
      <c r="E499" s="145">
        <v>26020.39</v>
      </c>
    </row>
    <row r="500" spans="2:5" ht="16.5" x14ac:dyDescent="0.3">
      <c r="B500" s="236">
        <v>44939</v>
      </c>
      <c r="C500" s="73"/>
      <c r="D500" s="73"/>
      <c r="E500" s="145">
        <v>26110.2</v>
      </c>
    </row>
    <row r="501" spans="2:5" ht="16.5" x14ac:dyDescent="0.3">
      <c r="B501" s="236">
        <v>44938</v>
      </c>
      <c r="C501" s="73"/>
      <c r="D501" s="73"/>
      <c r="E501" s="145">
        <v>25967.07</v>
      </c>
    </row>
    <row r="502" spans="2:5" ht="16.5" x14ac:dyDescent="0.3">
      <c r="B502" s="236">
        <v>44937</v>
      </c>
      <c r="C502" s="73"/>
      <c r="D502" s="73"/>
      <c r="E502" s="145">
        <v>26021.599999999999</v>
      </c>
    </row>
    <row r="503" spans="2:5" ht="16.5" x14ac:dyDescent="0.3">
      <c r="B503" s="236">
        <v>44936</v>
      </c>
      <c r="C503" s="73"/>
      <c r="D503" s="73"/>
      <c r="E503" s="145">
        <v>26048.47</v>
      </c>
    </row>
    <row r="504" spans="2:5" ht="16.5" x14ac:dyDescent="0.3">
      <c r="B504" s="236">
        <v>44935</v>
      </c>
      <c r="C504" s="73"/>
      <c r="D504" s="73"/>
      <c r="E504" s="145">
        <v>26320.41</v>
      </c>
    </row>
    <row r="505" spans="2:5" ht="16.5" x14ac:dyDescent="0.3">
      <c r="B505" s="236">
        <v>44932</v>
      </c>
      <c r="C505" s="73"/>
      <c r="D505" s="73"/>
      <c r="E505" s="145">
        <v>25968.95</v>
      </c>
    </row>
    <row r="506" spans="2:5" ht="16.5" x14ac:dyDescent="0.3">
      <c r="B506" s="236">
        <v>44931</v>
      </c>
      <c r="C506" s="73"/>
      <c r="D506" s="73"/>
      <c r="E506" s="145">
        <v>26161.85</v>
      </c>
    </row>
    <row r="507" spans="2:5" ht="16.5" x14ac:dyDescent="0.3">
      <c r="B507" s="236">
        <v>44930</v>
      </c>
      <c r="C507" s="73"/>
      <c r="D507" s="73"/>
      <c r="E507" s="145">
        <v>26235.73</v>
      </c>
    </row>
    <row r="508" spans="2:5" ht="16.5" x14ac:dyDescent="0.3">
      <c r="B508" s="236">
        <v>44929</v>
      </c>
      <c r="C508" s="73"/>
      <c r="D508" s="73"/>
      <c r="E508" s="145">
        <v>26511.45</v>
      </c>
    </row>
    <row r="509" spans="2:5" ht="16.5" x14ac:dyDescent="0.3">
      <c r="B509" s="236">
        <v>44928</v>
      </c>
      <c r="C509" s="73"/>
      <c r="D509" s="73"/>
      <c r="E509" s="145">
        <v>26460.41</v>
      </c>
    </row>
    <row r="510" spans="2:5" ht="16.5" x14ac:dyDescent="0.3">
      <c r="B510" s="236">
        <v>44925</v>
      </c>
      <c r="C510" s="73"/>
      <c r="D510" s="73"/>
      <c r="E510" s="145">
        <v>26326.37</v>
      </c>
    </row>
    <row r="511" spans="2:5" ht="16.5" x14ac:dyDescent="0.3">
      <c r="B511" s="236">
        <v>44924</v>
      </c>
      <c r="C511" s="73"/>
      <c r="D511" s="73"/>
      <c r="E511" s="145">
        <v>26451.02</v>
      </c>
    </row>
    <row r="512" spans="2:5" ht="16.5" x14ac:dyDescent="0.3">
      <c r="B512" s="236">
        <v>44923</v>
      </c>
      <c r="C512" s="73"/>
      <c r="D512" s="73"/>
      <c r="E512" s="145">
        <v>26351.4</v>
      </c>
    </row>
    <row r="513" spans="2:5" ht="16.5" x14ac:dyDescent="0.3">
      <c r="B513" s="236">
        <v>44922</v>
      </c>
      <c r="C513" s="73"/>
      <c r="D513" s="73"/>
      <c r="E513" s="145">
        <v>26365.65</v>
      </c>
    </row>
    <row r="514" spans="2:5" ht="16.5" x14ac:dyDescent="0.3">
      <c r="B514" s="236">
        <v>44921</v>
      </c>
      <c r="C514" s="73"/>
      <c r="D514" s="73"/>
      <c r="E514" s="145">
        <v>26194.52</v>
      </c>
    </row>
    <row r="515" spans="2:5" ht="16.5" x14ac:dyDescent="0.3">
      <c r="B515" s="236">
        <v>44918</v>
      </c>
      <c r="C515" s="73"/>
      <c r="D515" s="73"/>
      <c r="E515" s="145">
        <v>25892.35</v>
      </c>
    </row>
    <row r="516" spans="2:5" ht="16.5" x14ac:dyDescent="0.3">
      <c r="B516" s="236">
        <v>44917</v>
      </c>
      <c r="C516" s="73"/>
      <c r="D516" s="73"/>
      <c r="E516" s="145">
        <v>26358.44</v>
      </c>
    </row>
    <row r="517" spans="2:5" ht="16.5" x14ac:dyDescent="0.3">
      <c r="B517" s="236">
        <v>44916</v>
      </c>
      <c r="C517" s="73"/>
      <c r="D517" s="73"/>
      <c r="E517" s="145">
        <v>26462.77</v>
      </c>
    </row>
    <row r="518" spans="2:5" ht="16.5" x14ac:dyDescent="0.3">
      <c r="B518" s="236">
        <v>44915</v>
      </c>
      <c r="C518" s="73"/>
      <c r="D518" s="73"/>
      <c r="E518" s="145">
        <v>26733.51</v>
      </c>
    </row>
    <row r="519" spans="2:5" ht="16.5" x14ac:dyDescent="0.3">
      <c r="B519" s="236">
        <v>44914</v>
      </c>
      <c r="C519" s="73"/>
      <c r="D519" s="73"/>
      <c r="E519" s="145">
        <v>26784.68</v>
      </c>
    </row>
    <row r="520" spans="2:5" ht="16.5" x14ac:dyDescent="0.3">
      <c r="B520" s="236">
        <v>44911</v>
      </c>
      <c r="C520" s="73"/>
      <c r="D520" s="73"/>
      <c r="E520" s="145">
        <v>26564.46</v>
      </c>
    </row>
    <row r="521" spans="2:5" ht="16.5" x14ac:dyDescent="0.3">
      <c r="B521" s="236">
        <v>44910</v>
      </c>
      <c r="C521" s="73"/>
      <c r="D521" s="73"/>
      <c r="E521" s="145">
        <v>26776.560000000001</v>
      </c>
    </row>
    <row r="522" spans="2:5" ht="16.5" x14ac:dyDescent="0.3">
      <c r="B522" s="236">
        <v>44909</v>
      </c>
      <c r="C522" s="73"/>
      <c r="D522" s="73"/>
      <c r="E522" s="145">
        <v>27133.4</v>
      </c>
    </row>
    <row r="523" spans="2:5" ht="16.5" x14ac:dyDescent="0.3">
      <c r="B523" s="236">
        <v>44908</v>
      </c>
      <c r="C523" s="73"/>
      <c r="D523" s="73"/>
      <c r="E523" s="145">
        <v>27057.35</v>
      </c>
    </row>
    <row r="524" spans="2:5" ht="16.5" x14ac:dyDescent="0.3">
      <c r="B524" s="236">
        <v>44907</v>
      </c>
      <c r="C524" s="73"/>
      <c r="D524" s="73"/>
      <c r="E524" s="145">
        <v>26896.21</v>
      </c>
    </row>
    <row r="525" spans="2:5" ht="16.5" x14ac:dyDescent="0.3">
      <c r="B525" s="236">
        <v>44904</v>
      </c>
      <c r="C525" s="73"/>
      <c r="D525" s="73"/>
      <c r="E525" s="145">
        <v>26895.35</v>
      </c>
    </row>
    <row r="526" spans="2:5" ht="16.5" x14ac:dyDescent="0.3">
      <c r="B526" s="236">
        <v>44903</v>
      </c>
      <c r="C526" s="73"/>
      <c r="D526" s="73"/>
      <c r="E526" s="145">
        <v>27059.31</v>
      </c>
    </row>
    <row r="527" spans="2:5" ht="16.5" x14ac:dyDescent="0.3">
      <c r="B527" s="236">
        <v>44902</v>
      </c>
      <c r="C527" s="73"/>
      <c r="D527" s="73"/>
      <c r="E527" s="145">
        <v>26988.31</v>
      </c>
    </row>
    <row r="528" spans="2:5" ht="16.5" x14ac:dyDescent="0.3">
      <c r="B528" s="236">
        <v>44901</v>
      </c>
      <c r="C528" s="73"/>
      <c r="D528" s="73"/>
      <c r="E528" s="145">
        <v>27107.87</v>
      </c>
    </row>
    <row r="529" spans="2:5" ht="16.5" x14ac:dyDescent="0.3">
      <c r="B529" s="236">
        <v>44900</v>
      </c>
      <c r="C529" s="73"/>
      <c r="D529" s="73"/>
      <c r="E529" s="145">
        <v>27192.639999999999</v>
      </c>
    </row>
    <row r="530" spans="2:5" ht="16.5" x14ac:dyDescent="0.3">
      <c r="B530" s="236">
        <v>44897</v>
      </c>
      <c r="C530" s="73"/>
      <c r="D530" s="73"/>
      <c r="E530" s="145">
        <v>27185.439999999999</v>
      </c>
    </row>
    <row r="531" spans="2:5" ht="16.5" x14ac:dyDescent="0.3">
      <c r="B531" s="236">
        <v>44896</v>
      </c>
      <c r="C531" s="73"/>
      <c r="D531" s="73"/>
      <c r="E531" s="145">
        <v>27354.74</v>
      </c>
    </row>
    <row r="532" spans="2:5" ht="16.5" x14ac:dyDescent="0.3">
      <c r="B532" s="236">
        <v>44895</v>
      </c>
      <c r="C532" s="73"/>
      <c r="D532" s="73"/>
      <c r="E532" s="145">
        <v>27276.01</v>
      </c>
    </row>
    <row r="533" spans="2:5" ht="16.5" x14ac:dyDescent="0.3">
      <c r="B533" s="236">
        <v>44894</v>
      </c>
      <c r="C533" s="73"/>
      <c r="D533" s="73"/>
      <c r="E533" s="145">
        <v>27071.98</v>
      </c>
    </row>
    <row r="534" spans="2:5" ht="16.5" x14ac:dyDescent="0.3">
      <c r="B534" s="236">
        <v>44893</v>
      </c>
      <c r="C534" s="73"/>
      <c r="D534" s="73"/>
      <c r="E534" s="145">
        <v>26991.599999999999</v>
      </c>
    </row>
    <row r="535" spans="2:5" ht="16.5" x14ac:dyDescent="0.3">
      <c r="B535" s="236">
        <v>44890</v>
      </c>
      <c r="C535" s="73"/>
      <c r="D535" s="73"/>
      <c r="E535" s="145">
        <v>26918.89</v>
      </c>
    </row>
    <row r="536" spans="2:5" ht="16.5" x14ac:dyDescent="0.3">
      <c r="B536" s="236">
        <v>44889</v>
      </c>
      <c r="C536" s="73"/>
      <c r="D536" s="73"/>
      <c r="E536" s="145">
        <v>26877.24</v>
      </c>
    </row>
    <row r="537" spans="2:5" ht="16.5" x14ac:dyDescent="0.3">
      <c r="B537" s="236">
        <v>44888</v>
      </c>
      <c r="C537" s="73"/>
      <c r="D537" s="73"/>
      <c r="E537" s="145">
        <v>26561.89</v>
      </c>
    </row>
    <row r="538" spans="2:5" ht="16.5" x14ac:dyDescent="0.3">
      <c r="B538" s="236">
        <v>44887</v>
      </c>
      <c r="C538" s="73"/>
      <c r="D538" s="73"/>
      <c r="E538" s="145">
        <v>26528.400000000001</v>
      </c>
    </row>
    <row r="539" spans="2:5" ht="16.5" x14ac:dyDescent="0.3">
      <c r="B539" s="236">
        <v>44886</v>
      </c>
      <c r="C539" s="73"/>
      <c r="D539" s="73"/>
      <c r="E539" s="145">
        <v>26405.9</v>
      </c>
    </row>
    <row r="540" spans="2:5" ht="16.5" x14ac:dyDescent="0.3">
      <c r="B540" s="236">
        <v>44883</v>
      </c>
      <c r="C540" s="73"/>
      <c r="D540" s="73"/>
      <c r="E540" s="145">
        <v>26620.61</v>
      </c>
    </row>
    <row r="541" spans="2:5" ht="16.5" x14ac:dyDescent="0.3">
      <c r="B541" s="236">
        <v>44882</v>
      </c>
      <c r="C541" s="73"/>
      <c r="D541" s="73"/>
      <c r="E541" s="145">
        <v>26673.32</v>
      </c>
    </row>
    <row r="542" spans="2:5" ht="16.5" x14ac:dyDescent="0.3">
      <c r="B542" s="236">
        <v>44881</v>
      </c>
      <c r="C542" s="73"/>
      <c r="D542" s="73"/>
      <c r="E542" s="145">
        <v>26768.95</v>
      </c>
    </row>
    <row r="543" spans="2:5" ht="16.5" x14ac:dyDescent="0.3">
      <c r="B543" s="236">
        <v>44880</v>
      </c>
      <c r="C543" s="73"/>
      <c r="D543" s="73"/>
      <c r="E543" s="145">
        <v>26759.85</v>
      </c>
    </row>
    <row r="544" spans="2:5" ht="16.5" x14ac:dyDescent="0.3">
      <c r="B544" s="236">
        <v>44879</v>
      </c>
      <c r="C544" s="73"/>
      <c r="D544" s="73"/>
      <c r="E544" s="145">
        <v>26651.93</v>
      </c>
    </row>
    <row r="545" spans="2:5" ht="16.5" x14ac:dyDescent="0.3">
      <c r="B545" s="236">
        <v>44876</v>
      </c>
      <c r="C545" s="73"/>
      <c r="D545" s="73"/>
      <c r="E545" s="145">
        <v>26681.759999999998</v>
      </c>
    </row>
    <row r="546" spans="2:5" ht="16.5" x14ac:dyDescent="0.3">
      <c r="B546" s="236">
        <v>44875</v>
      </c>
      <c r="C546" s="73"/>
      <c r="D546" s="73"/>
      <c r="E546" s="145">
        <v>26214.31</v>
      </c>
    </row>
    <row r="547" spans="2:5" ht="16.5" x14ac:dyDescent="0.3">
      <c r="B547" s="236">
        <v>44874</v>
      </c>
      <c r="C547" s="73"/>
      <c r="D547" s="73"/>
      <c r="E547" s="145">
        <v>26401.58</v>
      </c>
    </row>
    <row r="548" spans="2:5" ht="16.5" x14ac:dyDescent="0.3">
      <c r="B548" s="236">
        <v>44872</v>
      </c>
      <c r="C548" s="73"/>
      <c r="D548" s="73"/>
      <c r="E548" s="145">
        <v>26464.44</v>
      </c>
    </row>
    <row r="549" spans="2:5" ht="16.5" x14ac:dyDescent="0.3">
      <c r="B549" s="236">
        <v>44869</v>
      </c>
      <c r="C549" s="73"/>
      <c r="D549" s="73"/>
      <c r="E549" s="145">
        <v>26339.9</v>
      </c>
    </row>
    <row r="550" spans="2:5" ht="16.5" x14ac:dyDescent="0.3">
      <c r="B550" s="236">
        <v>44868</v>
      </c>
      <c r="C550" s="73"/>
      <c r="D550" s="73"/>
      <c r="E550" s="145">
        <v>26246.23</v>
      </c>
    </row>
    <row r="551" spans="2:5" ht="16.5" x14ac:dyDescent="0.3">
      <c r="B551" s="236">
        <v>44867</v>
      </c>
      <c r="C551" s="73"/>
      <c r="D551" s="73"/>
      <c r="E551" s="145">
        <v>26290.01</v>
      </c>
    </row>
    <row r="552" spans="2:5" ht="16.5" x14ac:dyDescent="0.3">
      <c r="B552" s="236">
        <v>44866</v>
      </c>
      <c r="C552" s="73"/>
      <c r="D552" s="73"/>
      <c r="E552" s="145">
        <v>26380.97</v>
      </c>
    </row>
    <row r="553" spans="2:5" ht="16.5" x14ac:dyDescent="0.3">
      <c r="B553" s="236">
        <v>44865</v>
      </c>
      <c r="C553" s="73"/>
      <c r="D553" s="73"/>
      <c r="E553" s="145">
        <v>26182.36</v>
      </c>
    </row>
    <row r="554" spans="2:5" ht="16.5" x14ac:dyDescent="0.3">
      <c r="B554" s="236">
        <v>44862</v>
      </c>
      <c r="C554" s="73"/>
      <c r="D554" s="73"/>
      <c r="E554" s="145">
        <v>25852.720000000001</v>
      </c>
    </row>
    <row r="555" spans="2:5" ht="16.5" x14ac:dyDescent="0.3">
      <c r="B555" s="236">
        <v>44861</v>
      </c>
      <c r="C555" s="73"/>
      <c r="D555" s="73"/>
      <c r="E555" s="145">
        <v>25780.23</v>
      </c>
    </row>
    <row r="556" spans="2:5" ht="16.5" x14ac:dyDescent="0.3">
      <c r="B556" s="236">
        <v>44859</v>
      </c>
      <c r="C556" s="73"/>
      <c r="D556" s="73"/>
      <c r="E556" s="145">
        <v>25643.34</v>
      </c>
    </row>
    <row r="557" spans="2:5" ht="16.5" x14ac:dyDescent="0.3">
      <c r="B557" s="236">
        <v>44858</v>
      </c>
      <c r="C557" s="73"/>
      <c r="D557" s="73"/>
      <c r="E557" s="145">
        <v>25751.45</v>
      </c>
    </row>
    <row r="558" spans="2:5" ht="16.5" x14ac:dyDescent="0.3">
      <c r="B558" s="236">
        <v>44855</v>
      </c>
      <c r="C558" s="73"/>
      <c r="D558" s="73"/>
      <c r="E558" s="145">
        <v>25527.09</v>
      </c>
    </row>
    <row r="559" spans="2:5" ht="16.5" x14ac:dyDescent="0.3">
      <c r="B559" s="236">
        <v>44854</v>
      </c>
      <c r="C559" s="73"/>
      <c r="D559" s="73"/>
      <c r="E559" s="145">
        <v>25509.14</v>
      </c>
    </row>
    <row r="560" spans="2:5" ht="16.5" x14ac:dyDescent="0.3">
      <c r="B560" s="236">
        <v>44853</v>
      </c>
      <c r="C560" s="73"/>
      <c r="D560" s="73"/>
      <c r="E560" s="145">
        <v>25434.1</v>
      </c>
    </row>
    <row r="561" spans="2:5" ht="16.5" x14ac:dyDescent="0.3">
      <c r="B561" s="236">
        <v>44852</v>
      </c>
      <c r="C561" s="73"/>
      <c r="D561" s="73"/>
      <c r="E561" s="145">
        <v>25393.89</v>
      </c>
    </row>
    <row r="562" spans="2:5" ht="16.5" x14ac:dyDescent="0.3">
      <c r="B562" s="236">
        <v>44851</v>
      </c>
      <c r="C562" s="73"/>
      <c r="D562" s="73"/>
      <c r="E562" s="145">
        <v>25139.55</v>
      </c>
    </row>
    <row r="563" spans="2:5" ht="16.5" x14ac:dyDescent="0.3">
      <c r="B563" s="236">
        <v>44848</v>
      </c>
      <c r="C563" s="73"/>
      <c r="D563" s="73"/>
      <c r="E563" s="145">
        <v>24953.75</v>
      </c>
    </row>
    <row r="564" spans="2:5" ht="16.5" x14ac:dyDescent="0.3">
      <c r="B564" s="236">
        <v>44847</v>
      </c>
      <c r="C564" s="73"/>
      <c r="D564" s="73"/>
      <c r="E564" s="145">
        <v>24704.95</v>
      </c>
    </row>
    <row r="565" spans="2:5" ht="16.5" x14ac:dyDescent="0.3">
      <c r="B565" s="236">
        <v>44846</v>
      </c>
      <c r="C565" s="73"/>
      <c r="D565" s="73"/>
      <c r="E565" s="145">
        <v>24863.58</v>
      </c>
    </row>
    <row r="566" spans="2:5" ht="16.5" x14ac:dyDescent="0.3">
      <c r="B566" s="236">
        <v>44845</v>
      </c>
      <c r="C566" s="73"/>
      <c r="D566" s="73"/>
      <c r="E566" s="145">
        <v>24660.2</v>
      </c>
    </row>
    <row r="567" spans="2:5" ht="16.5" x14ac:dyDescent="0.3">
      <c r="B567" s="236">
        <v>44844</v>
      </c>
      <c r="C567" s="73"/>
      <c r="D567" s="73"/>
      <c r="E567" s="145">
        <v>25034.02</v>
      </c>
    </row>
    <row r="568" spans="2:5" ht="16.5" x14ac:dyDescent="0.3">
      <c r="B568" s="236">
        <v>44841</v>
      </c>
      <c r="C568" s="73"/>
      <c r="D568" s="73"/>
      <c r="E568" s="145">
        <v>25140.99</v>
      </c>
    </row>
    <row r="569" spans="2:5" ht="16.5" x14ac:dyDescent="0.3">
      <c r="B569" s="236">
        <v>44840</v>
      </c>
      <c r="C569" s="73"/>
      <c r="D569" s="73"/>
      <c r="E569" s="145">
        <v>25165.85</v>
      </c>
    </row>
    <row r="570" spans="2:5" ht="16.5" x14ac:dyDescent="0.3">
      <c r="B570" s="236">
        <v>44838</v>
      </c>
      <c r="C570" s="73"/>
      <c r="D570" s="73"/>
      <c r="E570" s="145">
        <v>25082.39</v>
      </c>
    </row>
    <row r="571" spans="2:5" ht="16.5" x14ac:dyDescent="0.3">
      <c r="B571" s="236">
        <v>44837</v>
      </c>
      <c r="C571" s="73"/>
      <c r="D571" s="73"/>
      <c r="E571" s="145">
        <v>24520.52</v>
      </c>
    </row>
    <row r="572" spans="2:5" ht="16.5" x14ac:dyDescent="0.3">
      <c r="B572" s="236">
        <v>44834</v>
      </c>
      <c r="C572" s="73"/>
      <c r="D572" s="73"/>
      <c r="E572" s="145">
        <v>24821.08</v>
      </c>
    </row>
    <row r="573" spans="2:5" ht="16.5" x14ac:dyDescent="0.3">
      <c r="B573" s="236">
        <v>44833</v>
      </c>
      <c r="C573" s="73"/>
      <c r="D573" s="73"/>
      <c r="E573" s="145">
        <v>24419.98</v>
      </c>
    </row>
    <row r="574" spans="2:5" ht="16.5" x14ac:dyDescent="0.3">
      <c r="B574" s="236">
        <v>44832</v>
      </c>
      <c r="C574" s="73"/>
      <c r="D574" s="73"/>
      <c r="E574" s="145">
        <v>24478.82</v>
      </c>
    </row>
    <row r="575" spans="2:5" ht="16.5" x14ac:dyDescent="0.3">
      <c r="B575" s="236">
        <v>44831</v>
      </c>
      <c r="C575" s="73"/>
      <c r="D575" s="73"/>
      <c r="E575" s="145">
        <v>24694.83</v>
      </c>
    </row>
    <row r="576" spans="2:5" ht="16.5" x14ac:dyDescent="0.3">
      <c r="B576" s="236">
        <v>44830</v>
      </c>
      <c r="C576" s="73"/>
      <c r="D576" s="73"/>
      <c r="E576" s="145">
        <v>24707.77</v>
      </c>
    </row>
    <row r="577" spans="2:5" ht="16.5" x14ac:dyDescent="0.3">
      <c r="B577" s="236">
        <v>44827</v>
      </c>
      <c r="C577" s="73"/>
      <c r="D577" s="73"/>
      <c r="E577" s="145">
        <v>25159.42</v>
      </c>
    </row>
    <row r="578" spans="2:5" ht="16.5" x14ac:dyDescent="0.3">
      <c r="B578" s="236">
        <v>44826</v>
      </c>
      <c r="C578" s="73"/>
      <c r="D578" s="73"/>
      <c r="E578" s="145">
        <v>25598.6</v>
      </c>
    </row>
    <row r="579" spans="2:5" ht="16.5" x14ac:dyDescent="0.3">
      <c r="B579" s="236">
        <v>44825</v>
      </c>
      <c r="C579" s="73"/>
      <c r="D579" s="73"/>
      <c r="E579" s="145">
        <v>25727.13</v>
      </c>
    </row>
    <row r="580" spans="2:5" ht="16.5" x14ac:dyDescent="0.3">
      <c r="B580" s="236">
        <v>44824</v>
      </c>
      <c r="C580" s="73"/>
      <c r="D580" s="73"/>
      <c r="E580" s="145">
        <v>25869.27</v>
      </c>
    </row>
    <row r="581" spans="2:5" ht="16.5" x14ac:dyDescent="0.3">
      <c r="B581" s="236">
        <v>44823</v>
      </c>
      <c r="C581" s="73"/>
      <c r="D581" s="73"/>
      <c r="E581" s="145">
        <v>25587.63</v>
      </c>
    </row>
    <row r="582" spans="2:5" ht="16.5" x14ac:dyDescent="0.3">
      <c r="B582" s="236">
        <v>44820</v>
      </c>
      <c r="C582" s="73"/>
      <c r="D582" s="73"/>
      <c r="E582" s="145">
        <v>25454.93</v>
      </c>
    </row>
    <row r="583" spans="2:5" ht="16.5" x14ac:dyDescent="0.3">
      <c r="B583" s="236">
        <v>44819</v>
      </c>
      <c r="C583" s="73"/>
      <c r="D583" s="73"/>
      <c r="E583" s="145">
        <v>25958.06</v>
      </c>
    </row>
    <row r="584" spans="2:5" ht="16.5" x14ac:dyDescent="0.3">
      <c r="B584" s="236">
        <v>44818</v>
      </c>
      <c r="C584" s="73"/>
      <c r="D584" s="73"/>
      <c r="E584" s="145">
        <v>26141.52</v>
      </c>
    </row>
    <row r="585" spans="2:5" ht="16.5" x14ac:dyDescent="0.3">
      <c r="B585" s="236">
        <v>44817</v>
      </c>
      <c r="C585" s="73"/>
      <c r="D585" s="73"/>
      <c r="E585" s="145">
        <v>26237.81</v>
      </c>
    </row>
    <row r="586" spans="2:5" ht="16.5" x14ac:dyDescent="0.3">
      <c r="B586" s="236">
        <v>44816</v>
      </c>
      <c r="C586" s="73"/>
      <c r="D586" s="73"/>
      <c r="E586" s="145">
        <v>26043.69</v>
      </c>
    </row>
    <row r="587" spans="2:5" ht="16.5" x14ac:dyDescent="0.3">
      <c r="B587" s="236">
        <v>44813</v>
      </c>
      <c r="C587" s="73"/>
      <c r="D587" s="73"/>
      <c r="E587" s="145">
        <v>25894.12</v>
      </c>
    </row>
    <row r="588" spans="2:5" ht="16.5" x14ac:dyDescent="0.3">
      <c r="B588" s="236">
        <v>44812</v>
      </c>
      <c r="C588" s="73"/>
      <c r="D588" s="73"/>
      <c r="E588" s="145">
        <v>25843.86</v>
      </c>
    </row>
    <row r="589" spans="2:5" ht="16.5" x14ac:dyDescent="0.3">
      <c r="B589" s="236">
        <v>44811</v>
      </c>
      <c r="C589" s="73"/>
      <c r="D589" s="73"/>
      <c r="E589" s="145">
        <v>25590.73</v>
      </c>
    </row>
    <row r="590" spans="2:5" ht="16.5" x14ac:dyDescent="0.3">
      <c r="B590" s="236">
        <v>44810</v>
      </c>
      <c r="C590" s="73"/>
      <c r="D590" s="73"/>
      <c r="E590" s="145">
        <v>25636.01</v>
      </c>
    </row>
    <row r="591" spans="2:5" ht="16.5" x14ac:dyDescent="0.3">
      <c r="B591" s="236">
        <v>44809</v>
      </c>
      <c r="C591" s="73"/>
      <c r="D591" s="73"/>
      <c r="E591" s="145">
        <v>25650.83</v>
      </c>
    </row>
    <row r="592" spans="2:5" ht="16.5" x14ac:dyDescent="0.3">
      <c r="B592" s="236">
        <v>44806</v>
      </c>
      <c r="C592" s="73"/>
      <c r="D592" s="73"/>
      <c r="E592" s="145">
        <v>25467.41</v>
      </c>
    </row>
    <row r="593" spans="2:5" ht="16.5" x14ac:dyDescent="0.3">
      <c r="B593" s="236">
        <v>44805</v>
      </c>
      <c r="C593" s="73"/>
      <c r="D593" s="73"/>
      <c r="E593" s="145">
        <v>25472.240000000002</v>
      </c>
    </row>
    <row r="594" spans="2:5" ht="16.5" x14ac:dyDescent="0.3">
      <c r="B594" s="236">
        <v>44803</v>
      </c>
      <c r="C594" s="73"/>
      <c r="D594" s="73"/>
      <c r="E594" s="145">
        <v>25786.59</v>
      </c>
    </row>
    <row r="595" spans="2:5" ht="16.5" x14ac:dyDescent="0.3">
      <c r="B595" s="236">
        <v>44802</v>
      </c>
      <c r="C595" s="73"/>
      <c r="D595" s="73"/>
      <c r="E595" s="145">
        <v>25138.400000000001</v>
      </c>
    </row>
    <row r="596" spans="2:5" ht="16.5" x14ac:dyDescent="0.3">
      <c r="B596" s="236">
        <v>44799</v>
      </c>
      <c r="C596" s="73"/>
      <c r="D596" s="73"/>
      <c r="E596" s="145">
        <v>25495.64</v>
      </c>
    </row>
    <row r="597" spans="2:5" ht="16.5" x14ac:dyDescent="0.3">
      <c r="B597" s="236">
        <v>44798</v>
      </c>
      <c r="C597" s="73"/>
      <c r="D597" s="73"/>
      <c r="E597" s="145">
        <v>25442.67</v>
      </c>
    </row>
    <row r="598" spans="2:5" ht="16.5" x14ac:dyDescent="0.3">
      <c r="B598" s="236">
        <v>44797</v>
      </c>
      <c r="C598" s="73"/>
      <c r="D598" s="73"/>
      <c r="E598" s="145">
        <v>25562.51</v>
      </c>
    </row>
    <row r="599" spans="2:5" ht="16.5" x14ac:dyDescent="0.3">
      <c r="B599" s="236">
        <v>44796</v>
      </c>
      <c r="C599" s="73"/>
      <c r="D599" s="73"/>
      <c r="E599" s="145">
        <v>25522.62</v>
      </c>
    </row>
    <row r="600" spans="2:5" ht="16.5" x14ac:dyDescent="0.3">
      <c r="B600" s="236">
        <v>44795</v>
      </c>
      <c r="C600" s="73"/>
      <c r="D600" s="73"/>
      <c r="E600" s="145">
        <v>25396.57</v>
      </c>
    </row>
    <row r="601" spans="2:5" ht="16.5" x14ac:dyDescent="0.3">
      <c r="B601" s="236">
        <v>44792</v>
      </c>
      <c r="C601" s="73"/>
      <c r="D601" s="73"/>
      <c r="E601" s="145">
        <v>25785.4</v>
      </c>
    </row>
    <row r="602" spans="2:5" ht="16.5" x14ac:dyDescent="0.3">
      <c r="B602" s="236">
        <v>44791</v>
      </c>
      <c r="C602" s="73"/>
      <c r="D602" s="73"/>
      <c r="E602" s="145">
        <v>26067.35</v>
      </c>
    </row>
    <row r="603" spans="2:5" ht="16.5" x14ac:dyDescent="0.3">
      <c r="B603" s="236">
        <v>44790</v>
      </c>
      <c r="C603" s="73"/>
      <c r="D603" s="73"/>
      <c r="E603" s="145">
        <v>26035.87</v>
      </c>
    </row>
    <row r="604" spans="2:5" ht="16.5" x14ac:dyDescent="0.3">
      <c r="B604" s="236">
        <v>44789</v>
      </c>
      <c r="C604" s="73"/>
      <c r="D604" s="73"/>
      <c r="E604" s="145">
        <v>25863.24</v>
      </c>
    </row>
    <row r="605" spans="2:5" ht="16.5" x14ac:dyDescent="0.3">
      <c r="B605" s="236">
        <v>44785</v>
      </c>
      <c r="C605" s="73"/>
      <c r="D605" s="73"/>
      <c r="E605" s="145">
        <v>25678.83</v>
      </c>
    </row>
    <row r="606" spans="2:5" ht="16.5" x14ac:dyDescent="0.3">
      <c r="B606" s="236">
        <v>44784</v>
      </c>
      <c r="C606" s="73"/>
      <c r="D606" s="73"/>
      <c r="E606" s="145">
        <v>25621.06</v>
      </c>
    </row>
    <row r="607" spans="2:5" ht="16.5" x14ac:dyDescent="0.3">
      <c r="B607" s="236">
        <v>44783</v>
      </c>
      <c r="C607" s="73"/>
      <c r="D607" s="73"/>
      <c r="E607" s="145">
        <v>25431.919999999998</v>
      </c>
    </row>
    <row r="608" spans="2:5" ht="16.5" x14ac:dyDescent="0.3">
      <c r="B608" s="236">
        <v>44781</v>
      </c>
      <c r="C608" s="73"/>
      <c r="D608" s="73"/>
      <c r="E608" s="145">
        <v>25413.25</v>
      </c>
    </row>
    <row r="609" spans="2:5" ht="16.5" x14ac:dyDescent="0.3">
      <c r="B609" s="236">
        <v>44778</v>
      </c>
      <c r="C609" s="73"/>
      <c r="D609" s="73"/>
      <c r="E609" s="145">
        <v>25215.93</v>
      </c>
    </row>
    <row r="610" spans="2:5" ht="16.5" x14ac:dyDescent="0.3">
      <c r="B610" s="236">
        <v>44777</v>
      </c>
      <c r="C610" s="73"/>
      <c r="D610" s="73"/>
      <c r="E610" s="145">
        <v>25193.41</v>
      </c>
    </row>
    <row r="611" spans="2:5" ht="16.5" x14ac:dyDescent="0.3">
      <c r="B611" s="236">
        <v>44776</v>
      </c>
      <c r="C611" s="73"/>
      <c r="D611" s="73"/>
      <c r="E611" s="145">
        <v>25202.38</v>
      </c>
    </row>
    <row r="612" spans="2:5" ht="16.5" x14ac:dyDescent="0.3">
      <c r="B612" s="236">
        <v>44775</v>
      </c>
      <c r="C612" s="73"/>
      <c r="D612" s="73"/>
      <c r="E612" s="145">
        <v>25137.82</v>
      </c>
    </row>
    <row r="613" spans="2:5" ht="16.5" x14ac:dyDescent="0.3">
      <c r="B613" s="236">
        <v>44774</v>
      </c>
      <c r="C613" s="73"/>
      <c r="D613" s="73"/>
      <c r="E613" s="145">
        <v>25128.57</v>
      </c>
    </row>
    <row r="614" spans="2:5" ht="16.5" x14ac:dyDescent="0.3">
      <c r="B614" s="236">
        <v>44771</v>
      </c>
      <c r="C614" s="73"/>
      <c r="D614" s="73"/>
      <c r="E614" s="145">
        <v>24862.7</v>
      </c>
    </row>
    <row r="615" spans="2:5" ht="16.5" x14ac:dyDescent="0.3">
      <c r="B615" s="236">
        <v>44770</v>
      </c>
      <c r="C615" s="73"/>
      <c r="D615" s="73"/>
      <c r="E615" s="145">
        <v>24531.38</v>
      </c>
    </row>
    <row r="616" spans="2:5" ht="16.5" x14ac:dyDescent="0.3">
      <c r="B616" s="236">
        <v>44769</v>
      </c>
      <c r="C616" s="73"/>
      <c r="D616" s="73"/>
      <c r="E616" s="145">
        <v>24114.41</v>
      </c>
    </row>
    <row r="617" spans="2:5" ht="16.5" x14ac:dyDescent="0.3">
      <c r="B617" s="236">
        <v>44768</v>
      </c>
      <c r="C617" s="73"/>
      <c r="D617" s="73"/>
      <c r="E617" s="145">
        <v>23882.26</v>
      </c>
    </row>
    <row r="618" spans="2:5" ht="16.5" x14ac:dyDescent="0.3">
      <c r="B618" s="236">
        <v>44767</v>
      </c>
      <c r="C618" s="73"/>
      <c r="D618" s="73"/>
      <c r="E618" s="145">
        <v>24095.46</v>
      </c>
    </row>
    <row r="619" spans="2:5" ht="16.5" x14ac:dyDescent="0.3">
      <c r="B619" s="236">
        <v>44764</v>
      </c>
      <c r="C619" s="73"/>
      <c r="D619" s="73"/>
      <c r="E619" s="145">
        <v>24223.56</v>
      </c>
    </row>
    <row r="620" spans="2:5" ht="16.5" x14ac:dyDescent="0.3">
      <c r="B620" s="236">
        <v>44763</v>
      </c>
      <c r="C620" s="73"/>
      <c r="D620" s="73"/>
      <c r="E620" s="145">
        <v>24058.17</v>
      </c>
    </row>
    <row r="621" spans="2:5" ht="16.5" x14ac:dyDescent="0.3">
      <c r="B621" s="236">
        <v>44762</v>
      </c>
      <c r="C621" s="73"/>
      <c r="D621" s="73"/>
      <c r="E621" s="145">
        <v>23920.880000000001</v>
      </c>
    </row>
    <row r="622" spans="2:5" ht="16.5" x14ac:dyDescent="0.3">
      <c r="B622" s="236">
        <v>44761</v>
      </c>
      <c r="C622" s="73"/>
      <c r="D622" s="73"/>
      <c r="E622" s="145">
        <v>23659.85</v>
      </c>
    </row>
    <row r="623" spans="2:5" ht="16.5" x14ac:dyDescent="0.3">
      <c r="B623" s="236">
        <v>44760</v>
      </c>
      <c r="C623" s="73"/>
      <c r="D623" s="73"/>
      <c r="E623" s="145">
        <v>23566.52</v>
      </c>
    </row>
    <row r="624" spans="2:5" ht="16.5" x14ac:dyDescent="0.3">
      <c r="B624" s="236">
        <v>44757</v>
      </c>
      <c r="C624" s="73"/>
      <c r="D624" s="73"/>
      <c r="E624" s="145">
        <v>23234.52</v>
      </c>
    </row>
    <row r="625" spans="2:5" ht="16.5" x14ac:dyDescent="0.3">
      <c r="B625" s="236">
        <v>44756</v>
      </c>
      <c r="C625" s="73"/>
      <c r="D625" s="73"/>
      <c r="E625" s="145">
        <v>23074.52</v>
      </c>
    </row>
    <row r="626" spans="2:5" ht="16.5" x14ac:dyDescent="0.3">
      <c r="B626" s="236">
        <v>44755</v>
      </c>
      <c r="C626" s="73"/>
      <c r="D626" s="73"/>
      <c r="E626" s="145">
        <v>23107.47</v>
      </c>
    </row>
    <row r="627" spans="2:5" ht="16.5" x14ac:dyDescent="0.3">
      <c r="B627" s="236">
        <v>44754</v>
      </c>
      <c r="C627" s="73"/>
      <c r="D627" s="73"/>
      <c r="E627" s="145">
        <v>23239.9</v>
      </c>
    </row>
    <row r="628" spans="2:5" ht="16.5" x14ac:dyDescent="0.3">
      <c r="B628" s="236">
        <v>44753</v>
      </c>
      <c r="C628" s="73"/>
      <c r="D628" s="73"/>
      <c r="E628" s="145">
        <v>23468.14</v>
      </c>
    </row>
    <row r="629" spans="2:5" ht="16.5" x14ac:dyDescent="0.3">
      <c r="B629" s="236">
        <v>44750</v>
      </c>
      <c r="C629" s="73"/>
      <c r="D629" s="73"/>
      <c r="E629" s="145">
        <v>23473.61</v>
      </c>
    </row>
    <row r="630" spans="2:5" ht="16.5" x14ac:dyDescent="0.3">
      <c r="B630" s="236">
        <v>44749</v>
      </c>
      <c r="C630" s="73"/>
      <c r="D630" s="73"/>
      <c r="E630" s="145">
        <v>23345.61</v>
      </c>
    </row>
    <row r="631" spans="2:5" ht="16.5" x14ac:dyDescent="0.3">
      <c r="B631" s="236">
        <v>44748</v>
      </c>
      <c r="C631" s="73"/>
      <c r="D631" s="73"/>
      <c r="E631" s="145">
        <v>23137.7</v>
      </c>
    </row>
    <row r="632" spans="2:5" ht="16.5" x14ac:dyDescent="0.3">
      <c r="B632" s="236">
        <v>44747</v>
      </c>
      <c r="C632" s="73"/>
      <c r="D632" s="73"/>
      <c r="E632" s="145">
        <v>22878.720000000001</v>
      </c>
    </row>
    <row r="633" spans="2:5" ht="16.5" x14ac:dyDescent="0.3">
      <c r="B633" s="236">
        <v>44746</v>
      </c>
      <c r="C633" s="73"/>
      <c r="D633" s="73"/>
      <c r="E633" s="145">
        <v>22914.2</v>
      </c>
    </row>
    <row r="634" spans="2:5" ht="16.5" x14ac:dyDescent="0.3">
      <c r="B634" s="236">
        <v>44743</v>
      </c>
      <c r="C634" s="73"/>
      <c r="D634" s="73"/>
      <c r="E634" s="145">
        <v>22788.18</v>
      </c>
    </row>
    <row r="635" spans="2:5" ht="16.5" x14ac:dyDescent="0.3">
      <c r="B635" s="236">
        <v>44742</v>
      </c>
      <c r="C635" s="73"/>
      <c r="D635" s="73"/>
      <c r="E635" s="145">
        <v>22828.93</v>
      </c>
    </row>
    <row r="636" spans="2:5" ht="16.5" x14ac:dyDescent="0.3">
      <c r="B636" s="236">
        <v>44741</v>
      </c>
      <c r="C636" s="73"/>
      <c r="D636" s="73"/>
      <c r="E636" s="145">
        <v>22848.35</v>
      </c>
    </row>
    <row r="637" spans="2:5" ht="16.5" x14ac:dyDescent="0.3">
      <c r="B637" s="236">
        <v>44740</v>
      </c>
      <c r="C637" s="73"/>
      <c r="D637" s="73"/>
      <c r="E637" s="145">
        <v>22922.240000000002</v>
      </c>
    </row>
    <row r="638" spans="2:5" ht="16.5" x14ac:dyDescent="0.3">
      <c r="B638" s="236">
        <v>44739</v>
      </c>
      <c r="C638" s="73"/>
      <c r="D638" s="73"/>
      <c r="E638" s="145">
        <v>22896.02</v>
      </c>
    </row>
    <row r="639" spans="2:5" ht="16.5" x14ac:dyDescent="0.3">
      <c r="B639" s="236">
        <v>44736</v>
      </c>
      <c r="C639" s="73"/>
      <c r="D639" s="73"/>
      <c r="E639" s="145">
        <v>22703.95</v>
      </c>
    </row>
    <row r="640" spans="2:5" ht="16.5" x14ac:dyDescent="0.3">
      <c r="B640" s="236">
        <v>44735</v>
      </c>
      <c r="C640" s="73"/>
      <c r="D640" s="73"/>
      <c r="E640" s="145">
        <v>22497.71</v>
      </c>
    </row>
    <row r="641" spans="2:5" ht="16.5" x14ac:dyDescent="0.3">
      <c r="B641" s="236">
        <v>44734</v>
      </c>
      <c r="C641" s="73"/>
      <c r="D641" s="73"/>
      <c r="E641" s="145">
        <v>22290.46</v>
      </c>
    </row>
    <row r="642" spans="2:5" ht="16.5" x14ac:dyDescent="0.3">
      <c r="B642" s="236">
        <v>44733</v>
      </c>
      <c r="C642" s="73"/>
      <c r="D642" s="73"/>
      <c r="E642" s="145">
        <v>22616.52</v>
      </c>
    </row>
    <row r="643" spans="2:5" ht="16.5" x14ac:dyDescent="0.3">
      <c r="B643" s="236">
        <v>44732</v>
      </c>
      <c r="C643" s="73"/>
      <c r="D643" s="73"/>
      <c r="E643" s="145">
        <v>22199.11</v>
      </c>
    </row>
    <row r="644" spans="2:5" ht="16.5" x14ac:dyDescent="0.3">
      <c r="B644" s="236">
        <v>44729</v>
      </c>
      <c r="C644" s="73"/>
      <c r="D644" s="73"/>
      <c r="E644" s="145">
        <v>22114.97</v>
      </c>
    </row>
    <row r="645" spans="2:5" ht="16.5" x14ac:dyDescent="0.3">
      <c r="B645" s="236">
        <v>44728</v>
      </c>
      <c r="C645" s="73"/>
      <c r="D645" s="73"/>
      <c r="E645" s="145">
        <v>22211.98</v>
      </c>
    </row>
    <row r="646" spans="2:5" ht="16.5" x14ac:dyDescent="0.3">
      <c r="B646" s="236">
        <v>44727</v>
      </c>
      <c r="C646" s="73"/>
      <c r="D646" s="73"/>
      <c r="E646" s="145">
        <v>22691.46</v>
      </c>
    </row>
    <row r="647" spans="2:5" ht="16.5" x14ac:dyDescent="0.3">
      <c r="B647" s="236">
        <v>44726</v>
      </c>
      <c r="C647" s="73"/>
      <c r="D647" s="73"/>
      <c r="E647" s="145">
        <v>22729.97</v>
      </c>
    </row>
    <row r="648" spans="2:5" ht="16.5" x14ac:dyDescent="0.3">
      <c r="B648" s="236">
        <v>44725</v>
      </c>
      <c r="C648" s="73"/>
      <c r="D648" s="73"/>
      <c r="E648" s="145">
        <v>22791.119999999999</v>
      </c>
    </row>
    <row r="649" spans="2:5" ht="16.5" x14ac:dyDescent="0.3">
      <c r="B649" s="236">
        <v>44722</v>
      </c>
      <c r="C649" s="73"/>
      <c r="D649" s="73"/>
      <c r="E649" s="145">
        <v>23408.59</v>
      </c>
    </row>
    <row r="650" spans="2:5" ht="16.5" x14ac:dyDescent="0.3">
      <c r="B650" s="236">
        <v>44721</v>
      </c>
      <c r="C650" s="73"/>
      <c r="D650" s="73"/>
      <c r="E650" s="145">
        <v>23807.84</v>
      </c>
    </row>
    <row r="651" spans="2:5" ht="16.5" x14ac:dyDescent="0.3">
      <c r="B651" s="236">
        <v>44720</v>
      </c>
      <c r="C651" s="73"/>
      <c r="D651" s="73"/>
      <c r="E651" s="145">
        <v>23628.32</v>
      </c>
    </row>
    <row r="652" spans="2:5" ht="16.5" x14ac:dyDescent="0.3">
      <c r="B652" s="236">
        <v>44719</v>
      </c>
      <c r="C652" s="73"/>
      <c r="D652" s="73"/>
      <c r="E652" s="145">
        <v>23715.1</v>
      </c>
    </row>
    <row r="653" spans="2:5" ht="16.5" x14ac:dyDescent="0.3">
      <c r="B653" s="236">
        <v>44718</v>
      </c>
      <c r="C653" s="73"/>
      <c r="D653" s="73"/>
      <c r="E653" s="145">
        <v>23936.44</v>
      </c>
    </row>
    <row r="654" spans="2:5" ht="16.5" x14ac:dyDescent="0.3">
      <c r="B654" s="236">
        <v>44715</v>
      </c>
      <c r="C654" s="73"/>
      <c r="D654" s="73"/>
      <c r="E654" s="145">
        <v>23957.71</v>
      </c>
    </row>
    <row r="655" spans="2:5" ht="16.5" x14ac:dyDescent="0.3">
      <c r="B655" s="236">
        <v>44714</v>
      </c>
      <c r="C655" s="73"/>
      <c r="D655" s="73"/>
      <c r="E655" s="145">
        <v>24020.89</v>
      </c>
    </row>
    <row r="656" spans="2:5" ht="16.5" x14ac:dyDescent="0.3">
      <c r="B656" s="236">
        <v>44713</v>
      </c>
      <c r="C656" s="73"/>
      <c r="D656" s="73"/>
      <c r="E656" s="145">
        <v>23868.85</v>
      </c>
    </row>
    <row r="657" spans="2:5" ht="16.5" x14ac:dyDescent="0.3">
      <c r="B657" s="236">
        <v>44712</v>
      </c>
      <c r="C657" s="73"/>
      <c r="D657" s="73"/>
      <c r="E657" s="145">
        <v>23958.1</v>
      </c>
    </row>
    <row r="658" spans="2:5" ht="16.5" x14ac:dyDescent="0.3">
      <c r="B658" s="236">
        <v>44711</v>
      </c>
      <c r="C658" s="73"/>
      <c r="D658" s="73"/>
      <c r="E658" s="145">
        <v>24031.25</v>
      </c>
    </row>
    <row r="659" spans="2:5" ht="16.5" x14ac:dyDescent="0.3">
      <c r="B659" s="236">
        <v>44708</v>
      </c>
      <c r="C659" s="73"/>
      <c r="D659" s="73"/>
      <c r="E659" s="145">
        <v>23585.61</v>
      </c>
    </row>
    <row r="660" spans="2:5" ht="16.5" x14ac:dyDescent="0.3">
      <c r="B660" s="236">
        <v>44707</v>
      </c>
      <c r="C660" s="73"/>
      <c r="D660" s="73"/>
      <c r="E660" s="145">
        <v>23322.66</v>
      </c>
    </row>
    <row r="661" spans="2:5" ht="16.5" x14ac:dyDescent="0.3">
      <c r="B661" s="236">
        <v>44706</v>
      </c>
      <c r="C661" s="73"/>
      <c r="D661" s="73"/>
      <c r="E661" s="145">
        <v>23096.63</v>
      </c>
    </row>
    <row r="662" spans="2:5" ht="16.5" x14ac:dyDescent="0.3">
      <c r="B662" s="236">
        <v>44705</v>
      </c>
      <c r="C662" s="73"/>
      <c r="D662" s="73"/>
      <c r="E662" s="145">
        <v>23223.25</v>
      </c>
    </row>
    <row r="663" spans="2:5" ht="16.5" x14ac:dyDescent="0.3">
      <c r="B663" s="236">
        <v>44704</v>
      </c>
      <c r="C663" s="73"/>
      <c r="D663" s="73"/>
      <c r="E663" s="145">
        <v>23352.22</v>
      </c>
    </row>
    <row r="664" spans="2:5" ht="16.5" x14ac:dyDescent="0.3">
      <c r="B664" s="236">
        <v>44701</v>
      </c>
      <c r="C664" s="73"/>
      <c r="D664" s="73"/>
      <c r="E664" s="145">
        <v>23426.36</v>
      </c>
    </row>
    <row r="665" spans="2:5" ht="16.5" x14ac:dyDescent="0.3">
      <c r="B665" s="236">
        <v>44700</v>
      </c>
      <c r="C665" s="73"/>
      <c r="D665" s="73"/>
      <c r="E665" s="145">
        <v>22768.49</v>
      </c>
    </row>
    <row r="666" spans="2:5" ht="16.5" x14ac:dyDescent="0.3">
      <c r="B666" s="236">
        <v>44699</v>
      </c>
      <c r="C666" s="73"/>
      <c r="D666" s="73"/>
      <c r="E666" s="145">
        <v>23389.07</v>
      </c>
    </row>
    <row r="667" spans="2:5" ht="16.5" x14ac:dyDescent="0.3">
      <c r="B667" s="236">
        <v>44698</v>
      </c>
      <c r="C667" s="73"/>
      <c r="D667" s="73"/>
      <c r="E667" s="145">
        <v>23416.46</v>
      </c>
    </row>
    <row r="668" spans="2:5" ht="16.5" x14ac:dyDescent="0.3">
      <c r="B668" s="236">
        <v>44697</v>
      </c>
      <c r="C668" s="73"/>
      <c r="D668" s="73"/>
      <c r="E668" s="145">
        <v>22815.88</v>
      </c>
    </row>
    <row r="669" spans="2:5" ht="16.5" x14ac:dyDescent="0.3">
      <c r="B669" s="236">
        <v>44694</v>
      </c>
      <c r="C669" s="73"/>
      <c r="D669" s="73"/>
      <c r="E669" s="145">
        <v>22729.279999999999</v>
      </c>
    </row>
    <row r="670" spans="2:5" ht="16.5" x14ac:dyDescent="0.3">
      <c r="B670" s="236">
        <v>44693</v>
      </c>
      <c r="C670" s="73"/>
      <c r="D670" s="73"/>
      <c r="E670" s="145">
        <v>22766.52</v>
      </c>
    </row>
    <row r="671" spans="2:5" ht="16.5" x14ac:dyDescent="0.3">
      <c r="B671" s="236">
        <v>44692</v>
      </c>
      <c r="C671" s="73"/>
      <c r="D671" s="73"/>
      <c r="E671" s="145">
        <v>23260.85</v>
      </c>
    </row>
    <row r="672" spans="2:5" ht="16.5" x14ac:dyDescent="0.3">
      <c r="B672" s="236">
        <v>44691</v>
      </c>
      <c r="C672" s="73"/>
      <c r="D672" s="73"/>
      <c r="E672" s="145">
        <v>23365.81</v>
      </c>
    </row>
    <row r="673" spans="2:5" ht="16.5" x14ac:dyDescent="0.3">
      <c r="B673" s="236">
        <v>44690</v>
      </c>
      <c r="C673" s="73"/>
      <c r="D673" s="73"/>
      <c r="E673" s="145">
        <v>23454.71</v>
      </c>
    </row>
    <row r="674" spans="2:5" ht="16.5" x14ac:dyDescent="0.3">
      <c r="B674" s="236">
        <v>44687</v>
      </c>
      <c r="C674" s="73"/>
      <c r="D674" s="73"/>
      <c r="E674" s="145">
        <v>23612.16</v>
      </c>
    </row>
    <row r="675" spans="2:5" ht="16.5" x14ac:dyDescent="0.3">
      <c r="B675" s="236">
        <v>44686</v>
      </c>
      <c r="C675" s="73"/>
      <c r="D675" s="73"/>
      <c r="E675" s="145">
        <v>24002.58</v>
      </c>
    </row>
    <row r="676" spans="2:5" ht="16.5" x14ac:dyDescent="0.3">
      <c r="B676" s="236">
        <v>44685</v>
      </c>
      <c r="C676" s="73"/>
      <c r="D676" s="73"/>
      <c r="E676" s="145">
        <v>23995.35</v>
      </c>
    </row>
    <row r="677" spans="2:5" ht="16.5" x14ac:dyDescent="0.3">
      <c r="B677" s="236">
        <v>44683</v>
      </c>
      <c r="C677" s="73"/>
      <c r="D677" s="73"/>
      <c r="E677" s="145">
        <v>24558.61</v>
      </c>
    </row>
    <row r="678" spans="2:5" ht="16.5" x14ac:dyDescent="0.3">
      <c r="B678" s="236">
        <v>44680</v>
      </c>
      <c r="C678" s="73"/>
      <c r="D678" s="73"/>
      <c r="E678" s="145">
        <v>24606.78</v>
      </c>
    </row>
    <row r="679" spans="2:5" ht="16.5" x14ac:dyDescent="0.3">
      <c r="B679" s="236">
        <v>44679</v>
      </c>
      <c r="C679" s="73"/>
      <c r="D679" s="73"/>
      <c r="E679" s="145">
        <v>24811.78</v>
      </c>
    </row>
    <row r="680" spans="2:5" ht="16.5" x14ac:dyDescent="0.3">
      <c r="B680" s="236">
        <v>44678</v>
      </c>
      <c r="C680" s="73"/>
      <c r="D680" s="73"/>
      <c r="E680" s="145">
        <v>24508.3</v>
      </c>
    </row>
    <row r="681" spans="2:5" ht="16.5" x14ac:dyDescent="0.3">
      <c r="B681" s="236">
        <v>44677</v>
      </c>
      <c r="C681" s="73"/>
      <c r="D681" s="73"/>
      <c r="E681" s="145">
        <v>24741.88</v>
      </c>
    </row>
    <row r="682" spans="2:5" ht="16.5" x14ac:dyDescent="0.3">
      <c r="B682" s="236">
        <v>44676</v>
      </c>
      <c r="C682" s="73"/>
      <c r="D682" s="73"/>
      <c r="E682" s="145">
        <v>24386.78</v>
      </c>
    </row>
    <row r="683" spans="2:5" ht="16.5" x14ac:dyDescent="0.3">
      <c r="B683" s="236">
        <v>44673</v>
      </c>
      <c r="C683" s="73"/>
      <c r="D683" s="73"/>
      <c r="E683" s="145">
        <v>24700.36</v>
      </c>
    </row>
    <row r="684" spans="2:5" ht="16.5" x14ac:dyDescent="0.3">
      <c r="B684" s="236">
        <v>44672</v>
      </c>
      <c r="C684" s="73"/>
      <c r="D684" s="73"/>
      <c r="E684" s="145">
        <v>25017.73</v>
      </c>
    </row>
    <row r="685" spans="2:5" ht="16.5" x14ac:dyDescent="0.3">
      <c r="B685" s="236">
        <v>44671</v>
      </c>
      <c r="C685" s="73"/>
      <c r="D685" s="73"/>
      <c r="E685" s="145">
        <v>24648.400000000001</v>
      </c>
    </row>
    <row r="686" spans="2:5" ht="16.5" x14ac:dyDescent="0.3">
      <c r="B686" s="236">
        <v>44670</v>
      </c>
      <c r="C686" s="73"/>
      <c r="D686" s="73"/>
      <c r="E686" s="145">
        <v>24392.54</v>
      </c>
    </row>
    <row r="687" spans="2:5" ht="16.5" x14ac:dyDescent="0.3">
      <c r="B687" s="236">
        <v>44669</v>
      </c>
      <c r="C687" s="73"/>
      <c r="D687" s="73"/>
      <c r="E687" s="145">
        <v>24701.75</v>
      </c>
    </row>
    <row r="688" spans="2:5" ht="16.5" x14ac:dyDescent="0.3">
      <c r="B688" s="236">
        <v>44664</v>
      </c>
      <c r="C688" s="73"/>
      <c r="D688" s="73"/>
      <c r="E688" s="145">
        <v>25136.13</v>
      </c>
    </row>
    <row r="689" spans="2:5" ht="16.5" x14ac:dyDescent="0.3">
      <c r="B689" s="236">
        <v>44663</v>
      </c>
      <c r="C689" s="73"/>
      <c r="D689" s="73"/>
      <c r="E689" s="145">
        <v>25214.76</v>
      </c>
    </row>
    <row r="690" spans="2:5" ht="16.5" x14ac:dyDescent="0.3">
      <c r="B690" s="236">
        <v>44662</v>
      </c>
      <c r="C690" s="73"/>
      <c r="D690" s="73"/>
      <c r="E690" s="145">
        <v>25422.81</v>
      </c>
    </row>
    <row r="691" spans="2:5" ht="16.5" x14ac:dyDescent="0.3">
      <c r="B691" s="236">
        <v>44659</v>
      </c>
      <c r="C691" s="73"/>
      <c r="D691" s="73"/>
      <c r="E691" s="145">
        <v>25580.15</v>
      </c>
    </row>
    <row r="692" spans="2:5" ht="16.5" x14ac:dyDescent="0.3">
      <c r="B692" s="236">
        <v>44658</v>
      </c>
      <c r="C692" s="73"/>
      <c r="D692" s="73"/>
      <c r="E692" s="145">
        <v>25371.88</v>
      </c>
    </row>
    <row r="693" spans="2:5" ht="16.5" x14ac:dyDescent="0.3">
      <c r="B693" s="236">
        <v>44657</v>
      </c>
      <c r="C693" s="73"/>
      <c r="D693" s="73"/>
      <c r="E693" s="145">
        <v>25613.71</v>
      </c>
    </row>
    <row r="694" spans="2:5" ht="16.5" x14ac:dyDescent="0.3">
      <c r="B694" s="236">
        <v>44656</v>
      </c>
      <c r="C694" s="73"/>
      <c r="D694" s="73"/>
      <c r="E694" s="145">
        <v>25829.11</v>
      </c>
    </row>
    <row r="695" spans="2:5" ht="16.5" x14ac:dyDescent="0.3">
      <c r="B695" s="236">
        <v>44655</v>
      </c>
      <c r="C695" s="73"/>
      <c r="D695" s="73"/>
      <c r="E695" s="145">
        <v>25964.720000000001</v>
      </c>
    </row>
    <row r="696" spans="2:5" ht="16.5" x14ac:dyDescent="0.3">
      <c r="B696" s="236">
        <v>44652</v>
      </c>
      <c r="C696" s="73"/>
      <c r="D696" s="73"/>
      <c r="E696" s="145">
        <v>25413.94</v>
      </c>
    </row>
    <row r="697" spans="2:5" ht="16.5" x14ac:dyDescent="0.3">
      <c r="B697" s="236">
        <v>44651</v>
      </c>
      <c r="C697" s="73"/>
      <c r="D697" s="73"/>
      <c r="E697" s="145">
        <v>25118.14</v>
      </c>
    </row>
    <row r="698" spans="2:5" ht="16.5" x14ac:dyDescent="0.3">
      <c r="B698" s="236">
        <v>44650</v>
      </c>
      <c r="C698" s="73"/>
      <c r="D698" s="73"/>
      <c r="E698" s="145">
        <v>25166.31</v>
      </c>
    </row>
    <row r="699" spans="2:5" ht="16.5" x14ac:dyDescent="0.3">
      <c r="B699" s="236">
        <v>44649</v>
      </c>
      <c r="C699" s="73"/>
      <c r="D699" s="73"/>
      <c r="E699" s="145">
        <v>24917.57</v>
      </c>
    </row>
    <row r="700" spans="2:5" ht="16.5" x14ac:dyDescent="0.3">
      <c r="B700" s="236">
        <v>44648</v>
      </c>
      <c r="C700" s="73"/>
      <c r="D700" s="73"/>
      <c r="E700" s="145">
        <v>24768.69</v>
      </c>
    </row>
    <row r="701" spans="2:5" ht="16.5" x14ac:dyDescent="0.3">
      <c r="B701" s="236">
        <v>44645</v>
      </c>
      <c r="C701" s="73"/>
      <c r="D701" s="73"/>
      <c r="E701" s="145">
        <v>24669.45</v>
      </c>
    </row>
    <row r="702" spans="2:5" ht="16.5" x14ac:dyDescent="0.3">
      <c r="B702" s="236">
        <v>44644</v>
      </c>
      <c r="C702" s="73"/>
      <c r="D702" s="73"/>
      <c r="E702" s="145">
        <v>24769.75</v>
      </c>
    </row>
    <row r="703" spans="2:5" ht="16.5" x14ac:dyDescent="0.3">
      <c r="B703" s="236">
        <v>44643</v>
      </c>
      <c r="C703" s="73"/>
      <c r="D703" s="73"/>
      <c r="E703" s="145">
        <v>24802.74</v>
      </c>
    </row>
    <row r="704" spans="2:5" ht="16.5" x14ac:dyDescent="0.3">
      <c r="B704" s="236">
        <v>44642</v>
      </c>
      <c r="C704" s="73"/>
      <c r="D704" s="73"/>
      <c r="E704" s="145">
        <v>24903.14</v>
      </c>
    </row>
    <row r="705" spans="2:5" ht="16.5" x14ac:dyDescent="0.3">
      <c r="B705" s="236">
        <v>44641</v>
      </c>
      <c r="C705" s="73"/>
      <c r="D705" s="73"/>
      <c r="E705" s="145">
        <v>24618.52</v>
      </c>
    </row>
    <row r="706" spans="2:5" ht="16.5" x14ac:dyDescent="0.3">
      <c r="B706" s="236">
        <v>44637</v>
      </c>
      <c r="C706" s="73"/>
      <c r="D706" s="73"/>
      <c r="E706" s="145">
        <v>24862.27</v>
      </c>
    </row>
    <row r="707" spans="2:5" ht="16.5" x14ac:dyDescent="0.3">
      <c r="B707" s="236">
        <v>44636</v>
      </c>
      <c r="C707" s="73"/>
      <c r="D707" s="73"/>
      <c r="E707" s="145">
        <v>24414</v>
      </c>
    </row>
    <row r="708" spans="2:5" ht="16.5" x14ac:dyDescent="0.3">
      <c r="B708" s="236">
        <v>44635</v>
      </c>
      <c r="C708" s="73"/>
      <c r="D708" s="73"/>
      <c r="E708" s="145">
        <v>23964.720000000001</v>
      </c>
    </row>
    <row r="709" spans="2:5" ht="16.5" x14ac:dyDescent="0.3">
      <c r="B709" s="236">
        <v>44634</v>
      </c>
      <c r="C709" s="73"/>
      <c r="D709" s="73"/>
      <c r="E709" s="145">
        <v>24264.29</v>
      </c>
    </row>
    <row r="710" spans="2:5" ht="16.5" x14ac:dyDescent="0.3">
      <c r="B710" s="236">
        <v>44631</v>
      </c>
      <c r="C710" s="73"/>
      <c r="D710" s="73"/>
      <c r="E710" s="145">
        <v>23917.96</v>
      </c>
    </row>
    <row r="711" spans="2:5" ht="16.5" x14ac:dyDescent="0.3">
      <c r="B711" s="236">
        <v>44630</v>
      </c>
      <c r="C711" s="73"/>
      <c r="D711" s="73"/>
      <c r="E711" s="145">
        <v>23866.77</v>
      </c>
    </row>
    <row r="712" spans="2:5" ht="16.5" x14ac:dyDescent="0.3">
      <c r="B712" s="236">
        <v>44629</v>
      </c>
      <c r="C712" s="73"/>
      <c r="D712" s="73"/>
      <c r="E712" s="145">
        <v>23507.87</v>
      </c>
    </row>
    <row r="713" spans="2:5" ht="16.5" x14ac:dyDescent="0.3">
      <c r="B713" s="236">
        <v>44628</v>
      </c>
      <c r="C713" s="73"/>
      <c r="D713" s="73"/>
      <c r="E713" s="145">
        <v>23030.560000000001</v>
      </c>
    </row>
    <row r="714" spans="2:5" ht="16.5" x14ac:dyDescent="0.3">
      <c r="B714" s="236">
        <v>44627</v>
      </c>
      <c r="C714" s="73"/>
      <c r="D714" s="73"/>
      <c r="E714" s="145">
        <v>22814.41</v>
      </c>
    </row>
    <row r="715" spans="2:5" ht="16.5" x14ac:dyDescent="0.3">
      <c r="B715" s="236">
        <v>44624</v>
      </c>
      <c r="C715" s="73"/>
      <c r="D715" s="73"/>
      <c r="E715" s="145">
        <v>23364.07</v>
      </c>
    </row>
    <row r="716" spans="2:5" ht="16.5" x14ac:dyDescent="0.3">
      <c r="B716" s="236">
        <v>44623</v>
      </c>
      <c r="C716" s="73"/>
      <c r="D716" s="73"/>
      <c r="E716" s="145">
        <v>23727.54</v>
      </c>
    </row>
    <row r="717" spans="2:5" ht="16.5" x14ac:dyDescent="0.3">
      <c r="B717" s="236">
        <v>44622</v>
      </c>
      <c r="C717" s="73"/>
      <c r="D717" s="73"/>
      <c r="E717" s="145">
        <v>23882.720000000001</v>
      </c>
    </row>
    <row r="718" spans="2:5" ht="16.5" x14ac:dyDescent="0.3">
      <c r="B718" s="236">
        <v>44620</v>
      </c>
      <c r="C718" s="73"/>
      <c r="D718" s="73"/>
      <c r="E718" s="145">
        <v>24153.01</v>
      </c>
    </row>
    <row r="719" spans="2:5" ht="16.5" x14ac:dyDescent="0.3">
      <c r="B719" s="236">
        <v>44617</v>
      </c>
      <c r="C719" s="73"/>
      <c r="D719" s="73"/>
      <c r="E719" s="145">
        <v>23958.1</v>
      </c>
    </row>
    <row r="720" spans="2:5" ht="16.5" x14ac:dyDescent="0.3">
      <c r="B720" s="236">
        <v>44616</v>
      </c>
      <c r="C720" s="73"/>
      <c r="D720" s="73"/>
      <c r="E720" s="145">
        <v>23367.85</v>
      </c>
    </row>
    <row r="721" spans="2:5" ht="16.5" x14ac:dyDescent="0.3">
      <c r="B721" s="236">
        <v>44615</v>
      </c>
      <c r="C721" s="73"/>
      <c r="D721" s="73"/>
      <c r="E721" s="145">
        <v>24540.41</v>
      </c>
    </row>
    <row r="722" spans="2:5" ht="16.5" x14ac:dyDescent="0.3">
      <c r="B722" s="236">
        <v>44614</v>
      </c>
      <c r="C722" s="73"/>
      <c r="D722" s="73"/>
      <c r="E722" s="145">
        <v>24582.05</v>
      </c>
    </row>
    <row r="723" spans="2:5" ht="16.5" x14ac:dyDescent="0.3">
      <c r="B723" s="236">
        <v>44613</v>
      </c>
      <c r="C723" s="73"/>
      <c r="D723" s="73"/>
      <c r="E723" s="145">
        <v>24746.59</v>
      </c>
    </row>
    <row r="724" spans="2:5" ht="16.5" x14ac:dyDescent="0.3">
      <c r="B724" s="236">
        <v>44610</v>
      </c>
      <c r="C724" s="73"/>
      <c r="D724" s="73"/>
      <c r="E724" s="145">
        <v>24838.68</v>
      </c>
    </row>
    <row r="725" spans="2:5" ht="16.5" x14ac:dyDescent="0.3">
      <c r="B725" s="236">
        <v>44609</v>
      </c>
      <c r="C725" s="73"/>
      <c r="D725" s="73"/>
      <c r="E725" s="145">
        <v>24879.32</v>
      </c>
    </row>
    <row r="726" spans="2:5" ht="16.5" x14ac:dyDescent="0.3">
      <c r="B726" s="236">
        <v>44608</v>
      </c>
      <c r="C726" s="73"/>
      <c r="D726" s="73"/>
      <c r="E726" s="145">
        <v>24904.67</v>
      </c>
    </row>
    <row r="727" spans="2:5" ht="16.5" x14ac:dyDescent="0.3">
      <c r="B727" s="236">
        <v>44607</v>
      </c>
      <c r="C727" s="73"/>
      <c r="D727" s="73"/>
      <c r="E727" s="145">
        <v>24941.93</v>
      </c>
    </row>
    <row r="728" spans="2:5" ht="16.5" x14ac:dyDescent="0.3">
      <c r="B728" s="236">
        <v>44606</v>
      </c>
      <c r="C728" s="73"/>
      <c r="D728" s="73"/>
      <c r="E728" s="145">
        <v>24209.38</v>
      </c>
    </row>
    <row r="729" spans="2:5" ht="16.5" x14ac:dyDescent="0.3">
      <c r="B729" s="236">
        <v>44603</v>
      </c>
      <c r="C729" s="73"/>
      <c r="D729" s="73"/>
      <c r="E729" s="145">
        <v>24958.45</v>
      </c>
    </row>
    <row r="730" spans="2:5" ht="16.5" x14ac:dyDescent="0.3">
      <c r="B730" s="236">
        <v>44602</v>
      </c>
      <c r="C730" s="73"/>
      <c r="D730" s="73"/>
      <c r="E730" s="145">
        <v>25290.42</v>
      </c>
    </row>
    <row r="731" spans="2:5" ht="16.5" x14ac:dyDescent="0.3">
      <c r="B731" s="236">
        <v>44601</v>
      </c>
      <c r="C731" s="73"/>
      <c r="D731" s="73"/>
      <c r="E731" s="145">
        <v>25084.6</v>
      </c>
    </row>
    <row r="732" spans="2:5" ht="16.5" x14ac:dyDescent="0.3">
      <c r="B732" s="236">
        <v>44600</v>
      </c>
      <c r="C732" s="73"/>
      <c r="D732" s="73"/>
      <c r="E732" s="145">
        <v>24795.759999999998</v>
      </c>
    </row>
    <row r="733" spans="2:5" ht="16.5" x14ac:dyDescent="0.3">
      <c r="B733" s="236">
        <v>44599</v>
      </c>
      <c r="C733" s="73"/>
      <c r="D733" s="73"/>
      <c r="E733" s="145">
        <v>24719.45</v>
      </c>
    </row>
    <row r="734" spans="2:5" ht="16.5" x14ac:dyDescent="0.3">
      <c r="B734" s="236">
        <v>44596</v>
      </c>
      <c r="C734" s="73"/>
      <c r="D734" s="73"/>
      <c r="E734" s="145">
        <v>25154.14</v>
      </c>
    </row>
    <row r="735" spans="2:5" ht="16.5" x14ac:dyDescent="0.3">
      <c r="B735" s="236">
        <v>44595</v>
      </c>
      <c r="C735" s="73"/>
      <c r="D735" s="73"/>
      <c r="E735" s="145">
        <v>25217.200000000001</v>
      </c>
    </row>
    <row r="736" spans="2:5" ht="16.5" x14ac:dyDescent="0.3">
      <c r="B736" s="236">
        <v>44594</v>
      </c>
      <c r="C736" s="73"/>
      <c r="D736" s="73"/>
      <c r="E736" s="145">
        <v>25526.55</v>
      </c>
    </row>
    <row r="737" spans="2:5" ht="16.5" x14ac:dyDescent="0.3">
      <c r="B737" s="236">
        <v>44593</v>
      </c>
      <c r="C737" s="73"/>
      <c r="D737" s="73"/>
      <c r="E737" s="145">
        <v>25234.89</v>
      </c>
    </row>
    <row r="738" spans="2:5" ht="16.5" x14ac:dyDescent="0.3">
      <c r="B738" s="236">
        <v>44592</v>
      </c>
      <c r="C738" s="73"/>
      <c r="D738" s="73"/>
      <c r="E738" s="145">
        <v>24894.62</v>
      </c>
    </row>
    <row r="739" spans="2:5" ht="16.5" x14ac:dyDescent="0.3">
      <c r="B739" s="236">
        <v>44589</v>
      </c>
      <c r="C739" s="73"/>
      <c r="D739" s="73"/>
      <c r="E739" s="145">
        <v>24553.040000000001</v>
      </c>
    </row>
    <row r="740" spans="2:5" ht="16.5" x14ac:dyDescent="0.3">
      <c r="B740" s="236">
        <v>44588</v>
      </c>
      <c r="C740" s="73"/>
      <c r="D740" s="73"/>
      <c r="E740" s="145">
        <v>24564.81</v>
      </c>
    </row>
    <row r="741" spans="2:5" ht="16.5" x14ac:dyDescent="0.3">
      <c r="B741" s="236">
        <v>44586</v>
      </c>
      <c r="C741" s="73"/>
      <c r="D741" s="73"/>
      <c r="E741" s="145">
        <v>24805.75</v>
      </c>
    </row>
    <row r="742" spans="2:5" ht="16.5" x14ac:dyDescent="0.3">
      <c r="B742" s="236">
        <v>44585</v>
      </c>
      <c r="C742" s="73"/>
      <c r="D742" s="73"/>
      <c r="E742" s="145">
        <v>24620.720000000001</v>
      </c>
    </row>
    <row r="743" spans="2:5" ht="16.5" x14ac:dyDescent="0.3">
      <c r="B743" s="236">
        <v>44582</v>
      </c>
      <c r="C743" s="73"/>
      <c r="D743" s="73"/>
      <c r="E743" s="145">
        <v>25292.720000000001</v>
      </c>
    </row>
    <row r="744" spans="2:5" ht="16.5" x14ac:dyDescent="0.3">
      <c r="B744" s="236">
        <v>44581</v>
      </c>
      <c r="C744" s="73"/>
      <c r="D744" s="73"/>
      <c r="E744" s="145">
        <v>25492.99</v>
      </c>
    </row>
    <row r="745" spans="2:5" ht="16.5" x14ac:dyDescent="0.3">
      <c r="B745" s="236">
        <v>44580</v>
      </c>
      <c r="C745" s="73"/>
      <c r="D745" s="73"/>
      <c r="E745" s="145">
        <v>25749.81</v>
      </c>
    </row>
    <row r="746" spans="2:5" ht="16.5" x14ac:dyDescent="0.3">
      <c r="B746" s="236">
        <v>44579</v>
      </c>
      <c r="C746" s="73"/>
      <c r="D746" s="73"/>
      <c r="E746" s="145">
        <v>25998.14</v>
      </c>
    </row>
    <row r="747" spans="2:5" ht="16.5" x14ac:dyDescent="0.3">
      <c r="B747" s="236">
        <v>44578</v>
      </c>
      <c r="C747" s="73"/>
      <c r="D747" s="73"/>
      <c r="E747" s="145">
        <v>26278.07</v>
      </c>
    </row>
    <row r="748" spans="2:5" ht="16.5" x14ac:dyDescent="0.3">
      <c r="B748" s="236">
        <v>44575</v>
      </c>
      <c r="C748" s="73"/>
      <c r="D748" s="73"/>
      <c r="E748" s="145">
        <v>26202.97</v>
      </c>
    </row>
    <row r="749" spans="2:5" ht="16.5" x14ac:dyDescent="0.3">
      <c r="B749" s="236">
        <v>44574</v>
      </c>
      <c r="C749" s="73"/>
      <c r="D749" s="73"/>
      <c r="E749" s="145">
        <v>26205.87</v>
      </c>
    </row>
    <row r="750" spans="2:5" ht="16.5" x14ac:dyDescent="0.3">
      <c r="B750" s="236">
        <v>44573</v>
      </c>
      <c r="C750" s="73"/>
      <c r="D750" s="73"/>
      <c r="E750" s="145">
        <v>26140.68</v>
      </c>
    </row>
    <row r="751" spans="2:5" ht="16.5" x14ac:dyDescent="0.3">
      <c r="B751" s="236">
        <v>44572</v>
      </c>
      <c r="C751" s="73"/>
      <c r="D751" s="73"/>
      <c r="E751" s="145">
        <v>25915.89</v>
      </c>
    </row>
    <row r="752" spans="2:5" ht="16.5" x14ac:dyDescent="0.3">
      <c r="B752" s="236">
        <v>44571</v>
      </c>
      <c r="C752" s="73"/>
      <c r="D752" s="73"/>
      <c r="E752" s="145">
        <v>25840.62</v>
      </c>
    </row>
    <row r="753" spans="2:5" ht="16.5" x14ac:dyDescent="0.3">
      <c r="B753" s="236">
        <v>44568</v>
      </c>
      <c r="C753" s="73"/>
      <c r="D753" s="73"/>
      <c r="E753" s="145">
        <v>25567.06</v>
      </c>
    </row>
    <row r="754" spans="2:5" ht="16.5" x14ac:dyDescent="0.3">
      <c r="B754" s="236">
        <v>44567</v>
      </c>
      <c r="C754" s="73"/>
      <c r="D754" s="73"/>
      <c r="E754" s="145">
        <v>25471.18</v>
      </c>
    </row>
    <row r="755" spans="2:5" ht="16.5" x14ac:dyDescent="0.3">
      <c r="B755" s="236">
        <v>44566</v>
      </c>
      <c r="C755" s="73"/>
      <c r="D755" s="73"/>
      <c r="E755" s="145">
        <v>25728.58</v>
      </c>
    </row>
    <row r="756" spans="2:5" ht="16.5" x14ac:dyDescent="0.3">
      <c r="B756" s="236">
        <v>44565</v>
      </c>
      <c r="C756" s="73"/>
      <c r="D756" s="73"/>
      <c r="E756" s="145">
        <v>25556.34</v>
      </c>
    </row>
    <row r="757" spans="2:5" ht="16.5" x14ac:dyDescent="0.3">
      <c r="B757" s="236">
        <v>44564</v>
      </c>
      <c r="C757" s="73"/>
      <c r="D757" s="73"/>
      <c r="E757" s="145">
        <v>25298.63</v>
      </c>
    </row>
    <row r="758" spans="2:5" ht="16.5" x14ac:dyDescent="0.3">
      <c r="B758" s="236">
        <v>44561</v>
      </c>
      <c r="C758" s="73"/>
      <c r="D758" s="73"/>
      <c r="E758" s="145">
        <v>24908.71</v>
      </c>
    </row>
    <row r="759" spans="2:5" ht="16.5" x14ac:dyDescent="0.3">
      <c r="B759" s="236">
        <v>44560</v>
      </c>
      <c r="C759" s="73"/>
      <c r="D759" s="73"/>
      <c r="E759" s="145">
        <v>24693.25</v>
      </c>
    </row>
    <row r="760" spans="2:5" ht="16.5" x14ac:dyDescent="0.3">
      <c r="B760" s="236">
        <v>44559</v>
      </c>
      <c r="C760" s="73"/>
      <c r="D760" s="73"/>
      <c r="E760" s="145">
        <v>24707.1</v>
      </c>
    </row>
    <row r="761" spans="2:5" ht="16.5" x14ac:dyDescent="0.3">
      <c r="B761" s="236">
        <v>44558</v>
      </c>
      <c r="C761" s="73"/>
      <c r="D761" s="73"/>
      <c r="E761" s="145">
        <v>24735.32</v>
      </c>
    </row>
    <row r="762" spans="2:5" ht="16.5" x14ac:dyDescent="0.3">
      <c r="B762" s="236">
        <v>44557</v>
      </c>
      <c r="C762" s="73"/>
      <c r="D762" s="73"/>
      <c r="E762" s="145">
        <v>24524.36</v>
      </c>
    </row>
    <row r="763" spans="2:5" ht="16.5" x14ac:dyDescent="0.3">
      <c r="B763" s="236">
        <v>44554</v>
      </c>
      <c r="C763" s="73"/>
      <c r="D763" s="73"/>
      <c r="E763" s="145">
        <v>24405.96</v>
      </c>
    </row>
    <row r="764" spans="2:5" ht="16.5" x14ac:dyDescent="0.3">
      <c r="B764" s="236">
        <v>44553</v>
      </c>
      <c r="C764" s="73"/>
      <c r="D764" s="73"/>
      <c r="E764" s="145">
        <v>24504.75</v>
      </c>
    </row>
    <row r="765" spans="2:5" ht="16.5" x14ac:dyDescent="0.3">
      <c r="B765" s="236">
        <v>44552</v>
      </c>
      <c r="C765" s="73"/>
      <c r="D765" s="73"/>
      <c r="E765" s="145">
        <v>24336.62</v>
      </c>
    </row>
    <row r="766" spans="2:5" ht="16.5" x14ac:dyDescent="0.3">
      <c r="B766" s="236">
        <v>44551</v>
      </c>
      <c r="C766" s="73"/>
      <c r="D766" s="73"/>
      <c r="E766" s="145">
        <v>24063.78</v>
      </c>
    </row>
    <row r="767" spans="2:5" ht="16.5" x14ac:dyDescent="0.3">
      <c r="B767" s="236">
        <v>44550</v>
      </c>
      <c r="C767" s="73"/>
      <c r="D767" s="73"/>
      <c r="E767" s="145">
        <v>23839.01</v>
      </c>
    </row>
    <row r="768" spans="2:5" ht="16.5" x14ac:dyDescent="0.3">
      <c r="B768" s="236">
        <v>44547</v>
      </c>
      <c r="C768" s="73"/>
      <c r="D768" s="73"/>
      <c r="E768" s="145">
        <v>24371.37</v>
      </c>
    </row>
    <row r="769" spans="2:5" ht="16.5" x14ac:dyDescent="0.3">
      <c r="B769" s="236">
        <v>44546</v>
      </c>
      <c r="C769" s="73"/>
      <c r="D769" s="73"/>
      <c r="E769" s="145">
        <v>24749.01</v>
      </c>
    </row>
    <row r="770" spans="2:5" ht="16.5" x14ac:dyDescent="0.3">
      <c r="B770" s="236">
        <v>44545</v>
      </c>
      <c r="C770" s="73"/>
      <c r="D770" s="73"/>
      <c r="E770" s="145">
        <v>24710.3</v>
      </c>
    </row>
    <row r="771" spans="2:5" ht="16.5" x14ac:dyDescent="0.3">
      <c r="B771" s="236">
        <v>44544</v>
      </c>
      <c r="C771" s="73"/>
      <c r="D771" s="73"/>
      <c r="E771" s="145">
        <v>24858.79</v>
      </c>
    </row>
    <row r="772" spans="2:5" ht="16.5" x14ac:dyDescent="0.3">
      <c r="B772" s="236">
        <v>44543</v>
      </c>
      <c r="C772" s="73"/>
      <c r="D772" s="73"/>
      <c r="E772" s="145">
        <v>24921.02</v>
      </c>
    </row>
    <row r="773" spans="2:5" ht="16.5" x14ac:dyDescent="0.3">
      <c r="B773" s="236">
        <v>44540</v>
      </c>
      <c r="C773" s="73"/>
      <c r="D773" s="73"/>
      <c r="E773" s="145">
        <v>25126.240000000002</v>
      </c>
    </row>
    <row r="774" spans="2:5" ht="16.5" x14ac:dyDescent="0.3">
      <c r="B774" s="236">
        <v>44539</v>
      </c>
      <c r="C774" s="73"/>
      <c r="D774" s="73"/>
      <c r="E774" s="145">
        <v>25134.23</v>
      </c>
    </row>
    <row r="775" spans="2:5" ht="16.5" x14ac:dyDescent="0.3">
      <c r="B775" s="236">
        <v>44538</v>
      </c>
      <c r="C775" s="73"/>
      <c r="D775" s="73"/>
      <c r="E775" s="145">
        <v>25066.62</v>
      </c>
    </row>
    <row r="776" spans="2:5" ht="16.5" x14ac:dyDescent="0.3">
      <c r="B776" s="236">
        <v>44537</v>
      </c>
      <c r="C776" s="73"/>
      <c r="D776" s="73"/>
      <c r="E776" s="145">
        <v>24646.18</v>
      </c>
    </row>
    <row r="777" spans="2:5" ht="16.5" x14ac:dyDescent="0.3">
      <c r="B777" s="236">
        <v>44536</v>
      </c>
      <c r="C777" s="73"/>
      <c r="D777" s="73"/>
      <c r="E777" s="145">
        <v>24266.71</v>
      </c>
    </row>
    <row r="778" spans="2:5" ht="16.5" x14ac:dyDescent="0.3">
      <c r="B778" s="236">
        <v>44533</v>
      </c>
      <c r="C778" s="73"/>
      <c r="D778" s="73"/>
      <c r="E778" s="145">
        <v>24674.83</v>
      </c>
    </row>
    <row r="779" spans="2:5" ht="16.5" x14ac:dyDescent="0.3">
      <c r="B779" s="236">
        <v>44532</v>
      </c>
      <c r="C779" s="73"/>
      <c r="D779" s="73"/>
      <c r="E779" s="145">
        <v>24968.91</v>
      </c>
    </row>
    <row r="780" spans="2:5" ht="16.5" x14ac:dyDescent="0.3">
      <c r="B780" s="236">
        <v>44531</v>
      </c>
      <c r="C780" s="73"/>
      <c r="D780" s="73"/>
      <c r="E780" s="145">
        <v>24632.06</v>
      </c>
    </row>
    <row r="781" spans="2:5" ht="16.5" x14ac:dyDescent="0.3">
      <c r="B781" s="236">
        <v>44530</v>
      </c>
      <c r="C781" s="73"/>
      <c r="D781" s="73"/>
      <c r="E781" s="145">
        <v>24368.53</v>
      </c>
    </row>
    <row r="782" spans="2:5" ht="16.5" x14ac:dyDescent="0.3">
      <c r="B782" s="236">
        <v>44529</v>
      </c>
      <c r="C782" s="73"/>
      <c r="D782" s="73"/>
      <c r="E782" s="145">
        <v>24469.99</v>
      </c>
    </row>
    <row r="783" spans="2:5" ht="16.5" x14ac:dyDescent="0.3">
      <c r="B783" s="236">
        <v>44526</v>
      </c>
      <c r="C783" s="73"/>
      <c r="D783" s="73"/>
      <c r="E783" s="145">
        <v>24430.53</v>
      </c>
    </row>
    <row r="784" spans="2:5" ht="16.5" x14ac:dyDescent="0.3">
      <c r="B784" s="236">
        <v>44525</v>
      </c>
      <c r="C784" s="73"/>
      <c r="D784" s="73"/>
      <c r="E784" s="145">
        <v>25162.07</v>
      </c>
    </row>
    <row r="785" spans="2:5" ht="16.5" x14ac:dyDescent="0.3">
      <c r="B785" s="236">
        <v>44524</v>
      </c>
      <c r="C785" s="73"/>
      <c r="D785" s="73"/>
      <c r="E785" s="145">
        <v>24988.18</v>
      </c>
    </row>
    <row r="786" spans="2:5" ht="16.5" x14ac:dyDescent="0.3">
      <c r="B786" s="236">
        <v>44523</v>
      </c>
      <c r="C786" s="73"/>
      <c r="D786" s="73"/>
      <c r="E786" s="145">
        <v>25114.82</v>
      </c>
    </row>
    <row r="787" spans="2:5" ht="16.5" x14ac:dyDescent="0.3">
      <c r="B787" s="236">
        <v>44522</v>
      </c>
      <c r="C787" s="73"/>
      <c r="D787" s="73"/>
      <c r="E787" s="145">
        <v>24990.27</v>
      </c>
    </row>
    <row r="788" spans="2:5" ht="16.5" x14ac:dyDescent="0.3">
      <c r="B788" s="236">
        <v>44518</v>
      </c>
      <c r="C788" s="73"/>
      <c r="D788" s="73"/>
      <c r="E788" s="145">
        <v>25483.23</v>
      </c>
    </row>
    <row r="789" spans="2:5" ht="16.5" x14ac:dyDescent="0.3">
      <c r="B789" s="236">
        <v>44517</v>
      </c>
      <c r="C789" s="73"/>
      <c r="D789" s="73"/>
      <c r="E789" s="145">
        <v>25675.200000000001</v>
      </c>
    </row>
    <row r="790" spans="2:5" ht="16.5" x14ac:dyDescent="0.3">
      <c r="B790" s="236">
        <v>44516</v>
      </c>
      <c r="C790" s="73"/>
      <c r="D790" s="73"/>
      <c r="E790" s="145">
        <v>25819.49</v>
      </c>
    </row>
    <row r="791" spans="2:5" ht="16.5" x14ac:dyDescent="0.3">
      <c r="B791" s="236">
        <v>44515</v>
      </c>
      <c r="C791" s="73"/>
      <c r="D791" s="73"/>
      <c r="E791" s="145">
        <v>25977.61</v>
      </c>
    </row>
    <row r="792" spans="2:5" ht="16.5" x14ac:dyDescent="0.3">
      <c r="B792" s="236">
        <v>44512</v>
      </c>
      <c r="C792" s="73"/>
      <c r="D792" s="73"/>
      <c r="E792" s="145">
        <v>25968.02</v>
      </c>
    </row>
    <row r="793" spans="2:5" ht="16.5" x14ac:dyDescent="0.3">
      <c r="B793" s="236">
        <v>44511</v>
      </c>
      <c r="C793" s="73"/>
      <c r="D793" s="73"/>
      <c r="E793" s="145">
        <v>25639.32</v>
      </c>
    </row>
    <row r="794" spans="2:5" ht="16.5" x14ac:dyDescent="0.3">
      <c r="B794" s="236">
        <v>44510</v>
      </c>
      <c r="C794" s="73"/>
      <c r="D794" s="73"/>
      <c r="E794" s="145">
        <v>25839.47</v>
      </c>
    </row>
    <row r="795" spans="2:5" ht="16.5" x14ac:dyDescent="0.3">
      <c r="B795" s="236">
        <v>44509</v>
      </c>
      <c r="C795" s="73"/>
      <c r="D795" s="73"/>
      <c r="E795" s="145">
        <v>25878.28</v>
      </c>
    </row>
    <row r="796" spans="2:5" ht="16.5" x14ac:dyDescent="0.3">
      <c r="B796" s="236">
        <v>44508</v>
      </c>
      <c r="C796" s="73"/>
      <c r="D796" s="73"/>
      <c r="E796" s="145">
        <v>25913.09</v>
      </c>
    </row>
    <row r="797" spans="2:5" ht="16.5" x14ac:dyDescent="0.3">
      <c r="B797" s="236">
        <v>44504</v>
      </c>
      <c r="C797" s="73"/>
      <c r="D797" s="73"/>
      <c r="E797" s="145">
        <v>25695.5</v>
      </c>
    </row>
    <row r="798" spans="2:5" ht="16.5" x14ac:dyDescent="0.3">
      <c r="B798" s="236">
        <v>44503</v>
      </c>
      <c r="C798" s="73"/>
      <c r="D798" s="73"/>
      <c r="E798" s="145">
        <v>25569.86</v>
      </c>
    </row>
    <row r="799" spans="2:5" ht="16.5" x14ac:dyDescent="0.3">
      <c r="B799" s="236">
        <v>44502</v>
      </c>
      <c r="C799" s="73"/>
      <c r="D799" s="73"/>
      <c r="E799" s="145">
        <v>25655.51</v>
      </c>
    </row>
    <row r="800" spans="2:5" ht="16.5" x14ac:dyDescent="0.3">
      <c r="B800" s="236">
        <v>44501</v>
      </c>
      <c r="C800" s="73"/>
      <c r="D800" s="73"/>
      <c r="E800" s="145">
        <v>25710.799999999999</v>
      </c>
    </row>
    <row r="801" spans="2:5" ht="16.5" x14ac:dyDescent="0.3">
      <c r="B801" s="236">
        <v>44498</v>
      </c>
      <c r="C801" s="73"/>
      <c r="D801" s="73"/>
      <c r="E801" s="145">
        <v>25340.83</v>
      </c>
    </row>
    <row r="802" spans="2:5" ht="16.5" x14ac:dyDescent="0.3">
      <c r="B802" s="236">
        <v>44497</v>
      </c>
      <c r="C802" s="73"/>
      <c r="D802" s="73"/>
      <c r="E802" s="145">
        <v>25606.99</v>
      </c>
    </row>
    <row r="803" spans="2:5" ht="16.5" x14ac:dyDescent="0.3">
      <c r="B803" s="236">
        <v>44496</v>
      </c>
      <c r="C803" s="73"/>
      <c r="D803" s="73"/>
      <c r="E803" s="145">
        <v>26113.62</v>
      </c>
    </row>
    <row r="804" spans="2:5" ht="16.5" x14ac:dyDescent="0.3">
      <c r="B804" s="236">
        <v>44495</v>
      </c>
      <c r="C804" s="73"/>
      <c r="D804" s="73"/>
      <c r="E804" s="145">
        <v>26196.05</v>
      </c>
    </row>
    <row r="805" spans="2:5" ht="16.5" x14ac:dyDescent="0.3">
      <c r="B805" s="236">
        <v>44494</v>
      </c>
      <c r="C805" s="73"/>
      <c r="D805" s="73"/>
      <c r="E805" s="145">
        <v>25967.040000000001</v>
      </c>
    </row>
    <row r="806" spans="2:5" ht="16.5" x14ac:dyDescent="0.3">
      <c r="B806" s="236">
        <v>44491</v>
      </c>
      <c r="C806" s="73"/>
      <c r="D806" s="73"/>
      <c r="E806" s="145">
        <v>25952.01</v>
      </c>
    </row>
    <row r="807" spans="2:5" ht="16.5" x14ac:dyDescent="0.3">
      <c r="B807" s="236">
        <v>44490</v>
      </c>
      <c r="C807" s="73"/>
      <c r="D807" s="73"/>
      <c r="E807" s="145">
        <v>26042.59</v>
      </c>
    </row>
    <row r="808" spans="2:5" ht="16.5" x14ac:dyDescent="0.3">
      <c r="B808" s="236">
        <v>44489</v>
      </c>
      <c r="C808" s="73"/>
      <c r="D808" s="73"/>
      <c r="E808" s="145">
        <v>26165.78</v>
      </c>
    </row>
    <row r="809" spans="2:5" ht="16.5" x14ac:dyDescent="0.3">
      <c r="B809" s="236">
        <v>44488</v>
      </c>
      <c r="C809" s="73"/>
      <c r="D809" s="73"/>
      <c r="E809" s="145">
        <v>26383.71</v>
      </c>
    </row>
    <row r="810" spans="2:5" ht="16.5" x14ac:dyDescent="0.3">
      <c r="B810" s="236">
        <v>44487</v>
      </c>
      <c r="C810" s="73"/>
      <c r="D810" s="73"/>
      <c r="E810" s="145">
        <v>26467.21</v>
      </c>
    </row>
    <row r="811" spans="2:5" ht="16.5" x14ac:dyDescent="0.3">
      <c r="B811" s="236">
        <v>44483</v>
      </c>
      <c r="C811" s="73"/>
      <c r="D811" s="73"/>
      <c r="E811" s="145">
        <v>26268.83</v>
      </c>
    </row>
    <row r="812" spans="2:5" ht="16.5" x14ac:dyDescent="0.3">
      <c r="B812" s="236">
        <v>44482</v>
      </c>
      <c r="C812" s="73"/>
      <c r="D812" s="73"/>
      <c r="E812" s="145">
        <v>26013.19</v>
      </c>
    </row>
    <row r="813" spans="2:5" ht="16.5" x14ac:dyDescent="0.3">
      <c r="B813" s="236">
        <v>44481</v>
      </c>
      <c r="C813" s="73"/>
      <c r="D813" s="73"/>
      <c r="E813" s="145">
        <v>25770.01</v>
      </c>
    </row>
    <row r="814" spans="2:5" ht="16.5" x14ac:dyDescent="0.3">
      <c r="B814" s="236">
        <v>44480</v>
      </c>
      <c r="C814" s="73"/>
      <c r="D814" s="73"/>
      <c r="E814" s="145">
        <v>25704.1</v>
      </c>
    </row>
    <row r="815" spans="2:5" ht="16.5" x14ac:dyDescent="0.3">
      <c r="B815" s="236">
        <v>44477</v>
      </c>
      <c r="C815" s="73"/>
      <c r="D815" s="73"/>
      <c r="E815" s="145">
        <v>25631.38</v>
      </c>
    </row>
    <row r="816" spans="2:5" ht="16.5" x14ac:dyDescent="0.3">
      <c r="B816" s="236">
        <v>44476</v>
      </c>
      <c r="C816" s="73"/>
      <c r="D816" s="73"/>
      <c r="E816" s="145">
        <v>25481.26</v>
      </c>
    </row>
    <row r="817" spans="2:5" ht="16.5" x14ac:dyDescent="0.3">
      <c r="B817" s="236">
        <v>44475</v>
      </c>
      <c r="C817" s="73"/>
      <c r="D817" s="73"/>
      <c r="E817" s="145">
        <v>25274.48</v>
      </c>
    </row>
    <row r="818" spans="2:5" ht="16.5" x14ac:dyDescent="0.3">
      <c r="B818" s="236">
        <v>44474</v>
      </c>
      <c r="C818" s="73"/>
      <c r="D818" s="73"/>
      <c r="E818" s="145">
        <v>25526.98</v>
      </c>
    </row>
    <row r="819" spans="2:5" ht="16.5" x14ac:dyDescent="0.3">
      <c r="B819" s="236">
        <v>44473</v>
      </c>
      <c r="C819" s="73"/>
      <c r="D819" s="73"/>
      <c r="E819" s="145">
        <v>25339.32</v>
      </c>
    </row>
    <row r="820" spans="2:5" ht="16.5" x14ac:dyDescent="0.3">
      <c r="B820" s="236">
        <v>44470</v>
      </c>
      <c r="C820" s="73"/>
      <c r="D820" s="73"/>
      <c r="E820" s="145">
        <v>25111.25</v>
      </c>
    </row>
    <row r="821" spans="2:5" ht="16.5" x14ac:dyDescent="0.3">
      <c r="B821" s="236">
        <v>44469</v>
      </c>
      <c r="C821" s="73"/>
      <c r="D821" s="73"/>
      <c r="E821" s="145">
        <v>25234.57</v>
      </c>
    </row>
    <row r="822" spans="2:5" ht="16.5" x14ac:dyDescent="0.3">
      <c r="B822" s="236">
        <v>44468</v>
      </c>
      <c r="C822" s="73"/>
      <c r="D822" s="73"/>
      <c r="E822" s="145">
        <v>25367.99</v>
      </c>
    </row>
    <row r="823" spans="2:5" ht="16.5" x14ac:dyDescent="0.3">
      <c r="B823" s="236">
        <v>44467</v>
      </c>
      <c r="C823" s="73"/>
      <c r="D823" s="73"/>
      <c r="E823" s="145">
        <v>25421.46</v>
      </c>
    </row>
    <row r="824" spans="2:5" ht="16.5" x14ac:dyDescent="0.3">
      <c r="B824" s="236">
        <v>44466</v>
      </c>
      <c r="C824" s="73"/>
      <c r="D824" s="73"/>
      <c r="E824" s="145">
        <v>25573.99</v>
      </c>
    </row>
    <row r="825" spans="2:5" ht="16.5" x14ac:dyDescent="0.3">
      <c r="B825" s="236">
        <v>44463</v>
      </c>
      <c r="C825" s="73"/>
      <c r="D825" s="73"/>
      <c r="E825" s="145">
        <v>25571.24</v>
      </c>
    </row>
    <row r="826" spans="2:5" ht="16.5" x14ac:dyDescent="0.3">
      <c r="B826" s="236">
        <v>44462</v>
      </c>
      <c r="C826" s="73"/>
      <c r="D826" s="73"/>
      <c r="E826" s="145">
        <v>25527.919999999998</v>
      </c>
    </row>
    <row r="827" spans="2:5" ht="16.5" x14ac:dyDescent="0.3">
      <c r="B827" s="236">
        <v>44461</v>
      </c>
      <c r="C827" s="73"/>
      <c r="D827" s="73"/>
      <c r="E827" s="145">
        <v>25132.15</v>
      </c>
    </row>
    <row r="828" spans="2:5" ht="16.5" x14ac:dyDescent="0.3">
      <c r="B828" s="236">
        <v>44460</v>
      </c>
      <c r="C828" s="73"/>
      <c r="D828" s="73"/>
      <c r="E828" s="145">
        <v>25154.16</v>
      </c>
    </row>
    <row r="829" spans="2:5" ht="16.5" x14ac:dyDescent="0.3">
      <c r="B829" s="236">
        <v>44459</v>
      </c>
      <c r="C829" s="73"/>
      <c r="D829" s="73"/>
      <c r="E829" s="145">
        <v>24917.72</v>
      </c>
    </row>
    <row r="830" spans="2:5" ht="16.5" x14ac:dyDescent="0.3">
      <c r="B830" s="236">
        <v>44456</v>
      </c>
      <c r="C830" s="73"/>
      <c r="D830" s="73"/>
      <c r="E830" s="145">
        <v>25187.34</v>
      </c>
    </row>
    <row r="831" spans="2:5" ht="16.5" x14ac:dyDescent="0.3">
      <c r="B831" s="236">
        <v>44455</v>
      </c>
      <c r="C831" s="73"/>
      <c r="D831" s="73"/>
      <c r="E831" s="145">
        <v>25250.87</v>
      </c>
    </row>
    <row r="832" spans="2:5" ht="16.5" x14ac:dyDescent="0.3">
      <c r="B832" s="236">
        <v>44454</v>
      </c>
      <c r="C832" s="73"/>
      <c r="D832" s="73"/>
      <c r="E832" s="145">
        <v>25093.22</v>
      </c>
    </row>
    <row r="833" spans="2:5" ht="16.5" x14ac:dyDescent="0.3">
      <c r="B833" s="236">
        <v>44453</v>
      </c>
      <c r="C833" s="73"/>
      <c r="D833" s="73"/>
      <c r="E833" s="145">
        <v>24893.51</v>
      </c>
    </row>
    <row r="834" spans="2:5" ht="16.5" x14ac:dyDescent="0.3">
      <c r="B834" s="236">
        <v>44452</v>
      </c>
      <c r="C834" s="73"/>
      <c r="D834" s="73"/>
      <c r="E834" s="145">
        <v>24858.12</v>
      </c>
    </row>
    <row r="835" spans="2:5" ht="16.5" x14ac:dyDescent="0.3">
      <c r="B835" s="236">
        <v>44448</v>
      </c>
      <c r="C835" s="73"/>
      <c r="D835" s="73"/>
      <c r="E835" s="145">
        <v>24878.09</v>
      </c>
    </row>
    <row r="836" spans="2:5" ht="16.5" x14ac:dyDescent="0.3">
      <c r="B836" s="236">
        <v>44447</v>
      </c>
      <c r="C836" s="73"/>
      <c r="D836" s="73"/>
      <c r="E836" s="145">
        <v>24855.5</v>
      </c>
    </row>
    <row r="837" spans="2:5" ht="16.5" x14ac:dyDescent="0.3">
      <c r="B837" s="236">
        <v>44446</v>
      </c>
      <c r="C837" s="73"/>
      <c r="D837" s="73"/>
      <c r="E837" s="145">
        <v>24857.27</v>
      </c>
    </row>
    <row r="838" spans="2:5" ht="16.5" x14ac:dyDescent="0.3">
      <c r="B838" s="236">
        <v>44445</v>
      </c>
      <c r="C838" s="73"/>
      <c r="D838" s="73"/>
      <c r="E838" s="145">
        <v>24879.79</v>
      </c>
    </row>
    <row r="839" spans="2:5" ht="16.5" x14ac:dyDescent="0.3">
      <c r="B839" s="236">
        <v>44442</v>
      </c>
      <c r="C839" s="73"/>
      <c r="D839" s="73"/>
      <c r="E839" s="145">
        <v>24802.17</v>
      </c>
    </row>
    <row r="840" spans="2:5" ht="16.5" x14ac:dyDescent="0.3">
      <c r="B840" s="236">
        <v>44441</v>
      </c>
      <c r="C840" s="73"/>
      <c r="D840" s="73"/>
      <c r="E840" s="145">
        <v>24674.11</v>
      </c>
    </row>
    <row r="841" spans="2:5" ht="16.5" x14ac:dyDescent="0.3">
      <c r="B841" s="236">
        <v>44440</v>
      </c>
      <c r="C841" s="73"/>
      <c r="D841" s="73"/>
      <c r="E841" s="145">
        <v>24445.62</v>
      </c>
    </row>
    <row r="842" spans="2:5" ht="16.5" x14ac:dyDescent="0.3">
      <c r="B842" s="236">
        <v>44439</v>
      </c>
      <c r="C842" s="73"/>
      <c r="D842" s="73"/>
      <c r="E842" s="145">
        <v>24525.71</v>
      </c>
    </row>
    <row r="843" spans="2:5" ht="16.5" x14ac:dyDescent="0.3">
      <c r="B843" s="236">
        <v>44438</v>
      </c>
      <c r="C843" s="73"/>
      <c r="D843" s="73"/>
      <c r="E843" s="145">
        <v>24237.8</v>
      </c>
    </row>
    <row r="844" spans="2:5" ht="16.5" x14ac:dyDescent="0.3">
      <c r="B844" s="236">
        <v>44435</v>
      </c>
      <c r="C844" s="73"/>
      <c r="D844" s="73"/>
      <c r="E844" s="145">
        <v>23914.48</v>
      </c>
    </row>
    <row r="845" spans="2:5" ht="16.5" x14ac:dyDescent="0.3">
      <c r="B845" s="236">
        <v>44434</v>
      </c>
      <c r="C845" s="73"/>
      <c r="D845" s="73"/>
      <c r="E845" s="145">
        <v>23816.68</v>
      </c>
    </row>
    <row r="846" spans="2:5" ht="16.5" x14ac:dyDescent="0.3">
      <c r="B846" s="236">
        <v>44433</v>
      </c>
      <c r="C846" s="73"/>
      <c r="D846" s="73"/>
      <c r="E846" s="145">
        <v>23813.43</v>
      </c>
    </row>
    <row r="847" spans="2:5" ht="16.5" x14ac:dyDescent="0.3">
      <c r="B847" s="236">
        <v>44432</v>
      </c>
      <c r="C847" s="73"/>
      <c r="D847" s="73"/>
      <c r="E847" s="145">
        <v>23799.1</v>
      </c>
    </row>
    <row r="848" spans="2:5" ht="16.5" x14ac:dyDescent="0.3">
      <c r="B848" s="236">
        <v>44431</v>
      </c>
      <c r="C848" s="73"/>
      <c r="D848" s="73"/>
      <c r="E848" s="145">
        <v>23615.61</v>
      </c>
    </row>
    <row r="849" spans="2:5" ht="16.5" x14ac:dyDescent="0.3">
      <c r="B849" s="236">
        <v>44428</v>
      </c>
      <c r="C849" s="73"/>
      <c r="D849" s="73"/>
      <c r="E849" s="145">
        <v>23549.09</v>
      </c>
    </row>
    <row r="850" spans="2:5" ht="16.5" x14ac:dyDescent="0.3">
      <c r="B850" s="236">
        <v>44426</v>
      </c>
      <c r="C850" s="73"/>
      <c r="D850" s="73"/>
      <c r="E850" s="145">
        <v>23718.57</v>
      </c>
    </row>
    <row r="851" spans="2:5" ht="16.5" x14ac:dyDescent="0.3">
      <c r="B851" s="236">
        <v>44425</v>
      </c>
      <c r="C851" s="73"/>
      <c r="D851" s="73"/>
      <c r="E851" s="145">
        <v>23784.05</v>
      </c>
    </row>
    <row r="852" spans="2:5" ht="16.5" x14ac:dyDescent="0.3">
      <c r="B852" s="236">
        <v>44424</v>
      </c>
      <c r="C852" s="73"/>
      <c r="D852" s="73"/>
      <c r="E852" s="145">
        <v>23708.38</v>
      </c>
    </row>
    <row r="853" spans="2:5" ht="16.5" x14ac:dyDescent="0.3">
      <c r="B853" s="236">
        <v>44421</v>
      </c>
      <c r="C853" s="73"/>
      <c r="D853" s="73"/>
      <c r="E853" s="145">
        <v>23659.78</v>
      </c>
    </row>
    <row r="854" spans="2:5" ht="16.5" x14ac:dyDescent="0.3">
      <c r="B854" s="236">
        <v>44420</v>
      </c>
      <c r="C854" s="73"/>
      <c r="D854" s="73"/>
      <c r="E854" s="145">
        <v>23424.04</v>
      </c>
    </row>
    <row r="855" spans="2:5" ht="16.5" x14ac:dyDescent="0.3">
      <c r="B855" s="236">
        <v>44419</v>
      </c>
      <c r="C855" s="73"/>
      <c r="D855" s="73"/>
      <c r="E855" s="145">
        <v>23303.89</v>
      </c>
    </row>
    <row r="856" spans="2:5" ht="16.5" x14ac:dyDescent="0.3">
      <c r="B856" s="236">
        <v>44418</v>
      </c>
      <c r="C856" s="73"/>
      <c r="D856" s="73"/>
      <c r="E856" s="145">
        <v>23300.36</v>
      </c>
    </row>
    <row r="857" spans="2:5" ht="16.5" x14ac:dyDescent="0.3">
      <c r="B857" s="236">
        <v>44417</v>
      </c>
      <c r="C857" s="73"/>
      <c r="D857" s="73"/>
      <c r="E857" s="145">
        <v>23269.119999999999</v>
      </c>
    </row>
    <row r="858" spans="2:5" ht="16.5" x14ac:dyDescent="0.3">
      <c r="B858" s="236">
        <v>44414</v>
      </c>
      <c r="C858" s="73"/>
      <c r="D858" s="73"/>
      <c r="E858" s="145">
        <v>23238.83</v>
      </c>
    </row>
    <row r="859" spans="2:5" ht="16.5" x14ac:dyDescent="0.3">
      <c r="B859" s="236">
        <v>44413</v>
      </c>
      <c r="C859" s="73"/>
      <c r="D859" s="73"/>
      <c r="E859" s="145">
        <v>23319.53</v>
      </c>
    </row>
    <row r="860" spans="2:5" ht="16.5" x14ac:dyDescent="0.3">
      <c r="B860" s="236">
        <v>44412</v>
      </c>
      <c r="C860" s="73"/>
      <c r="D860" s="73"/>
      <c r="E860" s="145">
        <v>23265.07</v>
      </c>
    </row>
    <row r="861" spans="2:5" ht="16.5" x14ac:dyDescent="0.3">
      <c r="B861" s="236">
        <v>44411</v>
      </c>
      <c r="C861" s="73"/>
      <c r="D861" s="73"/>
      <c r="E861" s="145">
        <v>23081.86</v>
      </c>
    </row>
    <row r="862" spans="2:5" ht="16.5" x14ac:dyDescent="0.3">
      <c r="B862" s="236">
        <v>44410</v>
      </c>
      <c r="C862" s="73"/>
      <c r="D862" s="73"/>
      <c r="E862" s="145">
        <v>22730.42</v>
      </c>
    </row>
    <row r="863" spans="2:5" ht="16.5" x14ac:dyDescent="0.3">
      <c r="B863" s="236">
        <v>44407</v>
      </c>
      <c r="C863" s="73"/>
      <c r="D863" s="73"/>
      <c r="E863" s="145">
        <v>22554.26</v>
      </c>
    </row>
    <row r="864" spans="2:5" ht="16.5" x14ac:dyDescent="0.3">
      <c r="B864" s="236">
        <v>44406</v>
      </c>
      <c r="C864" s="73"/>
      <c r="D864" s="73"/>
      <c r="E864" s="145">
        <v>22576.34</v>
      </c>
    </row>
    <row r="865" spans="2:5" ht="16.5" x14ac:dyDescent="0.3">
      <c r="B865" s="236">
        <v>44405</v>
      </c>
      <c r="C865" s="73"/>
      <c r="D865" s="73"/>
      <c r="E865" s="145">
        <v>22472.95</v>
      </c>
    </row>
    <row r="866" spans="2:5" ht="16.5" x14ac:dyDescent="0.3">
      <c r="B866" s="236">
        <v>44404</v>
      </c>
      <c r="C866" s="73"/>
      <c r="D866" s="73"/>
      <c r="E866" s="145">
        <v>22518.799999999999</v>
      </c>
    </row>
    <row r="867" spans="2:5" ht="16.5" x14ac:dyDescent="0.3">
      <c r="B867" s="236">
        <v>44403</v>
      </c>
      <c r="C867" s="73"/>
      <c r="D867" s="73"/>
      <c r="E867" s="145">
        <v>22628.19</v>
      </c>
    </row>
    <row r="868" spans="2:5" ht="16.5" x14ac:dyDescent="0.3">
      <c r="B868" s="236">
        <v>44400</v>
      </c>
      <c r="C868" s="73"/>
      <c r="D868" s="73"/>
      <c r="E868" s="145">
        <v>22673.35</v>
      </c>
    </row>
    <row r="869" spans="2:5" ht="16.5" x14ac:dyDescent="0.3">
      <c r="B869" s="236">
        <v>44399</v>
      </c>
      <c r="C869" s="73"/>
      <c r="D869" s="73"/>
      <c r="E869" s="145">
        <v>22621.45</v>
      </c>
    </row>
    <row r="870" spans="2:5" ht="16.5" x14ac:dyDescent="0.3">
      <c r="B870" s="236">
        <v>44397</v>
      </c>
      <c r="C870" s="73"/>
      <c r="D870" s="73"/>
      <c r="E870" s="145">
        <v>22344.81</v>
      </c>
    </row>
    <row r="871" spans="2:5" ht="16.5" x14ac:dyDescent="0.3">
      <c r="B871" s="236">
        <v>44396</v>
      </c>
      <c r="C871" s="73"/>
      <c r="D871" s="73"/>
      <c r="E871" s="145">
        <v>22516.71</v>
      </c>
    </row>
    <row r="872" spans="2:5" ht="16.5" x14ac:dyDescent="0.3">
      <c r="B872" s="236">
        <v>44393</v>
      </c>
      <c r="C872" s="73"/>
      <c r="D872" s="73"/>
      <c r="E872" s="145">
        <v>22761.200000000001</v>
      </c>
    </row>
    <row r="873" spans="2:5" ht="16.5" x14ac:dyDescent="0.3">
      <c r="B873" s="236">
        <v>44392</v>
      </c>
      <c r="C873" s="73"/>
      <c r="D873" s="73"/>
      <c r="E873" s="145">
        <v>22762.34</v>
      </c>
    </row>
    <row r="874" spans="2:5" ht="16.5" x14ac:dyDescent="0.3">
      <c r="B874" s="236">
        <v>44391</v>
      </c>
      <c r="C874" s="73"/>
      <c r="D874" s="73"/>
      <c r="E874" s="145">
        <v>22656.78</v>
      </c>
    </row>
    <row r="875" spans="2:5" ht="16.5" x14ac:dyDescent="0.3">
      <c r="B875" s="236">
        <v>44390</v>
      </c>
      <c r="C875" s="73"/>
      <c r="D875" s="73"/>
      <c r="E875" s="145">
        <v>22595.49</v>
      </c>
    </row>
    <row r="876" spans="2:5" ht="16.5" x14ac:dyDescent="0.3">
      <c r="B876" s="236">
        <v>44389</v>
      </c>
      <c r="C876" s="73"/>
      <c r="D876" s="73"/>
      <c r="E876" s="145">
        <v>22424.39</v>
      </c>
    </row>
    <row r="877" spans="2:5" ht="16.5" x14ac:dyDescent="0.3">
      <c r="B877" s="236">
        <v>44386</v>
      </c>
      <c r="C877" s="73"/>
      <c r="D877" s="73"/>
      <c r="E877" s="145">
        <v>22420.36</v>
      </c>
    </row>
    <row r="878" spans="2:5" ht="16.5" x14ac:dyDescent="0.3">
      <c r="B878" s="236">
        <v>44385</v>
      </c>
      <c r="C878" s="73"/>
      <c r="D878" s="73"/>
      <c r="E878" s="145">
        <v>22473.81</v>
      </c>
    </row>
    <row r="879" spans="2:5" ht="16.5" x14ac:dyDescent="0.3">
      <c r="B879" s="236">
        <v>44384</v>
      </c>
      <c r="C879" s="73"/>
      <c r="D879" s="73"/>
      <c r="E879" s="145">
        <v>22683.66</v>
      </c>
    </row>
    <row r="880" spans="2:5" ht="16.5" x14ac:dyDescent="0.3">
      <c r="B880" s="236">
        <v>44383</v>
      </c>
      <c r="C880" s="73"/>
      <c r="D880" s="73"/>
      <c r="E880" s="145">
        <v>22595.93</v>
      </c>
    </row>
    <row r="881" spans="2:5" ht="16.5" x14ac:dyDescent="0.3">
      <c r="B881" s="236">
        <v>44382</v>
      </c>
      <c r="C881" s="73"/>
      <c r="D881" s="73"/>
      <c r="E881" s="145">
        <v>22618.97</v>
      </c>
    </row>
    <row r="882" spans="2:5" ht="16.5" x14ac:dyDescent="0.3">
      <c r="B882" s="236">
        <v>44379</v>
      </c>
      <c r="C882" s="73"/>
      <c r="D882" s="73"/>
      <c r="E882" s="145">
        <v>22456.66</v>
      </c>
    </row>
    <row r="883" spans="2:5" ht="16.5" x14ac:dyDescent="0.3">
      <c r="B883" s="236">
        <v>44378</v>
      </c>
      <c r="C883" s="73"/>
      <c r="D883" s="73"/>
      <c r="E883" s="145">
        <v>22396.400000000001</v>
      </c>
    </row>
    <row r="884" spans="2:5" ht="16.5" x14ac:dyDescent="0.3">
      <c r="B884" s="236">
        <v>44377</v>
      </c>
      <c r="C884" s="73"/>
      <c r="D884" s="73"/>
      <c r="E884" s="145">
        <v>22455.7</v>
      </c>
    </row>
    <row r="885" spans="2:5" ht="16.5" x14ac:dyDescent="0.3">
      <c r="B885" s="236">
        <v>44376</v>
      </c>
      <c r="C885" s="73"/>
      <c r="D885" s="73"/>
      <c r="E885" s="145">
        <v>22493.599999999999</v>
      </c>
    </row>
    <row r="886" spans="2:5" ht="16.5" x14ac:dyDescent="0.3">
      <c r="B886" s="236">
        <v>44375</v>
      </c>
      <c r="C886" s="73"/>
      <c r="D886" s="73"/>
      <c r="E886" s="145">
        <v>22578.86</v>
      </c>
    </row>
    <row r="887" spans="2:5" ht="16.5" x14ac:dyDescent="0.3">
      <c r="B887" s="236">
        <v>44372</v>
      </c>
      <c r="C887" s="73"/>
      <c r="D887" s="73"/>
      <c r="E887" s="145">
        <v>22644.06</v>
      </c>
    </row>
    <row r="888" spans="2:5" ht="16.5" x14ac:dyDescent="0.3">
      <c r="B888" s="236">
        <v>44371</v>
      </c>
      <c r="C888" s="73"/>
      <c r="D888" s="73"/>
      <c r="E888" s="145">
        <v>22544.26</v>
      </c>
    </row>
    <row r="889" spans="2:5" ht="16.5" x14ac:dyDescent="0.3">
      <c r="B889" s="236">
        <v>44370</v>
      </c>
      <c r="C889" s="73"/>
      <c r="D889" s="73"/>
      <c r="E889" s="145">
        <v>22395.25</v>
      </c>
    </row>
    <row r="890" spans="2:5" ht="16.5" x14ac:dyDescent="0.3">
      <c r="B890" s="236">
        <v>44369</v>
      </c>
      <c r="C890" s="73"/>
      <c r="D890" s="73"/>
      <c r="E890" s="145">
        <v>22517.74</v>
      </c>
    </row>
    <row r="891" spans="2:5" ht="16.5" x14ac:dyDescent="0.3">
      <c r="B891" s="236">
        <v>44368</v>
      </c>
      <c r="C891" s="73"/>
      <c r="D891" s="73"/>
      <c r="E891" s="145">
        <v>22480.3</v>
      </c>
    </row>
    <row r="892" spans="2:5" ht="16.5" x14ac:dyDescent="0.3">
      <c r="B892" s="236">
        <v>44365</v>
      </c>
      <c r="C892" s="73"/>
      <c r="D892" s="73"/>
      <c r="E892" s="145">
        <v>22390.11</v>
      </c>
    </row>
    <row r="893" spans="2:5" ht="16.5" x14ac:dyDescent="0.3">
      <c r="B893" s="236">
        <v>44364</v>
      </c>
      <c r="C893" s="73"/>
      <c r="D893" s="73"/>
      <c r="E893" s="145">
        <v>22401.65</v>
      </c>
    </row>
    <row r="894" spans="2:5" ht="16.5" x14ac:dyDescent="0.3">
      <c r="B894" s="236">
        <v>44363</v>
      </c>
      <c r="C894" s="73"/>
      <c r="D894" s="73"/>
      <c r="E894" s="145">
        <v>22503.9</v>
      </c>
    </row>
    <row r="895" spans="2:5" ht="16.5" x14ac:dyDescent="0.3">
      <c r="B895" s="236">
        <v>44362</v>
      </c>
      <c r="C895" s="73"/>
      <c r="D895" s="73"/>
      <c r="E895" s="145">
        <v>22649.05</v>
      </c>
    </row>
    <row r="896" spans="2:5" ht="16.5" x14ac:dyDescent="0.3">
      <c r="B896" s="236">
        <v>44361</v>
      </c>
      <c r="C896" s="73"/>
      <c r="D896" s="73"/>
      <c r="E896" s="145">
        <v>22567.11</v>
      </c>
    </row>
    <row r="897" spans="2:5" ht="16.5" x14ac:dyDescent="0.3">
      <c r="B897" s="236">
        <v>44358</v>
      </c>
      <c r="C897" s="73"/>
      <c r="D897" s="73"/>
      <c r="E897" s="145">
        <v>22544.26</v>
      </c>
    </row>
    <row r="898" spans="2:5" ht="16.5" x14ac:dyDescent="0.3">
      <c r="B898" s="236">
        <v>44357</v>
      </c>
      <c r="C898" s="73"/>
      <c r="D898" s="73"/>
      <c r="E898" s="145">
        <v>22448.94</v>
      </c>
    </row>
    <row r="899" spans="2:5" ht="16.5" x14ac:dyDescent="0.3">
      <c r="B899" s="236">
        <v>44356</v>
      </c>
      <c r="C899" s="73"/>
      <c r="D899" s="73"/>
      <c r="E899" s="145">
        <v>22283.52</v>
      </c>
    </row>
    <row r="900" spans="2:5" ht="16.5" x14ac:dyDescent="0.3">
      <c r="B900" s="236">
        <v>44355</v>
      </c>
      <c r="C900" s="73"/>
      <c r="D900" s="73"/>
      <c r="E900" s="145">
        <v>22432.77</v>
      </c>
    </row>
    <row r="901" spans="2:5" ht="16.5" x14ac:dyDescent="0.3">
      <c r="B901" s="236">
        <v>44354</v>
      </c>
      <c r="C901" s="73"/>
      <c r="D901" s="73"/>
      <c r="E901" s="145">
        <v>22449.24</v>
      </c>
    </row>
    <row r="902" spans="2:5" ht="16.5" x14ac:dyDescent="0.3">
      <c r="B902" s="236">
        <v>44351</v>
      </c>
      <c r="C902" s="73"/>
      <c r="D902" s="73"/>
      <c r="E902" s="145">
        <v>22333.23</v>
      </c>
    </row>
    <row r="903" spans="2:5" ht="16.5" x14ac:dyDescent="0.3">
      <c r="B903" s="236">
        <v>44350</v>
      </c>
      <c r="C903" s="73"/>
      <c r="D903" s="73"/>
      <c r="E903" s="145">
        <v>22361.86</v>
      </c>
    </row>
    <row r="904" spans="2:5" ht="16.5" x14ac:dyDescent="0.3">
      <c r="B904" s="236">
        <v>44349</v>
      </c>
      <c r="C904" s="73"/>
      <c r="D904" s="73"/>
      <c r="E904" s="145">
        <v>22194.18</v>
      </c>
    </row>
    <row r="905" spans="2:5" ht="16.5" x14ac:dyDescent="0.3">
      <c r="B905" s="236">
        <v>44348</v>
      </c>
      <c r="C905" s="73"/>
      <c r="D905" s="73"/>
      <c r="E905" s="145">
        <v>22192.25</v>
      </c>
    </row>
    <row r="906" spans="2:5" ht="16.5" x14ac:dyDescent="0.3">
      <c r="B906" s="236">
        <v>44347</v>
      </c>
      <c r="C906" s="73"/>
      <c r="D906" s="73"/>
      <c r="E906" s="145">
        <v>22203.59</v>
      </c>
    </row>
    <row r="907" spans="2:5" ht="16.5" x14ac:dyDescent="0.3">
      <c r="B907" s="236">
        <v>44344</v>
      </c>
      <c r="C907" s="73"/>
      <c r="D907" s="73"/>
      <c r="E907" s="145">
        <v>21962.31</v>
      </c>
    </row>
    <row r="908" spans="2:5" ht="16.5" x14ac:dyDescent="0.3">
      <c r="B908" s="236">
        <v>44343</v>
      </c>
      <c r="C908" s="73"/>
      <c r="D908" s="73"/>
      <c r="E908" s="145">
        <v>21823.14</v>
      </c>
    </row>
    <row r="909" spans="2:5" ht="16.5" x14ac:dyDescent="0.3">
      <c r="B909" s="236">
        <v>44342</v>
      </c>
      <c r="C909" s="73"/>
      <c r="D909" s="73"/>
      <c r="E909" s="145">
        <v>21771.35</v>
      </c>
    </row>
    <row r="910" spans="2:5" ht="16.5" x14ac:dyDescent="0.3">
      <c r="B910" s="236">
        <v>44341</v>
      </c>
      <c r="C910" s="73"/>
      <c r="D910" s="73"/>
      <c r="E910" s="145">
        <v>21639.040000000001</v>
      </c>
    </row>
    <row r="911" spans="2:5" ht="16.5" x14ac:dyDescent="0.3">
      <c r="B911" s="236">
        <v>44340</v>
      </c>
      <c r="C911" s="73"/>
      <c r="D911" s="73"/>
      <c r="E911" s="145">
        <v>21617.03</v>
      </c>
    </row>
    <row r="912" spans="2:5" ht="16.5" x14ac:dyDescent="0.3">
      <c r="B912" s="236">
        <v>44337</v>
      </c>
      <c r="C912" s="73"/>
      <c r="D912" s="73"/>
      <c r="E912" s="145">
        <v>21585.18</v>
      </c>
    </row>
    <row r="913" spans="2:5" ht="16.5" x14ac:dyDescent="0.3">
      <c r="B913" s="236">
        <v>44336</v>
      </c>
      <c r="C913" s="73"/>
      <c r="D913" s="73"/>
      <c r="E913" s="145">
        <v>21202.21</v>
      </c>
    </row>
    <row r="914" spans="2:5" ht="16.5" x14ac:dyDescent="0.3">
      <c r="B914" s="236">
        <v>44335</v>
      </c>
      <c r="C914" s="73"/>
      <c r="D914" s="73"/>
      <c r="E914" s="145">
        <v>21378.71</v>
      </c>
    </row>
    <row r="915" spans="2:5" ht="16.5" x14ac:dyDescent="0.3">
      <c r="B915" s="236">
        <v>44334</v>
      </c>
      <c r="C915" s="73"/>
      <c r="D915" s="73"/>
      <c r="E915" s="145">
        <v>21489.56</v>
      </c>
    </row>
    <row r="916" spans="2:5" ht="16.5" x14ac:dyDescent="0.3">
      <c r="B916" s="236">
        <v>44333</v>
      </c>
      <c r="C916" s="73"/>
      <c r="D916" s="73"/>
      <c r="E916" s="145">
        <v>21226.53</v>
      </c>
    </row>
    <row r="917" spans="2:5" ht="16.5" x14ac:dyDescent="0.3">
      <c r="B917" s="236">
        <v>44330</v>
      </c>
      <c r="C917" s="73"/>
      <c r="D917" s="73"/>
      <c r="E917" s="145">
        <v>20877.560000000001</v>
      </c>
    </row>
    <row r="918" spans="2:5" ht="16.5" x14ac:dyDescent="0.3">
      <c r="B918" s="236">
        <v>44328</v>
      </c>
      <c r="C918" s="73"/>
      <c r="D918" s="73"/>
      <c r="E918" s="145">
        <v>20904.13</v>
      </c>
    </row>
    <row r="919" spans="2:5" ht="16.5" x14ac:dyDescent="0.3">
      <c r="B919" s="236">
        <v>44327</v>
      </c>
      <c r="C919" s="73"/>
      <c r="D919" s="73"/>
      <c r="E919" s="145">
        <v>21123.53</v>
      </c>
    </row>
    <row r="920" spans="2:5" ht="16.5" x14ac:dyDescent="0.3">
      <c r="B920" s="236">
        <v>44326</v>
      </c>
      <c r="C920" s="73"/>
      <c r="D920" s="73"/>
      <c r="E920" s="145">
        <v>21253.8</v>
      </c>
    </row>
    <row r="921" spans="2:5" ht="16.5" x14ac:dyDescent="0.3">
      <c r="B921" s="236">
        <v>44323</v>
      </c>
      <c r="C921" s="73"/>
      <c r="D921" s="73"/>
      <c r="E921" s="145">
        <v>21084.26</v>
      </c>
    </row>
    <row r="922" spans="2:5" ht="16.5" x14ac:dyDescent="0.3">
      <c r="B922" s="236">
        <v>44322</v>
      </c>
      <c r="C922" s="73"/>
      <c r="D922" s="73"/>
      <c r="E922" s="145">
        <v>20944.41</v>
      </c>
    </row>
    <row r="923" spans="2:5" ht="16.5" x14ac:dyDescent="0.3">
      <c r="B923" s="236">
        <v>44321</v>
      </c>
      <c r="C923" s="73"/>
      <c r="D923" s="73"/>
      <c r="E923" s="145">
        <v>20792.240000000002</v>
      </c>
    </row>
    <row r="924" spans="2:5" ht="16.5" x14ac:dyDescent="0.3">
      <c r="B924" s="236">
        <v>44320</v>
      </c>
      <c r="C924" s="73"/>
      <c r="D924" s="73"/>
      <c r="E924" s="145">
        <v>20619.62</v>
      </c>
    </row>
    <row r="925" spans="2:5" ht="16.5" x14ac:dyDescent="0.3">
      <c r="B925" s="236">
        <v>44319</v>
      </c>
      <c r="C925" s="73"/>
      <c r="D925" s="73"/>
      <c r="E925" s="145">
        <v>20815.43</v>
      </c>
    </row>
    <row r="926" spans="2:5" ht="16.5" x14ac:dyDescent="0.3">
      <c r="B926" s="236">
        <v>44316</v>
      </c>
      <c r="C926" s="73"/>
      <c r="D926" s="73"/>
      <c r="E926" s="145">
        <v>20811.13</v>
      </c>
    </row>
    <row r="927" spans="2:5" ht="16.5" x14ac:dyDescent="0.3">
      <c r="B927" s="236">
        <v>44315</v>
      </c>
      <c r="C927" s="73"/>
      <c r="D927" s="73"/>
      <c r="E927" s="145">
        <v>21186.3</v>
      </c>
    </row>
    <row r="928" spans="2:5" ht="16.5" x14ac:dyDescent="0.3">
      <c r="B928" s="236">
        <v>44314</v>
      </c>
      <c r="C928" s="73"/>
      <c r="D928" s="73"/>
      <c r="E928" s="145">
        <v>21136.41</v>
      </c>
    </row>
    <row r="929" spans="2:5" ht="16.5" x14ac:dyDescent="0.3">
      <c r="B929" s="236">
        <v>44313</v>
      </c>
      <c r="C929" s="73"/>
      <c r="D929" s="73"/>
      <c r="E929" s="145">
        <v>20835.669999999998</v>
      </c>
    </row>
    <row r="930" spans="2:5" ht="16.5" x14ac:dyDescent="0.3">
      <c r="B930" s="236">
        <v>44312</v>
      </c>
      <c r="C930" s="73"/>
      <c r="D930" s="73"/>
      <c r="E930" s="145">
        <v>20596.72</v>
      </c>
    </row>
    <row r="931" spans="2:5" ht="16.5" x14ac:dyDescent="0.3">
      <c r="B931" s="236">
        <v>44309</v>
      </c>
      <c r="C931" s="73"/>
      <c r="D931" s="73"/>
      <c r="E931" s="145">
        <v>20392.439999999999</v>
      </c>
    </row>
    <row r="932" spans="2:5" ht="16.5" x14ac:dyDescent="0.3">
      <c r="B932" s="236">
        <v>44308</v>
      </c>
      <c r="C932" s="73"/>
      <c r="D932" s="73"/>
      <c r="E932" s="145">
        <v>20484.63</v>
      </c>
    </row>
    <row r="933" spans="2:5" ht="16.5" x14ac:dyDescent="0.3">
      <c r="B933" s="236">
        <v>44306</v>
      </c>
      <c r="C933" s="73"/>
      <c r="D933" s="73"/>
      <c r="E933" s="145">
        <v>20328.55</v>
      </c>
    </row>
    <row r="934" spans="2:5" ht="16.5" x14ac:dyDescent="0.3">
      <c r="B934" s="236">
        <v>44305</v>
      </c>
      <c r="C934" s="73"/>
      <c r="D934" s="73"/>
      <c r="E934" s="145">
        <v>20418.16</v>
      </c>
    </row>
    <row r="935" spans="2:5" ht="16.5" x14ac:dyDescent="0.3">
      <c r="B935" s="236">
        <v>44302</v>
      </c>
      <c r="C935" s="73"/>
      <c r="D935" s="73"/>
      <c r="E935" s="145">
        <v>20785.61</v>
      </c>
    </row>
    <row r="936" spans="2:5" ht="16.5" x14ac:dyDescent="0.3">
      <c r="B936" s="236">
        <v>44301</v>
      </c>
      <c r="C936" s="73"/>
      <c r="D936" s="73"/>
      <c r="E936" s="145">
        <v>20733.88</v>
      </c>
    </row>
    <row r="937" spans="2:5" ht="16.5" x14ac:dyDescent="0.3">
      <c r="B937" s="236">
        <v>44299</v>
      </c>
      <c r="C937" s="73"/>
      <c r="D937" s="73"/>
      <c r="E937" s="145">
        <v>20624.86</v>
      </c>
    </row>
    <row r="938" spans="2:5" ht="16.5" x14ac:dyDescent="0.3">
      <c r="B938" s="236">
        <v>44298</v>
      </c>
      <c r="C938" s="73"/>
      <c r="D938" s="73"/>
      <c r="E938" s="145">
        <v>20348.990000000002</v>
      </c>
    </row>
    <row r="939" spans="2:5" ht="16.5" x14ac:dyDescent="0.3">
      <c r="B939" s="236">
        <v>44295</v>
      </c>
      <c r="C939" s="73"/>
      <c r="D939" s="73"/>
      <c r="E939" s="145">
        <v>21094.17</v>
      </c>
    </row>
    <row r="940" spans="2:5" ht="16.5" x14ac:dyDescent="0.3">
      <c r="B940" s="236">
        <v>44294</v>
      </c>
      <c r="C940" s="73"/>
      <c r="D940" s="73"/>
      <c r="E940" s="145">
        <v>21149.59</v>
      </c>
    </row>
    <row r="941" spans="2:5" ht="16.5" x14ac:dyDescent="0.3">
      <c r="B941" s="236">
        <v>44293</v>
      </c>
      <c r="C941" s="73"/>
      <c r="D941" s="73"/>
      <c r="E941" s="145">
        <v>21069.32</v>
      </c>
    </row>
    <row r="942" spans="2:5" ht="16.5" x14ac:dyDescent="0.3">
      <c r="B942" s="236">
        <v>44292</v>
      </c>
      <c r="C942" s="73"/>
      <c r="D942" s="73"/>
      <c r="E942" s="145">
        <v>20876.57</v>
      </c>
    </row>
    <row r="943" spans="2:5" ht="16.5" x14ac:dyDescent="0.3">
      <c r="B943" s="236">
        <v>44291</v>
      </c>
      <c r="C943" s="73"/>
      <c r="D943" s="73"/>
      <c r="E943" s="145">
        <v>20811.61</v>
      </c>
    </row>
    <row r="944" spans="2:5" ht="16.5" x14ac:dyDescent="0.3">
      <c r="B944" s="236">
        <v>44287</v>
      </c>
      <c r="C944" s="73"/>
      <c r="D944" s="73"/>
      <c r="E944" s="145">
        <v>21137.69</v>
      </c>
    </row>
    <row r="945" spans="2:5" ht="16.5" x14ac:dyDescent="0.3">
      <c r="B945" s="236">
        <v>44286</v>
      </c>
      <c r="C945" s="73"/>
      <c r="D945" s="73"/>
      <c r="E945" s="145">
        <v>20886.52</v>
      </c>
    </row>
    <row r="946" spans="2:5" ht="16.5" x14ac:dyDescent="0.3">
      <c r="B946" s="236">
        <v>44285</v>
      </c>
      <c r="C946" s="73"/>
      <c r="D946" s="73"/>
      <c r="E946" s="145">
        <v>21106.06</v>
      </c>
    </row>
    <row r="947" spans="2:5" ht="16.5" x14ac:dyDescent="0.3">
      <c r="B947" s="236">
        <v>44281</v>
      </c>
      <c r="C947" s="73"/>
      <c r="D947" s="73"/>
      <c r="E947" s="145">
        <v>20625.79</v>
      </c>
    </row>
    <row r="948" spans="2:5" ht="16.5" x14ac:dyDescent="0.3">
      <c r="B948" s="236">
        <v>44280</v>
      </c>
      <c r="C948" s="73"/>
      <c r="D948" s="73"/>
      <c r="E948" s="145">
        <v>20366.419999999998</v>
      </c>
    </row>
    <row r="949" spans="2:5" ht="16.5" x14ac:dyDescent="0.3">
      <c r="B949" s="236">
        <v>44279</v>
      </c>
      <c r="C949" s="73"/>
      <c r="D949" s="73"/>
      <c r="E949" s="145">
        <v>20684.27</v>
      </c>
    </row>
    <row r="950" spans="2:5" ht="16.5" x14ac:dyDescent="0.3">
      <c r="B950" s="236">
        <v>44278</v>
      </c>
      <c r="C950" s="73"/>
      <c r="D950" s="73"/>
      <c r="E950" s="145">
        <v>21061.52</v>
      </c>
    </row>
    <row r="951" spans="2:5" ht="16.5" x14ac:dyDescent="0.3">
      <c r="B951" s="236">
        <v>44277</v>
      </c>
      <c r="C951" s="73"/>
      <c r="D951" s="73"/>
      <c r="E951" s="145">
        <v>20947.650000000001</v>
      </c>
    </row>
    <row r="952" spans="2:5" ht="16.5" x14ac:dyDescent="0.3">
      <c r="B952" s="236">
        <v>44274</v>
      </c>
      <c r="C952" s="73"/>
      <c r="D952" s="73"/>
      <c r="E952" s="145">
        <v>20956.87</v>
      </c>
    </row>
    <row r="953" spans="2:5" ht="16.5" x14ac:dyDescent="0.3">
      <c r="B953" s="236">
        <v>44273</v>
      </c>
      <c r="C953" s="73"/>
      <c r="D953" s="73"/>
      <c r="E953" s="145">
        <v>20692.34</v>
      </c>
    </row>
    <row r="954" spans="2:5" ht="16.5" x14ac:dyDescent="0.3">
      <c r="B954" s="236">
        <v>44272</v>
      </c>
      <c r="C954" s="73"/>
      <c r="D954" s="73"/>
      <c r="E954" s="145">
        <v>20924.61</v>
      </c>
    </row>
    <row r="955" spans="2:5" ht="16.5" x14ac:dyDescent="0.3">
      <c r="B955" s="236">
        <v>44271</v>
      </c>
      <c r="C955" s="73"/>
      <c r="D955" s="73"/>
      <c r="E955" s="145">
        <v>21193.46</v>
      </c>
    </row>
    <row r="956" spans="2:5" ht="16.5" x14ac:dyDescent="0.3">
      <c r="B956" s="236">
        <v>44270</v>
      </c>
      <c r="C956" s="73"/>
      <c r="D956" s="73"/>
      <c r="E956" s="145">
        <v>21220.59</v>
      </c>
    </row>
    <row r="957" spans="2:5" ht="16.5" x14ac:dyDescent="0.3">
      <c r="B957" s="236">
        <v>44267</v>
      </c>
      <c r="C957" s="73"/>
      <c r="D957" s="73"/>
      <c r="E957" s="145">
        <v>21361.29</v>
      </c>
    </row>
    <row r="958" spans="2:5" ht="16.5" x14ac:dyDescent="0.3">
      <c r="B958" s="236">
        <v>44265</v>
      </c>
      <c r="C958" s="73"/>
      <c r="D958" s="73"/>
      <c r="E958" s="145">
        <v>21565.72</v>
      </c>
    </row>
    <row r="959" spans="2:5" ht="16.5" x14ac:dyDescent="0.3">
      <c r="B959" s="236">
        <v>44264</v>
      </c>
      <c r="C959" s="73"/>
      <c r="D959" s="73"/>
      <c r="E959" s="145">
        <v>21457.17</v>
      </c>
    </row>
    <row r="960" spans="2:5" ht="16.5" x14ac:dyDescent="0.3">
      <c r="B960" s="236">
        <v>44263</v>
      </c>
      <c r="C960" s="73"/>
      <c r="D960" s="73"/>
      <c r="E960" s="145">
        <v>21255.06</v>
      </c>
    </row>
    <row r="961" spans="2:5" ht="16.5" x14ac:dyDescent="0.3">
      <c r="B961" s="236">
        <v>44260</v>
      </c>
      <c r="C961" s="73"/>
      <c r="D961" s="73"/>
      <c r="E961" s="145">
        <v>21225.94</v>
      </c>
    </row>
    <row r="962" spans="2:5" ht="16.5" x14ac:dyDescent="0.3">
      <c r="B962" s="236">
        <v>44259</v>
      </c>
      <c r="C962" s="73"/>
      <c r="D962" s="73"/>
      <c r="E962" s="145">
        <v>21428.63</v>
      </c>
    </row>
    <row r="963" spans="2:5" ht="16.5" x14ac:dyDescent="0.3">
      <c r="B963" s="236">
        <v>44258</v>
      </c>
      <c r="C963" s="73"/>
      <c r="D963" s="73"/>
      <c r="E963" s="145">
        <v>21662.92</v>
      </c>
    </row>
    <row r="964" spans="2:5" ht="16.5" x14ac:dyDescent="0.3">
      <c r="B964" s="236">
        <v>44257</v>
      </c>
      <c r="C964" s="73"/>
      <c r="D964" s="73"/>
      <c r="E964" s="145">
        <v>21198.93</v>
      </c>
    </row>
    <row r="965" spans="2:5" ht="16.5" x14ac:dyDescent="0.3">
      <c r="B965" s="236">
        <v>44256</v>
      </c>
      <c r="C965" s="73"/>
      <c r="D965" s="73"/>
      <c r="E965" s="145">
        <v>20975.08</v>
      </c>
    </row>
    <row r="966" spans="2:5" ht="16.5" x14ac:dyDescent="0.3">
      <c r="B966" s="236">
        <v>44253</v>
      </c>
      <c r="C966" s="73"/>
      <c r="D966" s="73"/>
      <c r="E966" s="145">
        <v>20644.88</v>
      </c>
    </row>
    <row r="967" spans="2:5" ht="16.5" x14ac:dyDescent="0.3">
      <c r="B967" s="236">
        <v>44252</v>
      </c>
      <c r="C967" s="73"/>
      <c r="D967" s="73"/>
      <c r="E967" s="145">
        <v>21452.240000000002</v>
      </c>
    </row>
    <row r="968" spans="2:5" ht="16.5" x14ac:dyDescent="0.3">
      <c r="B968" s="236">
        <v>44251</v>
      </c>
      <c r="C968" s="73"/>
      <c r="D968" s="73"/>
      <c r="E968" s="145">
        <v>21288.35</v>
      </c>
    </row>
    <row r="969" spans="2:5" ht="16.5" x14ac:dyDescent="0.3">
      <c r="B969" s="236">
        <v>44250</v>
      </c>
      <c r="C969" s="73"/>
      <c r="D969" s="73"/>
      <c r="E969" s="145">
        <v>20898.75</v>
      </c>
    </row>
    <row r="970" spans="2:5" ht="16.5" x14ac:dyDescent="0.3">
      <c r="B970" s="236">
        <v>44249</v>
      </c>
      <c r="C970" s="73"/>
      <c r="D970" s="73"/>
      <c r="E970" s="145">
        <v>20853.12</v>
      </c>
    </row>
    <row r="971" spans="2:5" ht="16.5" x14ac:dyDescent="0.3">
      <c r="B971" s="236">
        <v>44246</v>
      </c>
      <c r="C971" s="73"/>
      <c r="D971" s="73"/>
      <c r="E971" s="145">
        <v>21273.279999999999</v>
      </c>
    </row>
    <row r="972" spans="2:5" ht="16.5" x14ac:dyDescent="0.3">
      <c r="B972" s="236">
        <v>44245</v>
      </c>
      <c r="C972" s="73"/>
      <c r="D972" s="73"/>
      <c r="E972" s="145">
        <v>21468.11</v>
      </c>
    </row>
    <row r="973" spans="2:5" ht="16.5" x14ac:dyDescent="0.3">
      <c r="B973" s="236">
        <v>44244</v>
      </c>
      <c r="C973" s="73"/>
      <c r="D973" s="73"/>
      <c r="E973" s="145">
        <v>21595.82</v>
      </c>
    </row>
    <row r="974" spans="2:5" ht="16.5" x14ac:dyDescent="0.3">
      <c r="B974" s="236">
        <v>44243</v>
      </c>
      <c r="C974" s="73"/>
      <c r="D974" s="73"/>
      <c r="E974" s="145">
        <v>21737.9</v>
      </c>
    </row>
    <row r="975" spans="2:5" ht="16.5" x14ac:dyDescent="0.3">
      <c r="B975" s="236">
        <v>44242</v>
      </c>
      <c r="C975" s="73"/>
      <c r="D975" s="73"/>
      <c r="E975" s="145">
        <v>21739.69</v>
      </c>
    </row>
    <row r="976" spans="2:5" ht="16.5" x14ac:dyDescent="0.3">
      <c r="B976" s="236">
        <v>44239</v>
      </c>
      <c r="C976" s="73"/>
      <c r="D976" s="73"/>
      <c r="E976" s="145">
        <v>21521.82</v>
      </c>
    </row>
    <row r="977" spans="2:5" ht="16.5" x14ac:dyDescent="0.3">
      <c r="B977" s="236">
        <v>44238</v>
      </c>
      <c r="C977" s="73"/>
      <c r="D977" s="73"/>
      <c r="E977" s="145">
        <v>21536</v>
      </c>
    </row>
    <row r="978" spans="2:5" ht="16.5" x14ac:dyDescent="0.3">
      <c r="B978" s="236">
        <v>44237</v>
      </c>
      <c r="C978" s="73"/>
      <c r="D978" s="73"/>
      <c r="E978" s="145">
        <v>21436.44</v>
      </c>
    </row>
    <row r="979" spans="2:5" ht="16.5" x14ac:dyDescent="0.3">
      <c r="B979" s="236">
        <v>44236</v>
      </c>
      <c r="C979" s="73"/>
      <c r="D979" s="73"/>
      <c r="E979" s="145">
        <v>21440.42</v>
      </c>
    </row>
    <row r="980" spans="2:5" ht="16.5" x14ac:dyDescent="0.3">
      <c r="B980" s="236">
        <v>44235</v>
      </c>
      <c r="C980" s="73"/>
      <c r="D980" s="73"/>
      <c r="E980" s="145">
        <v>21447.64</v>
      </c>
    </row>
    <row r="981" spans="2:5" ht="16.5" x14ac:dyDescent="0.3">
      <c r="B981" s="236">
        <v>44232</v>
      </c>
      <c r="C981" s="73"/>
      <c r="D981" s="73"/>
      <c r="E981" s="145">
        <v>21175.89</v>
      </c>
    </row>
    <row r="982" spans="2:5" ht="16.5" x14ac:dyDescent="0.3">
      <c r="B982" s="236">
        <v>44231</v>
      </c>
      <c r="C982" s="73"/>
      <c r="D982" s="73"/>
      <c r="E982" s="145">
        <v>21135.31</v>
      </c>
    </row>
    <row r="983" spans="2:5" ht="16.5" x14ac:dyDescent="0.3">
      <c r="B983" s="236">
        <v>44230</v>
      </c>
      <c r="C983" s="73"/>
      <c r="D983" s="73"/>
      <c r="E983" s="145">
        <v>20985.32</v>
      </c>
    </row>
    <row r="984" spans="2:5" ht="16.5" x14ac:dyDescent="0.3">
      <c r="B984" s="236">
        <v>44229</v>
      </c>
      <c r="C984" s="73"/>
      <c r="D984" s="73"/>
      <c r="E984" s="145">
        <v>20783.689999999999</v>
      </c>
    </row>
    <row r="985" spans="2:5" ht="16.5" x14ac:dyDescent="0.3">
      <c r="B985" s="236">
        <v>44228</v>
      </c>
      <c r="C985" s="73"/>
      <c r="D985" s="73"/>
      <c r="E985" s="145">
        <v>20263.439999999999</v>
      </c>
    </row>
    <row r="986" spans="2:5" ht="16.5" x14ac:dyDescent="0.3">
      <c r="B986" s="236">
        <v>44225</v>
      </c>
      <c r="C986" s="73"/>
      <c r="D986" s="73"/>
      <c r="E986" s="145">
        <v>19346.03</v>
      </c>
    </row>
    <row r="987" spans="2:5" ht="16.5" x14ac:dyDescent="0.3">
      <c r="B987" s="236">
        <v>44224</v>
      </c>
      <c r="C987" s="73"/>
      <c r="D987" s="73"/>
      <c r="E987" s="145">
        <v>19605.59</v>
      </c>
    </row>
    <row r="988" spans="2:5" ht="16.5" x14ac:dyDescent="0.3">
      <c r="B988" s="236">
        <v>44223</v>
      </c>
      <c r="C988" s="73"/>
      <c r="D988" s="73"/>
      <c r="E988" s="145">
        <v>19818.34</v>
      </c>
    </row>
    <row r="989" spans="2:5" ht="16.5" x14ac:dyDescent="0.3">
      <c r="B989" s="236">
        <v>44221</v>
      </c>
      <c r="C989" s="73"/>
      <c r="D989" s="73"/>
      <c r="E989" s="145">
        <v>20201.900000000001</v>
      </c>
    </row>
    <row r="990" spans="2:5" ht="16.5" x14ac:dyDescent="0.3">
      <c r="B990" s="236">
        <v>44218</v>
      </c>
      <c r="C990" s="73"/>
      <c r="D990" s="73"/>
      <c r="E990" s="145">
        <v>20390.57</v>
      </c>
    </row>
    <row r="991" spans="2:5" ht="16.5" x14ac:dyDescent="0.3">
      <c r="B991" s="236">
        <v>44217</v>
      </c>
      <c r="C991" s="73"/>
      <c r="D991" s="73"/>
      <c r="E991" s="145">
        <v>20700.02</v>
      </c>
    </row>
    <row r="992" spans="2:5" ht="16.5" x14ac:dyDescent="0.3">
      <c r="B992" s="236">
        <v>44216</v>
      </c>
      <c r="C992" s="73"/>
      <c r="D992" s="73"/>
      <c r="E992" s="145">
        <v>20775.669999999998</v>
      </c>
    </row>
    <row r="993" spans="2:5" ht="16.5" x14ac:dyDescent="0.3">
      <c r="B993" s="236">
        <v>44215</v>
      </c>
      <c r="C993" s="73"/>
      <c r="D993" s="73"/>
      <c r="E993" s="145">
        <v>20600.41</v>
      </c>
    </row>
    <row r="994" spans="2:5" ht="16.5" x14ac:dyDescent="0.3">
      <c r="B994" s="236">
        <v>44214</v>
      </c>
      <c r="C994" s="73"/>
      <c r="D994" s="73"/>
      <c r="E994" s="145">
        <v>20260.18</v>
      </c>
    </row>
    <row r="995" spans="2:5" ht="16.5" x14ac:dyDescent="0.3">
      <c r="B995" s="236">
        <v>44211</v>
      </c>
      <c r="C995" s="73"/>
      <c r="D995" s="73"/>
      <c r="E995" s="145">
        <v>20476.38</v>
      </c>
    </row>
    <row r="996" spans="2:5" ht="16.5" x14ac:dyDescent="0.3">
      <c r="B996" s="236">
        <v>44210</v>
      </c>
      <c r="C996" s="73"/>
      <c r="D996" s="73"/>
      <c r="E996" s="145">
        <v>20706.07</v>
      </c>
    </row>
    <row r="997" spans="2:5" ht="16.5" x14ac:dyDescent="0.3">
      <c r="B997" s="236">
        <v>44209</v>
      </c>
      <c r="C997" s="73"/>
      <c r="D997" s="73"/>
      <c r="E997" s="145">
        <v>20660.349999999999</v>
      </c>
    </row>
    <row r="998" spans="2:5" ht="16.5" x14ac:dyDescent="0.3">
      <c r="B998" s="236">
        <v>44208</v>
      </c>
      <c r="C998" s="73"/>
      <c r="D998" s="73"/>
      <c r="E998" s="145">
        <v>20658.34</v>
      </c>
    </row>
    <row r="999" spans="2:5" ht="16.5" x14ac:dyDescent="0.3">
      <c r="B999" s="236">
        <v>44207</v>
      </c>
      <c r="C999" s="73"/>
      <c r="D999" s="73"/>
      <c r="E999" s="145">
        <v>20546.740000000002</v>
      </c>
    </row>
    <row r="1000" spans="2:5" ht="16.5" x14ac:dyDescent="0.3">
      <c r="B1000" s="236">
        <v>44204</v>
      </c>
      <c r="C1000" s="73"/>
      <c r="D1000" s="73"/>
      <c r="E1000" s="145">
        <v>20351.669999999998</v>
      </c>
    </row>
    <row r="1001" spans="2:5" ht="16.5" x14ac:dyDescent="0.3">
      <c r="B1001" s="236">
        <v>44203</v>
      </c>
      <c r="C1001" s="73"/>
      <c r="D1001" s="73"/>
      <c r="E1001" s="145">
        <v>20053.97</v>
      </c>
    </row>
    <row r="1002" spans="2:5" ht="16.5" x14ac:dyDescent="0.3">
      <c r="B1002" s="236">
        <v>44202</v>
      </c>
      <c r="C1002" s="73"/>
      <c r="D1002" s="73"/>
      <c r="E1002" s="145">
        <v>20066.560000000001</v>
      </c>
    </row>
    <row r="1003" spans="2:5" ht="16.5" x14ac:dyDescent="0.3">
      <c r="B1003" s="236">
        <v>44201</v>
      </c>
      <c r="C1003" s="73"/>
      <c r="D1003" s="73"/>
      <c r="E1003" s="145">
        <v>20142.13</v>
      </c>
    </row>
    <row r="1004" spans="2:5" ht="16.5" x14ac:dyDescent="0.3">
      <c r="B1004" s="236">
        <v>44200</v>
      </c>
      <c r="C1004" s="73"/>
      <c r="D1004" s="73"/>
      <c r="E1004" s="145">
        <v>20047.61</v>
      </c>
    </row>
    <row r="1005" spans="2:5" ht="16.5" x14ac:dyDescent="0.3">
      <c r="B1005" s="236">
        <v>44197</v>
      </c>
      <c r="C1005" s="73"/>
      <c r="D1005" s="73"/>
      <c r="E1005" s="145">
        <v>19885.36</v>
      </c>
    </row>
    <row r="1006" spans="2:5" ht="16.5" x14ac:dyDescent="0.3">
      <c r="B1006" s="236">
        <v>44196</v>
      </c>
      <c r="C1006" s="73"/>
      <c r="D1006" s="73"/>
      <c r="E1006" s="145">
        <v>19833.189999999999</v>
      </c>
    </row>
    <row r="1007" spans="2:5" ht="16.5" x14ac:dyDescent="0.3">
      <c r="B1007" s="236">
        <v>44195</v>
      </c>
      <c r="C1007" s="73"/>
      <c r="D1007" s="73"/>
      <c r="E1007" s="145">
        <v>19833.53</v>
      </c>
    </row>
    <row r="1008" spans="2:5" ht="16.5" x14ac:dyDescent="0.3">
      <c r="B1008" s="236">
        <v>44194</v>
      </c>
      <c r="C1008" s="73"/>
      <c r="D1008" s="73"/>
      <c r="E1008" s="145">
        <v>19763.509999999998</v>
      </c>
    </row>
    <row r="1009" spans="2:5" ht="16.5" x14ac:dyDescent="0.3">
      <c r="B1009" s="236">
        <v>44193</v>
      </c>
      <c r="C1009" s="73"/>
      <c r="D1009" s="73"/>
      <c r="E1009" s="145">
        <v>19679.240000000002</v>
      </c>
    </row>
    <row r="1010" spans="2:5" ht="16.5" x14ac:dyDescent="0.3">
      <c r="B1010" s="236">
        <v>44189</v>
      </c>
      <c r="C1010" s="73"/>
      <c r="D1010" s="73"/>
      <c r="E1010" s="145">
        <v>19503.400000000001</v>
      </c>
    </row>
    <row r="1011" spans="2:5" ht="16.5" x14ac:dyDescent="0.3">
      <c r="B1011" s="236">
        <v>44188</v>
      </c>
      <c r="C1011" s="73"/>
      <c r="D1011" s="73"/>
      <c r="E1011" s="145">
        <v>19293.259999999998</v>
      </c>
    </row>
    <row r="1012" spans="2:5" ht="16.5" x14ac:dyDescent="0.3">
      <c r="B1012" s="236">
        <v>44187</v>
      </c>
      <c r="C1012" s="73"/>
      <c r="D1012" s="73"/>
      <c r="E1012" s="145">
        <v>19102.060000000001</v>
      </c>
    </row>
    <row r="1013" spans="2:5" ht="16.5" x14ac:dyDescent="0.3">
      <c r="B1013" s="236">
        <v>44186</v>
      </c>
      <c r="C1013" s="73"/>
      <c r="D1013" s="73"/>
      <c r="E1013" s="145">
        <v>18906.45</v>
      </c>
    </row>
    <row r="1014" spans="2:5" ht="16.5" x14ac:dyDescent="0.3">
      <c r="B1014" s="236">
        <v>44183</v>
      </c>
      <c r="C1014" s="73"/>
      <c r="D1014" s="73"/>
      <c r="E1014" s="145">
        <v>19519.419999999998</v>
      </c>
    </row>
    <row r="1015" spans="2:5" ht="16.5" x14ac:dyDescent="0.3">
      <c r="B1015" s="236">
        <v>44182</v>
      </c>
      <c r="C1015" s="73"/>
      <c r="D1015" s="73"/>
      <c r="E1015" s="145">
        <v>19491.3</v>
      </c>
    </row>
    <row r="1016" spans="2:5" ht="16.5" x14ac:dyDescent="0.3">
      <c r="B1016" s="236">
        <v>44181</v>
      </c>
      <c r="C1016" s="73"/>
      <c r="D1016" s="73"/>
      <c r="E1016" s="145">
        <v>19404.8</v>
      </c>
    </row>
    <row r="1017" spans="2:5" ht="16.5" x14ac:dyDescent="0.3">
      <c r="B1017" s="236">
        <v>44180</v>
      </c>
      <c r="C1017" s="73"/>
      <c r="D1017" s="73"/>
      <c r="E1017" s="145">
        <v>19241.900000000001</v>
      </c>
    </row>
    <row r="1018" spans="2:5" ht="16.5" x14ac:dyDescent="0.3">
      <c r="B1018" s="236">
        <v>44179</v>
      </c>
      <c r="C1018" s="73"/>
      <c r="D1018" s="73"/>
      <c r="E1018" s="145">
        <v>19228.16</v>
      </c>
    </row>
    <row r="1019" spans="2:5" ht="16.5" x14ac:dyDescent="0.3">
      <c r="B1019" s="236">
        <v>44176</v>
      </c>
      <c r="C1019" s="73"/>
      <c r="D1019" s="73"/>
      <c r="E1019" s="145">
        <v>19165.330000000002</v>
      </c>
    </row>
    <row r="1020" spans="2:5" ht="16.5" x14ac:dyDescent="0.3">
      <c r="B1020" s="236">
        <v>44175</v>
      </c>
      <c r="C1020" s="73"/>
      <c r="D1020" s="73"/>
      <c r="E1020" s="145">
        <v>19114.96</v>
      </c>
    </row>
    <row r="1021" spans="2:5" ht="16.5" x14ac:dyDescent="0.3">
      <c r="B1021" s="236">
        <v>44174</v>
      </c>
      <c r="C1021" s="73"/>
      <c r="D1021" s="73"/>
      <c r="E1021" s="145">
        <v>19186.95</v>
      </c>
    </row>
    <row r="1022" spans="2:5" ht="16.5" x14ac:dyDescent="0.3">
      <c r="B1022" s="236">
        <v>44173</v>
      </c>
      <c r="C1022" s="73"/>
      <c r="D1022" s="73"/>
      <c r="E1022" s="145">
        <v>18993.86</v>
      </c>
    </row>
    <row r="1023" spans="2:5" ht="16.5" x14ac:dyDescent="0.3">
      <c r="B1023" s="236">
        <v>44172</v>
      </c>
      <c r="C1023" s="73"/>
      <c r="D1023" s="73"/>
      <c r="E1023" s="145">
        <v>18941.150000000001</v>
      </c>
    </row>
    <row r="1024" spans="2:5" ht="16.5" x14ac:dyDescent="0.3">
      <c r="B1024" s="236">
        <v>44169</v>
      </c>
      <c r="C1024" s="73"/>
      <c r="D1024" s="73"/>
      <c r="E1024" s="145">
        <v>18803.27</v>
      </c>
    </row>
    <row r="1025" spans="2:5" ht="16.5" x14ac:dyDescent="0.3">
      <c r="B1025" s="236">
        <v>44168</v>
      </c>
      <c r="C1025" s="73"/>
      <c r="D1025" s="73"/>
      <c r="E1025" s="145">
        <v>18626.53</v>
      </c>
    </row>
    <row r="1026" spans="2:5" ht="16.5" x14ac:dyDescent="0.3">
      <c r="B1026" s="236">
        <v>44167</v>
      </c>
      <c r="C1026" s="73"/>
      <c r="D1026" s="73"/>
      <c r="E1026" s="145">
        <v>18597.900000000001</v>
      </c>
    </row>
    <row r="1027" spans="2:5" ht="16.5" x14ac:dyDescent="0.3">
      <c r="B1027" s="236">
        <v>44166</v>
      </c>
      <c r="C1027" s="73"/>
      <c r="D1027" s="73"/>
      <c r="E1027" s="145">
        <v>18591.25</v>
      </c>
    </row>
    <row r="1028" spans="2:5" ht="16.5" x14ac:dyDescent="0.3">
      <c r="B1028" s="236">
        <v>44162</v>
      </c>
      <c r="C1028" s="73"/>
      <c r="D1028" s="73"/>
      <c r="E1028" s="145">
        <v>18392.54</v>
      </c>
    </row>
    <row r="1029" spans="2:5" ht="16.5" x14ac:dyDescent="0.3">
      <c r="B1029" s="236">
        <v>44161</v>
      </c>
      <c r="C1029" s="73"/>
      <c r="D1029" s="73"/>
      <c r="E1029" s="145">
        <v>18418.16</v>
      </c>
    </row>
    <row r="1030" spans="2:5" ht="16.5" x14ac:dyDescent="0.3">
      <c r="B1030" s="236">
        <v>44160</v>
      </c>
      <c r="C1030" s="73"/>
      <c r="D1030" s="73"/>
      <c r="E1030" s="145">
        <v>18235.759999999998</v>
      </c>
    </row>
    <row r="1031" spans="2:5" ht="16.5" x14ac:dyDescent="0.3">
      <c r="B1031" s="236">
        <v>44159</v>
      </c>
      <c r="C1031" s="73"/>
      <c r="D1031" s="73"/>
      <c r="E1031" s="145">
        <v>18514.82</v>
      </c>
    </row>
    <row r="1032" spans="2:5" ht="16.5" x14ac:dyDescent="0.3">
      <c r="B1032" s="236">
        <v>44158</v>
      </c>
      <c r="C1032" s="73"/>
      <c r="D1032" s="73"/>
      <c r="E1032" s="145">
        <v>18332.330000000002</v>
      </c>
    </row>
    <row r="1033" spans="2:5" ht="16.5" x14ac:dyDescent="0.3">
      <c r="B1033" s="236">
        <v>44155</v>
      </c>
      <c r="C1033" s="73"/>
      <c r="D1033" s="73"/>
      <c r="E1033" s="145">
        <v>18236.68</v>
      </c>
    </row>
    <row r="1034" spans="2:5" ht="16.5" x14ac:dyDescent="0.3">
      <c r="B1034" s="236">
        <v>44154</v>
      </c>
      <c r="C1034" s="73"/>
      <c r="D1034" s="73"/>
      <c r="E1034" s="145">
        <v>18112.830000000002</v>
      </c>
    </row>
    <row r="1035" spans="2:5" ht="16.5" x14ac:dyDescent="0.3">
      <c r="B1035" s="236">
        <v>44153</v>
      </c>
      <c r="C1035" s="73"/>
      <c r="D1035" s="73"/>
      <c r="E1035" s="145">
        <v>18349.02</v>
      </c>
    </row>
    <row r="1036" spans="2:5" ht="16.5" x14ac:dyDescent="0.3">
      <c r="B1036" s="236">
        <v>44152</v>
      </c>
      <c r="C1036" s="73"/>
      <c r="D1036" s="73"/>
      <c r="E1036" s="145">
        <v>18258.23</v>
      </c>
    </row>
    <row r="1037" spans="2:5" ht="16.5" x14ac:dyDescent="0.3">
      <c r="B1037" s="236">
        <v>44149</v>
      </c>
      <c r="C1037" s="73"/>
      <c r="D1037" s="73"/>
      <c r="E1037" s="145">
        <v>18124.93</v>
      </c>
    </row>
    <row r="1038" spans="2:5" ht="16.5" x14ac:dyDescent="0.3">
      <c r="B1038" s="236">
        <v>44148</v>
      </c>
      <c r="C1038" s="73"/>
      <c r="D1038" s="73"/>
      <c r="E1038" s="145">
        <v>18039.439999999999</v>
      </c>
    </row>
    <row r="1039" spans="2:5" ht="16.5" x14ac:dyDescent="0.3">
      <c r="B1039" s="236">
        <v>44147</v>
      </c>
      <c r="C1039" s="73"/>
      <c r="D1039" s="73"/>
      <c r="E1039" s="145">
        <v>17998.11</v>
      </c>
    </row>
    <row r="1040" spans="2:5" ht="16.5" x14ac:dyDescent="0.3">
      <c r="B1040" s="236">
        <v>44146</v>
      </c>
      <c r="C1040" s="73"/>
      <c r="D1040" s="73"/>
      <c r="E1040" s="145">
        <v>18080.84</v>
      </c>
    </row>
    <row r="1041" spans="2:5" ht="16.5" x14ac:dyDescent="0.3">
      <c r="B1041" s="236">
        <v>44145</v>
      </c>
      <c r="C1041" s="73"/>
      <c r="D1041" s="73"/>
      <c r="E1041" s="145">
        <v>17913.400000000001</v>
      </c>
    </row>
    <row r="1042" spans="2:5" ht="16.5" x14ac:dyDescent="0.3">
      <c r="B1042" s="236">
        <v>44144</v>
      </c>
      <c r="C1042" s="73"/>
      <c r="D1042" s="73"/>
      <c r="E1042" s="145">
        <v>17672.25</v>
      </c>
    </row>
    <row r="1043" spans="2:5" ht="16.5" x14ac:dyDescent="0.3">
      <c r="B1043" s="236">
        <v>44141</v>
      </c>
      <c r="C1043" s="73"/>
      <c r="D1043" s="73"/>
      <c r="E1043" s="145">
        <v>17392.14</v>
      </c>
    </row>
    <row r="1044" spans="2:5" ht="16.5" x14ac:dyDescent="0.3">
      <c r="B1044" s="236">
        <v>44140</v>
      </c>
      <c r="C1044" s="73"/>
      <c r="D1044" s="73"/>
      <c r="E1044" s="145">
        <v>17189.03</v>
      </c>
    </row>
    <row r="1045" spans="2:5" ht="16.5" x14ac:dyDescent="0.3">
      <c r="B1045" s="236">
        <v>44139</v>
      </c>
      <c r="C1045" s="73"/>
      <c r="D1045" s="73"/>
      <c r="E1045" s="145">
        <v>16888.650000000001</v>
      </c>
    </row>
    <row r="1046" spans="2:5" ht="16.5" x14ac:dyDescent="0.3">
      <c r="B1046" s="236">
        <v>44138</v>
      </c>
      <c r="C1046" s="73"/>
      <c r="D1046" s="73"/>
      <c r="E1046" s="145">
        <v>16746.75</v>
      </c>
    </row>
    <row r="1047" spans="2:5" ht="16.5" x14ac:dyDescent="0.3">
      <c r="B1047" s="236">
        <v>44137</v>
      </c>
      <c r="C1047" s="73"/>
      <c r="D1047" s="73"/>
      <c r="E1047" s="145">
        <v>16542.080000000002</v>
      </c>
    </row>
    <row r="1048" spans="2:5" ht="16.5" x14ac:dyDescent="0.3">
      <c r="B1048" s="236">
        <v>44134</v>
      </c>
      <c r="C1048" s="73"/>
      <c r="D1048" s="73"/>
      <c r="E1048" s="145">
        <v>16504.16</v>
      </c>
    </row>
    <row r="1049" spans="2:5" ht="16.5" x14ac:dyDescent="0.3">
      <c r="B1049" s="236">
        <v>44133</v>
      </c>
      <c r="C1049" s="73"/>
      <c r="D1049" s="73"/>
      <c r="E1049" s="145">
        <v>16544.45</v>
      </c>
    </row>
    <row r="1050" spans="2:5" ht="16.5" x14ac:dyDescent="0.3">
      <c r="B1050" s="236">
        <v>44132</v>
      </c>
      <c r="C1050" s="73"/>
      <c r="D1050" s="73"/>
      <c r="E1050" s="145">
        <v>16623.13</v>
      </c>
    </row>
    <row r="1051" spans="2:5" ht="16.5" x14ac:dyDescent="0.3">
      <c r="B1051" s="236">
        <v>44131</v>
      </c>
      <c r="C1051" s="73"/>
      <c r="D1051" s="73"/>
      <c r="E1051" s="145">
        <v>16844.96</v>
      </c>
    </row>
    <row r="1052" spans="2:5" ht="16.5" x14ac:dyDescent="0.3">
      <c r="B1052" s="236">
        <v>44130</v>
      </c>
      <c r="C1052" s="73"/>
      <c r="D1052" s="73"/>
      <c r="E1052" s="145">
        <v>16672.62</v>
      </c>
    </row>
    <row r="1053" spans="2:5" ht="16.5" x14ac:dyDescent="0.3">
      <c r="B1053" s="236">
        <v>44127</v>
      </c>
      <c r="C1053" s="73"/>
      <c r="D1053" s="73"/>
      <c r="E1053" s="145">
        <v>16902.96</v>
      </c>
    </row>
    <row r="1054" spans="2:5" ht="16.5" x14ac:dyDescent="0.3">
      <c r="B1054" s="236">
        <v>44126</v>
      </c>
      <c r="C1054" s="73"/>
      <c r="D1054" s="73"/>
      <c r="E1054" s="145">
        <v>16840.52</v>
      </c>
    </row>
    <row r="1055" spans="2:5" ht="16.5" x14ac:dyDescent="0.3">
      <c r="B1055" s="236">
        <v>44125</v>
      </c>
      <c r="C1055" s="73"/>
      <c r="D1055" s="73"/>
      <c r="E1055" s="145">
        <v>16897.43</v>
      </c>
    </row>
    <row r="1056" spans="2:5" ht="16.5" x14ac:dyDescent="0.3">
      <c r="B1056" s="236">
        <v>44124</v>
      </c>
      <c r="C1056" s="73"/>
      <c r="D1056" s="73"/>
      <c r="E1056" s="145">
        <v>16839.599999999999</v>
      </c>
    </row>
    <row r="1057" spans="2:5" ht="16.5" x14ac:dyDescent="0.3">
      <c r="B1057" s="236">
        <v>44123</v>
      </c>
      <c r="C1057" s="73"/>
      <c r="D1057" s="73"/>
      <c r="E1057" s="145">
        <v>16805.97</v>
      </c>
    </row>
    <row r="1058" spans="2:5" ht="16.5" x14ac:dyDescent="0.3">
      <c r="B1058" s="236">
        <v>44120</v>
      </c>
      <c r="C1058" s="73"/>
      <c r="D1058" s="73"/>
      <c r="E1058" s="145">
        <v>16649.46</v>
      </c>
    </row>
    <row r="1059" spans="2:5" ht="16.5" x14ac:dyDescent="0.3">
      <c r="B1059" s="236">
        <v>44119</v>
      </c>
      <c r="C1059" s="73"/>
      <c r="D1059" s="73"/>
      <c r="E1059" s="145">
        <v>16533.240000000002</v>
      </c>
    </row>
    <row r="1060" spans="2:5" ht="16.5" x14ac:dyDescent="0.3">
      <c r="B1060" s="236">
        <v>44118</v>
      </c>
      <c r="C1060" s="73"/>
      <c r="D1060" s="73"/>
      <c r="E1060" s="145">
        <v>16944.73</v>
      </c>
    </row>
    <row r="1061" spans="2:5" ht="16.5" x14ac:dyDescent="0.3">
      <c r="B1061" s="236">
        <v>44117</v>
      </c>
      <c r="C1061" s="73"/>
      <c r="D1061" s="73"/>
      <c r="E1061" s="145">
        <v>16888.87</v>
      </c>
    </row>
    <row r="1062" spans="2:5" ht="16.5" x14ac:dyDescent="0.3">
      <c r="B1062" s="236">
        <v>44116</v>
      </c>
      <c r="C1062" s="73"/>
      <c r="D1062" s="73"/>
      <c r="E1062" s="145">
        <v>16883.84</v>
      </c>
    </row>
    <row r="1063" spans="2:5" ht="16.5" x14ac:dyDescent="0.3">
      <c r="B1063" s="236">
        <v>44113</v>
      </c>
      <c r="C1063" s="73"/>
      <c r="D1063" s="73"/>
      <c r="E1063" s="145">
        <v>16860.11</v>
      </c>
    </row>
    <row r="1064" spans="2:5" ht="16.5" x14ac:dyDescent="0.3">
      <c r="B1064" s="236">
        <v>44112</v>
      </c>
      <c r="C1064" s="73"/>
      <c r="D1064" s="73"/>
      <c r="E1064" s="145">
        <v>16747.48</v>
      </c>
    </row>
    <row r="1065" spans="2:5" ht="16.5" x14ac:dyDescent="0.3">
      <c r="B1065" s="236">
        <v>44111</v>
      </c>
      <c r="C1065" s="73"/>
      <c r="D1065" s="73"/>
      <c r="E1065" s="145">
        <v>16611.96</v>
      </c>
    </row>
    <row r="1066" spans="2:5" ht="16.5" x14ac:dyDescent="0.3">
      <c r="B1066" s="236">
        <v>44110</v>
      </c>
      <c r="C1066" s="73"/>
      <c r="D1066" s="73"/>
      <c r="E1066" s="145">
        <v>16503.77</v>
      </c>
    </row>
    <row r="1067" spans="2:5" ht="16.5" x14ac:dyDescent="0.3">
      <c r="B1067" s="236">
        <v>44109</v>
      </c>
      <c r="C1067" s="73"/>
      <c r="D1067" s="73"/>
      <c r="E1067" s="145">
        <v>16278.72</v>
      </c>
    </row>
    <row r="1068" spans="2:5" ht="16.5" x14ac:dyDescent="0.3">
      <c r="B1068" s="236">
        <v>44105</v>
      </c>
      <c r="C1068" s="73"/>
      <c r="D1068" s="73"/>
      <c r="E1068" s="145">
        <v>16156.44</v>
      </c>
    </row>
    <row r="1069" spans="2:5" ht="16.5" x14ac:dyDescent="0.3">
      <c r="B1069" s="236">
        <v>44104</v>
      </c>
      <c r="C1069" s="73"/>
      <c r="D1069" s="73"/>
      <c r="E1069" s="145">
        <v>15916.72</v>
      </c>
    </row>
    <row r="1070" spans="2:5" ht="16.5" x14ac:dyDescent="0.3">
      <c r="B1070" s="236">
        <v>44103</v>
      </c>
      <c r="C1070" s="73"/>
      <c r="D1070" s="73"/>
      <c r="E1070" s="145">
        <v>15881.16</v>
      </c>
    </row>
    <row r="1071" spans="2:5" ht="16.5" x14ac:dyDescent="0.3">
      <c r="B1071" s="236">
        <v>44102</v>
      </c>
      <c r="C1071" s="73"/>
      <c r="D1071" s="73"/>
      <c r="E1071" s="145">
        <v>15888.44</v>
      </c>
    </row>
    <row r="1072" spans="2:5" ht="16.5" x14ac:dyDescent="0.3">
      <c r="B1072" s="236">
        <v>44099</v>
      </c>
      <c r="C1072" s="73"/>
      <c r="D1072" s="73"/>
      <c r="E1072" s="145">
        <v>15637.53</v>
      </c>
    </row>
    <row r="1073" spans="2:5" ht="16.5" x14ac:dyDescent="0.3">
      <c r="B1073" s="236">
        <v>44098</v>
      </c>
      <c r="C1073" s="73"/>
      <c r="D1073" s="73"/>
      <c r="E1073" s="145">
        <v>15291.25</v>
      </c>
    </row>
    <row r="1074" spans="2:5" ht="16.5" x14ac:dyDescent="0.3">
      <c r="B1074" s="236">
        <v>44097</v>
      </c>
      <c r="C1074" s="73"/>
      <c r="D1074" s="73"/>
      <c r="E1074" s="145">
        <v>15752.97</v>
      </c>
    </row>
    <row r="1075" spans="2:5" ht="16.5" x14ac:dyDescent="0.3">
      <c r="B1075" s="236">
        <v>44096</v>
      </c>
      <c r="C1075" s="73"/>
      <c r="D1075" s="73"/>
      <c r="E1075" s="145">
        <v>15783.87</v>
      </c>
    </row>
    <row r="1076" spans="2:5" ht="16.5" x14ac:dyDescent="0.3">
      <c r="B1076" s="236">
        <v>44095</v>
      </c>
      <c r="C1076" s="73"/>
      <c r="D1076" s="73"/>
      <c r="E1076" s="145">
        <v>15920.99</v>
      </c>
    </row>
    <row r="1077" spans="2:5" ht="16.5" x14ac:dyDescent="0.3">
      <c r="B1077" s="236">
        <v>44092</v>
      </c>
      <c r="C1077" s="73"/>
      <c r="D1077" s="73"/>
      <c r="E1077" s="145">
        <v>16281</v>
      </c>
    </row>
    <row r="1078" spans="2:5" ht="16.5" x14ac:dyDescent="0.3">
      <c r="B1078" s="236">
        <v>44091</v>
      </c>
      <c r="C1078" s="73"/>
      <c r="D1078" s="73"/>
      <c r="E1078" s="145">
        <v>16296.78</v>
      </c>
    </row>
    <row r="1079" spans="2:5" ht="16.5" x14ac:dyDescent="0.3">
      <c r="B1079" s="236">
        <v>44090</v>
      </c>
      <c r="C1079" s="73"/>
      <c r="D1079" s="73"/>
      <c r="E1079" s="145">
        <v>16421.95</v>
      </c>
    </row>
    <row r="1080" spans="2:5" ht="16.5" x14ac:dyDescent="0.3">
      <c r="B1080" s="236">
        <v>44089</v>
      </c>
      <c r="C1080" s="73"/>
      <c r="D1080" s="73"/>
      <c r="E1080" s="145">
        <v>16304.84</v>
      </c>
    </row>
    <row r="1081" spans="2:5" ht="16.5" x14ac:dyDescent="0.3">
      <c r="B1081" s="236">
        <v>44088</v>
      </c>
      <c r="C1081" s="73"/>
      <c r="D1081" s="73"/>
      <c r="E1081" s="145">
        <v>16189.14</v>
      </c>
    </row>
    <row r="1082" spans="2:5" ht="16.5" x14ac:dyDescent="0.3">
      <c r="B1082" s="236">
        <v>44085</v>
      </c>
      <c r="C1082" s="73"/>
      <c r="D1082" s="73"/>
      <c r="E1082" s="145">
        <v>16222.92</v>
      </c>
    </row>
    <row r="1083" spans="2:5" ht="16.5" x14ac:dyDescent="0.3">
      <c r="B1083" s="236">
        <v>44084</v>
      </c>
      <c r="C1083" s="73"/>
      <c r="D1083" s="73"/>
      <c r="E1083" s="145">
        <v>16201.44</v>
      </c>
    </row>
    <row r="1084" spans="2:5" ht="16.5" x14ac:dyDescent="0.3">
      <c r="B1084" s="236">
        <v>44083</v>
      </c>
      <c r="C1084" s="73"/>
      <c r="D1084" s="73"/>
      <c r="E1084" s="145">
        <v>15958.99</v>
      </c>
    </row>
    <row r="1085" spans="2:5" ht="16.5" x14ac:dyDescent="0.3">
      <c r="B1085" s="236">
        <v>44082</v>
      </c>
      <c r="C1085" s="73"/>
      <c r="D1085" s="73"/>
      <c r="E1085" s="145">
        <v>16014.67</v>
      </c>
    </row>
    <row r="1086" spans="2:5" ht="16.5" x14ac:dyDescent="0.3">
      <c r="B1086" s="236">
        <v>44081</v>
      </c>
      <c r="C1086" s="73"/>
      <c r="D1086" s="73"/>
      <c r="E1086" s="145">
        <v>16068.06</v>
      </c>
    </row>
    <row r="1087" spans="2:5" ht="16.5" x14ac:dyDescent="0.3">
      <c r="B1087" s="236">
        <v>44078</v>
      </c>
      <c r="C1087" s="73"/>
      <c r="D1087" s="73"/>
      <c r="E1087" s="145">
        <v>16038.07</v>
      </c>
    </row>
    <row r="1088" spans="2:5" ht="16.5" x14ac:dyDescent="0.3">
      <c r="B1088" s="236">
        <v>44077</v>
      </c>
      <c r="C1088" s="73"/>
      <c r="D1088" s="73"/>
      <c r="E1088" s="145">
        <v>16311.99</v>
      </c>
    </row>
    <row r="1089" spans="2:5" ht="16.5" x14ac:dyDescent="0.3">
      <c r="B1089" s="236">
        <v>44076</v>
      </c>
      <c r="C1089" s="73"/>
      <c r="D1089" s="73"/>
      <c r="E1089" s="145">
        <v>16322.17</v>
      </c>
    </row>
    <row r="1090" spans="2:5" ht="16.5" x14ac:dyDescent="0.3">
      <c r="B1090" s="236">
        <v>44075</v>
      </c>
      <c r="C1090" s="73"/>
      <c r="D1090" s="73"/>
      <c r="E1090" s="145">
        <v>16227.14</v>
      </c>
    </row>
    <row r="1091" spans="2:5" ht="16.5" x14ac:dyDescent="0.3">
      <c r="B1091" s="236">
        <v>44074</v>
      </c>
      <c r="C1091" s="73"/>
      <c r="D1091" s="73"/>
      <c r="E1091" s="145">
        <v>16110.07</v>
      </c>
    </row>
    <row r="1092" spans="2:5" ht="16.5" x14ac:dyDescent="0.3">
      <c r="B1092" s="236">
        <v>44071</v>
      </c>
      <c r="C1092" s="73"/>
      <c r="D1092" s="73"/>
      <c r="E1092" s="145">
        <v>16478.009999999998</v>
      </c>
    </row>
    <row r="1093" spans="2:5" ht="16.5" x14ac:dyDescent="0.3">
      <c r="B1093" s="236">
        <v>44070</v>
      </c>
      <c r="C1093" s="73"/>
      <c r="D1093" s="73"/>
      <c r="E1093" s="145">
        <v>16353.08</v>
      </c>
    </row>
    <row r="1094" spans="2:5" ht="16.5" x14ac:dyDescent="0.3">
      <c r="B1094" s="236">
        <v>44069</v>
      </c>
      <c r="C1094" s="73"/>
      <c r="D1094" s="73"/>
      <c r="E1094" s="145">
        <v>16339.41</v>
      </c>
    </row>
    <row r="1095" spans="2:5" ht="16.5" x14ac:dyDescent="0.3">
      <c r="B1095" s="236">
        <v>44068</v>
      </c>
      <c r="C1095" s="73"/>
      <c r="D1095" s="73"/>
      <c r="E1095" s="145">
        <v>16226.2</v>
      </c>
    </row>
    <row r="1096" spans="2:5" ht="16.5" x14ac:dyDescent="0.3">
      <c r="B1096" s="236">
        <v>44067</v>
      </c>
      <c r="C1096" s="73"/>
      <c r="D1096" s="73"/>
      <c r="E1096" s="145">
        <v>16218.02</v>
      </c>
    </row>
    <row r="1097" spans="2:5" ht="16.5" x14ac:dyDescent="0.3">
      <c r="B1097" s="236">
        <v>44064</v>
      </c>
      <c r="C1097" s="73"/>
      <c r="D1097" s="73"/>
      <c r="E1097" s="145">
        <v>16083.84</v>
      </c>
    </row>
    <row r="1098" spans="2:5" ht="16.5" x14ac:dyDescent="0.3">
      <c r="B1098" s="236">
        <v>44063</v>
      </c>
      <c r="C1098" s="73"/>
      <c r="D1098" s="73"/>
      <c r="E1098" s="145">
        <v>15999.86</v>
      </c>
    </row>
    <row r="1099" spans="2:5" ht="16.5" x14ac:dyDescent="0.3">
      <c r="B1099" s="236">
        <v>44062</v>
      </c>
      <c r="C1099" s="73"/>
      <c r="D1099" s="73"/>
      <c r="E1099" s="145">
        <v>16135.89</v>
      </c>
    </row>
    <row r="1100" spans="2:5" ht="16.5" x14ac:dyDescent="0.3">
      <c r="B1100" s="236">
        <v>44061</v>
      </c>
      <c r="C1100" s="73"/>
      <c r="D1100" s="73"/>
      <c r="E1100" s="145">
        <v>16101.86</v>
      </c>
    </row>
    <row r="1101" spans="2:5" ht="16.5" x14ac:dyDescent="0.3">
      <c r="B1101" s="236">
        <v>44060</v>
      </c>
      <c r="C1101" s="73"/>
      <c r="D1101" s="73"/>
      <c r="E1101" s="145">
        <v>15906.29</v>
      </c>
    </row>
    <row r="1102" spans="2:5" ht="16.5" x14ac:dyDescent="0.3">
      <c r="B1102" s="236">
        <v>44057</v>
      </c>
      <c r="C1102" s="73"/>
      <c r="D1102" s="73"/>
      <c r="E1102" s="145">
        <v>15809.17</v>
      </c>
    </row>
    <row r="1103" spans="2:5" ht="16.5" x14ac:dyDescent="0.3">
      <c r="B1103" s="236">
        <v>44056</v>
      </c>
      <c r="C1103" s="73"/>
      <c r="D1103" s="73"/>
      <c r="E1103" s="145">
        <v>15981.73</v>
      </c>
    </row>
    <row r="1104" spans="2:5" ht="16.5" x14ac:dyDescent="0.3">
      <c r="B1104" s="236">
        <v>44055</v>
      </c>
      <c r="C1104" s="73"/>
      <c r="D1104" s="73"/>
      <c r="E1104" s="145">
        <v>15986.03</v>
      </c>
    </row>
    <row r="1105" spans="2:5" ht="16.5" x14ac:dyDescent="0.3">
      <c r="B1105" s="236">
        <v>44054</v>
      </c>
      <c r="C1105" s="73"/>
      <c r="D1105" s="73"/>
      <c r="E1105" s="145">
        <v>16005.99</v>
      </c>
    </row>
    <row r="1106" spans="2:5" ht="16.5" x14ac:dyDescent="0.3">
      <c r="B1106" s="236">
        <v>44053</v>
      </c>
      <c r="C1106" s="73"/>
      <c r="D1106" s="73"/>
      <c r="E1106" s="145">
        <v>15931.97</v>
      </c>
    </row>
    <row r="1107" spans="2:5" ht="16.5" x14ac:dyDescent="0.3">
      <c r="B1107" s="236">
        <v>44050</v>
      </c>
      <c r="C1107" s="73"/>
      <c r="D1107" s="73"/>
      <c r="E1107" s="145">
        <v>15852.65</v>
      </c>
    </row>
    <row r="1108" spans="2:5" ht="16.5" x14ac:dyDescent="0.3">
      <c r="B1108" s="236">
        <v>44049</v>
      </c>
      <c r="C1108" s="73"/>
      <c r="D1108" s="73"/>
      <c r="E1108" s="145">
        <v>15833.02</v>
      </c>
    </row>
    <row r="1109" spans="2:5" ht="16.5" x14ac:dyDescent="0.3">
      <c r="B1109" s="236">
        <v>44048</v>
      </c>
      <c r="C1109" s="73"/>
      <c r="D1109" s="73"/>
      <c r="E1109" s="145">
        <v>15689.69</v>
      </c>
    </row>
    <row r="1110" spans="2:5" ht="16.5" x14ac:dyDescent="0.3">
      <c r="B1110" s="236">
        <v>44047</v>
      </c>
      <c r="C1110" s="73"/>
      <c r="D1110" s="73"/>
      <c r="E1110" s="145">
        <v>15676.74</v>
      </c>
    </row>
    <row r="1111" spans="2:5" ht="16.5" x14ac:dyDescent="0.3">
      <c r="B1111" s="236">
        <v>44046</v>
      </c>
      <c r="C1111" s="73"/>
      <c r="D1111" s="73"/>
      <c r="E1111" s="145">
        <v>15388.98</v>
      </c>
    </row>
    <row r="1112" spans="2:5" ht="16.5" x14ac:dyDescent="0.3">
      <c r="B1112" s="236">
        <v>44043</v>
      </c>
      <c r="C1112" s="73"/>
      <c r="D1112" s="73"/>
      <c r="E1112" s="145">
        <v>15645.34</v>
      </c>
    </row>
    <row r="1113" spans="2:5" ht="16.5" x14ac:dyDescent="0.3">
      <c r="B1113" s="236">
        <v>44042</v>
      </c>
      <c r="C1113" s="73"/>
      <c r="D1113" s="73"/>
      <c r="E1113" s="145">
        <v>15685.92</v>
      </c>
    </row>
    <row r="1114" spans="2:5" ht="16.5" x14ac:dyDescent="0.3">
      <c r="B1114" s="236">
        <v>44041</v>
      </c>
      <c r="C1114" s="73"/>
      <c r="D1114" s="73"/>
      <c r="E1114" s="145">
        <v>15824.19</v>
      </c>
    </row>
    <row r="1115" spans="2:5" ht="16.5" x14ac:dyDescent="0.3">
      <c r="B1115" s="236">
        <v>44040</v>
      </c>
      <c r="C1115" s="73"/>
      <c r="D1115" s="73"/>
      <c r="E1115" s="145">
        <v>15961.7</v>
      </c>
    </row>
    <row r="1116" spans="2:5" ht="16.5" x14ac:dyDescent="0.3">
      <c r="B1116" s="236">
        <v>44039</v>
      </c>
      <c r="C1116" s="73"/>
      <c r="D1116" s="73"/>
      <c r="E1116" s="145">
        <v>15723.39</v>
      </c>
    </row>
    <row r="1117" spans="2:5" ht="16.5" x14ac:dyDescent="0.3">
      <c r="B1117" s="236">
        <v>44036</v>
      </c>
      <c r="C1117" s="73"/>
      <c r="D1117" s="73"/>
      <c r="E1117" s="145">
        <v>15811.4</v>
      </c>
    </row>
    <row r="1118" spans="2:5" ht="16.5" x14ac:dyDescent="0.3">
      <c r="B1118" s="236">
        <v>44035</v>
      </c>
      <c r="C1118" s="73"/>
      <c r="D1118" s="73"/>
      <c r="E1118" s="145">
        <v>15841.48</v>
      </c>
    </row>
    <row r="1119" spans="2:5" ht="16.5" x14ac:dyDescent="0.3">
      <c r="B1119" s="236">
        <v>44034</v>
      </c>
      <c r="C1119" s="73"/>
      <c r="D1119" s="73"/>
      <c r="E1119" s="145">
        <v>15722.51</v>
      </c>
    </row>
    <row r="1120" spans="2:5" ht="16.5" x14ac:dyDescent="0.3">
      <c r="B1120" s="236">
        <v>44033</v>
      </c>
      <c r="C1120" s="73"/>
      <c r="D1120" s="73"/>
      <c r="E1120" s="145">
        <v>15764.41</v>
      </c>
    </row>
    <row r="1121" spans="2:5" ht="16.5" x14ac:dyDescent="0.3">
      <c r="B1121" s="236">
        <v>44032</v>
      </c>
      <c r="C1121" s="73"/>
      <c r="D1121" s="73"/>
      <c r="E1121" s="145">
        <v>15566.56</v>
      </c>
    </row>
    <row r="1122" spans="2:5" ht="16.5" x14ac:dyDescent="0.3">
      <c r="B1122" s="236">
        <v>44029</v>
      </c>
      <c r="C1122" s="73"/>
      <c r="D1122" s="73"/>
      <c r="E1122" s="145">
        <v>15396.44</v>
      </c>
    </row>
    <row r="1123" spans="2:5" ht="16.5" x14ac:dyDescent="0.3">
      <c r="B1123" s="236">
        <v>44028</v>
      </c>
      <c r="C1123" s="73"/>
      <c r="D1123" s="73"/>
      <c r="E1123" s="145">
        <v>15167.99</v>
      </c>
    </row>
    <row r="1124" spans="2:5" ht="16.5" x14ac:dyDescent="0.3">
      <c r="B1124" s="236">
        <v>44027</v>
      </c>
      <c r="C1124" s="73"/>
      <c r="D1124" s="73"/>
      <c r="E1124" s="145">
        <v>14993.52</v>
      </c>
    </row>
    <row r="1125" spans="2:5" ht="16.5" x14ac:dyDescent="0.3">
      <c r="B1125" s="236">
        <v>44026</v>
      </c>
      <c r="C1125" s="73"/>
      <c r="D1125" s="73"/>
      <c r="E1125" s="145">
        <v>14978.23</v>
      </c>
    </row>
    <row r="1126" spans="2:5" ht="16.5" x14ac:dyDescent="0.3">
      <c r="B1126" s="236">
        <v>44025</v>
      </c>
      <c r="C1126" s="73"/>
      <c r="D1126" s="73"/>
      <c r="E1126" s="145">
        <v>15254.09</v>
      </c>
    </row>
    <row r="1127" spans="2:5" ht="16.5" x14ac:dyDescent="0.3">
      <c r="B1127" s="236">
        <v>44022</v>
      </c>
      <c r="C1127" s="73"/>
      <c r="D1127" s="73"/>
      <c r="E1127" s="145">
        <v>15204.13</v>
      </c>
    </row>
    <row r="1128" spans="2:5" ht="16.5" x14ac:dyDescent="0.3">
      <c r="B1128" s="236">
        <v>44021</v>
      </c>
      <c r="C1128" s="73"/>
      <c r="D1128" s="73"/>
      <c r="E1128" s="145">
        <v>15268.19</v>
      </c>
    </row>
    <row r="1129" spans="2:5" ht="16.5" x14ac:dyDescent="0.3">
      <c r="B1129" s="236">
        <v>44020</v>
      </c>
      <c r="C1129" s="73"/>
      <c r="D1129" s="73"/>
      <c r="E1129" s="145">
        <v>15104.09</v>
      </c>
    </row>
    <row r="1130" spans="2:5" ht="16.5" x14ac:dyDescent="0.3">
      <c r="B1130" s="236">
        <v>44019</v>
      </c>
      <c r="C1130" s="73"/>
      <c r="D1130" s="73"/>
      <c r="E1130" s="145">
        <v>15236.58</v>
      </c>
    </row>
    <row r="1131" spans="2:5" ht="16.5" x14ac:dyDescent="0.3">
      <c r="B1131" s="236">
        <v>44018</v>
      </c>
      <c r="C1131" s="73"/>
      <c r="D1131" s="73"/>
      <c r="E1131" s="145">
        <v>15185.78</v>
      </c>
    </row>
    <row r="1132" spans="2:5" ht="16.5" x14ac:dyDescent="0.3">
      <c r="B1132" s="236">
        <v>44015</v>
      </c>
      <c r="C1132" s="73"/>
      <c r="D1132" s="73"/>
      <c r="E1132" s="145">
        <v>14964.59</v>
      </c>
    </row>
    <row r="1133" spans="2:5" ht="16.5" x14ac:dyDescent="0.3">
      <c r="B1133" s="236">
        <v>44014</v>
      </c>
      <c r="C1133" s="73"/>
      <c r="D1133" s="73"/>
      <c r="E1133" s="145">
        <v>14886.06</v>
      </c>
    </row>
    <row r="1134" spans="2:5" ht="16.5" x14ac:dyDescent="0.3">
      <c r="B1134" s="236">
        <v>44013</v>
      </c>
      <c r="C1134" s="73"/>
      <c r="D1134" s="73"/>
      <c r="E1134" s="145">
        <v>14707.64</v>
      </c>
    </row>
    <row r="1135" spans="2:5" ht="16.5" x14ac:dyDescent="0.3">
      <c r="B1135" s="236">
        <v>44012</v>
      </c>
      <c r="C1135" s="73"/>
      <c r="D1135" s="73"/>
      <c r="E1135" s="145">
        <v>14527.18</v>
      </c>
    </row>
    <row r="1136" spans="2:5" ht="16.5" x14ac:dyDescent="0.3">
      <c r="B1136" s="236">
        <v>44011</v>
      </c>
      <c r="C1136" s="73"/>
      <c r="D1136" s="73"/>
      <c r="E1136" s="145">
        <v>14541.76</v>
      </c>
    </row>
    <row r="1137" spans="2:5" ht="16.5" x14ac:dyDescent="0.3">
      <c r="B1137" s="236">
        <v>44008</v>
      </c>
      <c r="C1137" s="73"/>
      <c r="D1137" s="73"/>
      <c r="E1137" s="145">
        <v>14641.26</v>
      </c>
    </row>
    <row r="1138" spans="2:5" ht="16.5" x14ac:dyDescent="0.3">
      <c r="B1138" s="236">
        <v>44007</v>
      </c>
      <c r="C1138" s="73"/>
      <c r="D1138" s="73"/>
      <c r="E1138" s="145">
        <v>14508.61</v>
      </c>
    </row>
    <row r="1139" spans="2:5" ht="16.5" x14ac:dyDescent="0.3">
      <c r="B1139" s="236">
        <v>44006</v>
      </c>
      <c r="C1139" s="73"/>
      <c r="D1139" s="73"/>
      <c r="E1139" s="145">
        <v>14531.72</v>
      </c>
    </row>
    <row r="1140" spans="2:5" ht="16.5" x14ac:dyDescent="0.3">
      <c r="B1140" s="236">
        <v>44005</v>
      </c>
      <c r="C1140" s="73"/>
      <c r="D1140" s="73"/>
      <c r="E1140" s="145">
        <v>14765.36</v>
      </c>
    </row>
    <row r="1141" spans="2:5" ht="16.5" x14ac:dyDescent="0.3">
      <c r="B1141" s="236">
        <v>44004</v>
      </c>
      <c r="C1141" s="73"/>
      <c r="D1141" s="73"/>
      <c r="E1141" s="145">
        <v>14540.07</v>
      </c>
    </row>
    <row r="1142" spans="2:5" ht="16.5" x14ac:dyDescent="0.3">
      <c r="B1142" s="236">
        <v>44001</v>
      </c>
      <c r="C1142" s="73"/>
      <c r="D1142" s="73"/>
      <c r="E1142" s="145">
        <v>14445.87</v>
      </c>
    </row>
    <row r="1143" spans="2:5" ht="16.5" x14ac:dyDescent="0.3">
      <c r="B1143" s="236">
        <v>44000</v>
      </c>
      <c r="C1143" s="73"/>
      <c r="D1143" s="73"/>
      <c r="E1143" s="145">
        <v>14227.14</v>
      </c>
    </row>
    <row r="1144" spans="2:5" ht="16.5" x14ac:dyDescent="0.3">
      <c r="B1144" s="236">
        <v>43999</v>
      </c>
      <c r="C1144" s="73"/>
      <c r="D1144" s="73"/>
      <c r="E1144" s="145">
        <v>13930.35</v>
      </c>
    </row>
    <row r="1145" spans="2:5" ht="16.5" x14ac:dyDescent="0.3">
      <c r="B1145" s="236">
        <v>43998</v>
      </c>
      <c r="C1145" s="73"/>
      <c r="D1145" s="73"/>
      <c r="E1145" s="145">
        <v>13976.63</v>
      </c>
    </row>
    <row r="1146" spans="2:5" ht="16.5" x14ac:dyDescent="0.3">
      <c r="B1146" s="236">
        <v>43997</v>
      </c>
      <c r="C1146" s="73"/>
      <c r="D1146" s="73"/>
      <c r="E1146" s="145">
        <v>13835.27</v>
      </c>
    </row>
    <row r="1147" spans="2:5" ht="16.5" x14ac:dyDescent="0.3">
      <c r="B1147" s="236">
        <v>43994</v>
      </c>
      <c r="C1147" s="73"/>
      <c r="D1147" s="73"/>
      <c r="E1147" s="145">
        <v>14059.69</v>
      </c>
    </row>
    <row r="1148" spans="2:5" ht="16.5" x14ac:dyDescent="0.3">
      <c r="B1148" s="236">
        <v>43993</v>
      </c>
      <c r="C1148" s="73"/>
      <c r="D1148" s="73"/>
      <c r="E1148" s="145">
        <v>13959.73</v>
      </c>
    </row>
    <row r="1149" spans="2:5" ht="16.5" x14ac:dyDescent="0.3">
      <c r="B1149" s="236">
        <v>43992</v>
      </c>
      <c r="C1149" s="73"/>
      <c r="D1149" s="73"/>
      <c r="E1149" s="145">
        <v>14260.91</v>
      </c>
    </row>
    <row r="1150" spans="2:5" ht="16.5" x14ac:dyDescent="0.3">
      <c r="B1150" s="236">
        <v>43991</v>
      </c>
      <c r="C1150" s="73"/>
      <c r="D1150" s="73"/>
      <c r="E1150" s="145">
        <v>14162.9</v>
      </c>
    </row>
    <row r="1151" spans="2:5" ht="16.5" x14ac:dyDescent="0.3">
      <c r="B1151" s="236">
        <v>43990</v>
      </c>
      <c r="C1151" s="73"/>
      <c r="D1151" s="73"/>
      <c r="E1151" s="145">
        <v>14333.2</v>
      </c>
    </row>
    <row r="1152" spans="2:5" ht="16.5" x14ac:dyDescent="0.3">
      <c r="B1152" s="236">
        <v>43987</v>
      </c>
      <c r="C1152" s="73"/>
      <c r="D1152" s="73"/>
      <c r="E1152" s="145">
        <v>14297.55</v>
      </c>
    </row>
    <row r="1153" spans="2:5" ht="16.5" x14ac:dyDescent="0.3">
      <c r="B1153" s="236">
        <v>43986</v>
      </c>
      <c r="C1153" s="73"/>
      <c r="D1153" s="73"/>
      <c r="E1153" s="145">
        <v>14138.19</v>
      </c>
    </row>
    <row r="1154" spans="2:5" ht="16.5" x14ac:dyDescent="0.3">
      <c r="B1154" s="236">
        <v>43985</v>
      </c>
      <c r="C1154" s="73"/>
      <c r="D1154" s="73"/>
      <c r="E1154" s="145">
        <v>14183.95</v>
      </c>
    </row>
    <row r="1155" spans="2:5" ht="16.5" x14ac:dyDescent="0.3">
      <c r="B1155" s="236">
        <v>43984</v>
      </c>
      <c r="C1155" s="73"/>
      <c r="D1155" s="73"/>
      <c r="E1155" s="145">
        <v>14065.56</v>
      </c>
    </row>
    <row r="1156" spans="2:5" ht="16.5" x14ac:dyDescent="0.3">
      <c r="B1156" s="236">
        <v>43983</v>
      </c>
      <c r="C1156" s="73"/>
      <c r="D1156" s="73"/>
      <c r="E1156" s="145">
        <v>13850</v>
      </c>
    </row>
    <row r="1157" spans="2:5" ht="16.5" x14ac:dyDescent="0.3">
      <c r="B1157" s="236">
        <v>43980</v>
      </c>
      <c r="C1157" s="73"/>
      <c r="D1157" s="73"/>
      <c r="E1157" s="145">
        <v>13503.45</v>
      </c>
    </row>
    <row r="1158" spans="2:5" ht="16.5" x14ac:dyDescent="0.3">
      <c r="B1158" s="236">
        <v>43979</v>
      </c>
      <c r="C1158" s="73"/>
      <c r="D1158" s="73"/>
      <c r="E1158" s="145">
        <v>13364.65</v>
      </c>
    </row>
    <row r="1159" spans="2:5" ht="16.5" x14ac:dyDescent="0.3">
      <c r="B1159" s="236">
        <v>43978</v>
      </c>
      <c r="C1159" s="73"/>
      <c r="D1159" s="73"/>
      <c r="E1159" s="145">
        <v>13117.99</v>
      </c>
    </row>
    <row r="1160" spans="2:5" ht="16.5" x14ac:dyDescent="0.3">
      <c r="B1160" s="236">
        <v>43977</v>
      </c>
      <c r="C1160" s="73"/>
      <c r="D1160" s="73"/>
      <c r="E1160" s="145">
        <v>12715.39</v>
      </c>
    </row>
    <row r="1161" spans="2:5" ht="16.5" x14ac:dyDescent="0.3">
      <c r="B1161" s="236">
        <v>43973</v>
      </c>
      <c r="C1161" s="73"/>
      <c r="D1161" s="73"/>
      <c r="E1161" s="145">
        <v>12729.74</v>
      </c>
    </row>
    <row r="1162" spans="2:5" ht="16.5" x14ac:dyDescent="0.3">
      <c r="B1162" s="236">
        <v>43972</v>
      </c>
      <c r="C1162" s="73"/>
      <c r="D1162" s="73"/>
      <c r="E1162" s="145">
        <v>12824.12</v>
      </c>
    </row>
    <row r="1163" spans="2:5" ht="16.5" x14ac:dyDescent="0.3">
      <c r="B1163" s="236">
        <v>43971</v>
      </c>
      <c r="C1163" s="73"/>
      <c r="D1163" s="73"/>
      <c r="E1163" s="145">
        <v>12768.2</v>
      </c>
    </row>
    <row r="1164" spans="2:5" ht="16.5" x14ac:dyDescent="0.3">
      <c r="B1164" s="236">
        <v>43970</v>
      </c>
      <c r="C1164" s="73"/>
      <c r="D1164" s="73"/>
      <c r="E1164" s="145">
        <v>12504.22</v>
      </c>
    </row>
    <row r="1165" spans="2:5" ht="16.5" x14ac:dyDescent="0.3">
      <c r="B1165" s="236">
        <v>43969</v>
      </c>
      <c r="C1165" s="73"/>
      <c r="D1165" s="73"/>
      <c r="E1165" s="145">
        <v>12425.57</v>
      </c>
    </row>
    <row r="1166" spans="2:5" ht="16.5" x14ac:dyDescent="0.3">
      <c r="B1166" s="236">
        <v>43966</v>
      </c>
      <c r="C1166" s="73"/>
      <c r="D1166" s="73"/>
      <c r="E1166" s="145">
        <v>12867.16</v>
      </c>
    </row>
    <row r="1167" spans="2:5" ht="16.5" x14ac:dyDescent="0.3">
      <c r="B1167" s="236">
        <v>43965</v>
      </c>
      <c r="C1167" s="73"/>
      <c r="D1167" s="73"/>
      <c r="E1167" s="145">
        <v>12875.51</v>
      </c>
    </row>
    <row r="1168" spans="2:5" ht="16.5" x14ac:dyDescent="0.3">
      <c r="B1168" s="236">
        <v>43964</v>
      </c>
      <c r="C1168" s="73"/>
      <c r="D1168" s="73"/>
      <c r="E1168" s="145">
        <v>13214.58</v>
      </c>
    </row>
    <row r="1169" spans="2:5" ht="16.5" x14ac:dyDescent="0.3">
      <c r="B1169" s="236">
        <v>43963</v>
      </c>
      <c r="C1169" s="73"/>
      <c r="D1169" s="73"/>
      <c r="E1169" s="145">
        <v>12951.29</v>
      </c>
    </row>
    <row r="1170" spans="2:5" ht="16.5" x14ac:dyDescent="0.3">
      <c r="B1170" s="236">
        <v>43962</v>
      </c>
      <c r="C1170" s="73"/>
      <c r="D1170" s="73"/>
      <c r="E1170" s="145">
        <v>13011.35</v>
      </c>
    </row>
    <row r="1171" spans="2:5" ht="16.5" x14ac:dyDescent="0.3">
      <c r="B1171" s="236">
        <v>43959</v>
      </c>
      <c r="C1171" s="73"/>
      <c r="D1171" s="73"/>
      <c r="E1171" s="145">
        <v>13028.62</v>
      </c>
    </row>
    <row r="1172" spans="2:5" ht="16.5" x14ac:dyDescent="0.3">
      <c r="B1172" s="236">
        <v>43958</v>
      </c>
      <c r="C1172" s="73"/>
      <c r="D1172" s="73"/>
      <c r="E1172" s="145">
        <v>12954.81</v>
      </c>
    </row>
    <row r="1173" spans="2:5" ht="16.5" x14ac:dyDescent="0.3">
      <c r="B1173" s="236">
        <v>43957</v>
      </c>
      <c r="C1173" s="73"/>
      <c r="D1173" s="73"/>
      <c r="E1173" s="145">
        <v>13055.99</v>
      </c>
    </row>
    <row r="1174" spans="2:5" ht="16.5" x14ac:dyDescent="0.3">
      <c r="B1174" s="236">
        <v>43956</v>
      </c>
      <c r="C1174" s="73"/>
      <c r="D1174" s="73"/>
      <c r="E1174" s="145">
        <v>12963.99</v>
      </c>
    </row>
    <row r="1175" spans="2:5" ht="16.5" x14ac:dyDescent="0.3">
      <c r="B1175" s="236">
        <v>43955</v>
      </c>
      <c r="C1175" s="73"/>
      <c r="D1175" s="73"/>
      <c r="E1175" s="145">
        <v>13086.63</v>
      </c>
    </row>
    <row r="1176" spans="2:5" ht="16.5" x14ac:dyDescent="0.3">
      <c r="B1176" s="236">
        <v>43951</v>
      </c>
      <c r="C1176" s="73"/>
      <c r="D1176" s="73"/>
      <c r="E1176" s="145">
        <v>13884.18</v>
      </c>
    </row>
    <row r="1177" spans="2:5" ht="16.5" x14ac:dyDescent="0.3">
      <c r="B1177" s="236">
        <v>43950</v>
      </c>
      <c r="C1177" s="73"/>
      <c r="D1177" s="73"/>
      <c r="E1177" s="145">
        <v>13452.51</v>
      </c>
    </row>
    <row r="1178" spans="2:5" ht="16.5" x14ac:dyDescent="0.3">
      <c r="B1178" s="236">
        <v>43949</v>
      </c>
      <c r="C1178" s="73"/>
      <c r="D1178" s="73"/>
      <c r="E1178" s="145">
        <v>13208.29</v>
      </c>
    </row>
    <row r="1179" spans="2:5" ht="16.5" x14ac:dyDescent="0.3">
      <c r="B1179" s="236">
        <v>43948</v>
      </c>
      <c r="C1179" s="73"/>
      <c r="D1179" s="73"/>
      <c r="E1179" s="145">
        <v>13069.49</v>
      </c>
    </row>
    <row r="1180" spans="2:5" ht="16.5" x14ac:dyDescent="0.3">
      <c r="B1180" s="236">
        <v>43945</v>
      </c>
      <c r="C1180" s="73"/>
      <c r="D1180" s="73"/>
      <c r="E1180" s="145">
        <v>12889.39</v>
      </c>
    </row>
    <row r="1181" spans="2:5" ht="16.5" x14ac:dyDescent="0.3">
      <c r="B1181" s="236">
        <v>43944</v>
      </c>
      <c r="C1181" s="73"/>
      <c r="D1181" s="73"/>
      <c r="E1181" s="145">
        <v>13113.97</v>
      </c>
    </row>
    <row r="1182" spans="2:5" ht="16.5" x14ac:dyDescent="0.3">
      <c r="B1182" s="236">
        <v>43943</v>
      </c>
      <c r="C1182" s="73"/>
      <c r="D1182" s="73"/>
      <c r="E1182" s="145">
        <v>12935.73</v>
      </c>
    </row>
    <row r="1183" spans="2:5" ht="16.5" x14ac:dyDescent="0.3">
      <c r="B1183" s="236">
        <v>43942</v>
      </c>
      <c r="C1183" s="73"/>
      <c r="D1183" s="73"/>
      <c r="E1183" s="145">
        <v>12645.91</v>
      </c>
    </row>
    <row r="1184" spans="2:5" ht="16.5" x14ac:dyDescent="0.3">
      <c r="B1184" s="236">
        <v>43941</v>
      </c>
      <c r="C1184" s="73"/>
      <c r="D1184" s="73"/>
      <c r="E1184" s="145">
        <v>13040.65</v>
      </c>
    </row>
    <row r="1185" spans="2:5" ht="16.5" x14ac:dyDescent="0.3">
      <c r="B1185" s="236">
        <v>43938</v>
      </c>
      <c r="C1185" s="73"/>
      <c r="D1185" s="73"/>
      <c r="E1185" s="145">
        <v>13047.57</v>
      </c>
    </row>
    <row r="1186" spans="2:5" ht="16.5" x14ac:dyDescent="0.3">
      <c r="B1186" s="236">
        <v>43937</v>
      </c>
      <c r="C1186" s="73"/>
      <c r="D1186" s="73"/>
      <c r="E1186" s="145">
        <v>12661.83</v>
      </c>
    </row>
    <row r="1187" spans="2:5" ht="16.5" x14ac:dyDescent="0.3">
      <c r="B1187" s="236">
        <v>43936</v>
      </c>
      <c r="C1187" s="73"/>
      <c r="D1187" s="73"/>
      <c r="E1187" s="145">
        <v>12566.85</v>
      </c>
    </row>
    <row r="1188" spans="2:5" ht="16.5" x14ac:dyDescent="0.3">
      <c r="B1188" s="236">
        <v>43934</v>
      </c>
      <c r="C1188" s="73"/>
      <c r="D1188" s="73"/>
      <c r="E1188" s="145">
        <v>12663.31</v>
      </c>
    </row>
    <row r="1189" spans="2:5" ht="16.5" x14ac:dyDescent="0.3">
      <c r="B1189" s="236">
        <v>43930</v>
      </c>
      <c r="C1189" s="73"/>
      <c r="D1189" s="73"/>
      <c r="E1189" s="145">
        <v>12829.57</v>
      </c>
    </row>
    <row r="1190" spans="2:5" ht="16.5" x14ac:dyDescent="0.3">
      <c r="B1190" s="236">
        <v>43929</v>
      </c>
      <c r="C1190" s="73"/>
      <c r="D1190" s="73"/>
      <c r="E1190" s="145">
        <v>12318.25</v>
      </c>
    </row>
    <row r="1191" spans="2:5" ht="16.5" x14ac:dyDescent="0.3">
      <c r="B1191" s="236">
        <v>43928</v>
      </c>
      <c r="C1191" s="73"/>
      <c r="D1191" s="73"/>
      <c r="E1191" s="145">
        <v>12379.42</v>
      </c>
    </row>
    <row r="1192" spans="2:5" ht="16.5" x14ac:dyDescent="0.3">
      <c r="B1192" s="236">
        <v>43924</v>
      </c>
      <c r="C1192" s="73"/>
      <c r="D1192" s="73"/>
      <c r="E1192" s="145">
        <v>11382.02</v>
      </c>
    </row>
    <row r="1193" spans="2:5" ht="16.5" x14ac:dyDescent="0.3">
      <c r="B1193" s="236">
        <v>43922</v>
      </c>
      <c r="C1193" s="73"/>
      <c r="D1193" s="73"/>
      <c r="E1193" s="145">
        <v>11621.35</v>
      </c>
    </row>
    <row r="1194" spans="2:5" ht="16.5" x14ac:dyDescent="0.3">
      <c r="B1194" s="236">
        <v>43921</v>
      </c>
      <c r="C1194" s="73"/>
      <c r="D1194" s="73"/>
      <c r="E1194" s="145">
        <v>12105.66</v>
      </c>
    </row>
    <row r="1195" spans="2:5" ht="16.5" x14ac:dyDescent="0.3">
      <c r="B1195" s="236">
        <v>43920</v>
      </c>
      <c r="C1195" s="73"/>
      <c r="D1195" s="73"/>
      <c r="E1195" s="145">
        <v>11659.76</v>
      </c>
    </row>
    <row r="1196" spans="2:5" ht="16.5" x14ac:dyDescent="0.3">
      <c r="B1196" s="236">
        <v>43917</v>
      </c>
      <c r="C1196" s="73"/>
      <c r="D1196" s="73"/>
      <c r="E1196" s="145">
        <v>12193.62</v>
      </c>
    </row>
    <row r="1197" spans="2:5" ht="16.5" x14ac:dyDescent="0.3">
      <c r="B1197" s="236">
        <v>43916</v>
      </c>
      <c r="C1197" s="73"/>
      <c r="D1197" s="73"/>
      <c r="E1197" s="145">
        <v>12167.15</v>
      </c>
    </row>
    <row r="1198" spans="2:5" ht="16.5" x14ac:dyDescent="0.3">
      <c r="B1198" s="236">
        <v>43915</v>
      </c>
      <c r="C1198" s="73"/>
      <c r="D1198" s="73"/>
      <c r="E1198" s="145">
        <v>11710.71</v>
      </c>
    </row>
    <row r="1199" spans="2:5" ht="16.5" x14ac:dyDescent="0.3">
      <c r="B1199" s="236">
        <v>43914</v>
      </c>
      <c r="C1199" s="73"/>
      <c r="D1199" s="73"/>
      <c r="E1199" s="145">
        <v>10983.15</v>
      </c>
    </row>
    <row r="1200" spans="2:5" ht="16.5" x14ac:dyDescent="0.3">
      <c r="B1200" s="236">
        <v>43913</v>
      </c>
      <c r="C1200" s="73"/>
      <c r="D1200" s="73"/>
      <c r="E1200" s="145">
        <v>10710.41</v>
      </c>
    </row>
    <row r="1201" spans="2:5" ht="16.5" x14ac:dyDescent="0.3">
      <c r="B1201" s="236">
        <v>43910</v>
      </c>
      <c r="C1201" s="73"/>
      <c r="D1201" s="73"/>
      <c r="E1201" s="145">
        <v>12298.74</v>
      </c>
    </row>
    <row r="1202" spans="2:5" ht="16.5" x14ac:dyDescent="0.3">
      <c r="B1202" s="236">
        <v>43909</v>
      </c>
      <c r="C1202" s="73"/>
      <c r="D1202" s="73"/>
      <c r="E1202" s="145">
        <v>11620.92</v>
      </c>
    </row>
    <row r="1203" spans="2:5" ht="16.5" x14ac:dyDescent="0.3">
      <c r="B1203" s="236">
        <v>43908</v>
      </c>
      <c r="C1203" s="73"/>
      <c r="D1203" s="73"/>
      <c r="E1203" s="145">
        <v>11904.02</v>
      </c>
    </row>
    <row r="1204" spans="2:5" ht="16.5" x14ac:dyDescent="0.3">
      <c r="B1204" s="236">
        <v>43907</v>
      </c>
      <c r="C1204" s="73"/>
      <c r="D1204" s="73"/>
      <c r="E1204" s="145">
        <v>12604.41</v>
      </c>
    </row>
    <row r="1205" spans="2:5" ht="16.5" x14ac:dyDescent="0.3">
      <c r="B1205" s="236">
        <v>43906</v>
      </c>
      <c r="C1205" s="73"/>
      <c r="D1205" s="73"/>
      <c r="E1205" s="145">
        <v>12928.18</v>
      </c>
    </row>
    <row r="1206" spans="2:5" ht="16.5" x14ac:dyDescent="0.3">
      <c r="B1206" s="236">
        <v>43903</v>
      </c>
      <c r="C1206" s="73"/>
      <c r="D1206" s="73"/>
      <c r="E1206" s="145">
        <v>13987.31</v>
      </c>
    </row>
    <row r="1207" spans="2:5" ht="16.5" x14ac:dyDescent="0.3">
      <c r="B1207" s="236">
        <v>43902</v>
      </c>
      <c r="C1207" s="73"/>
      <c r="D1207" s="73"/>
      <c r="E1207" s="145">
        <v>13474.38</v>
      </c>
    </row>
    <row r="1208" spans="2:5" ht="16.5" x14ac:dyDescent="0.3">
      <c r="B1208" s="236">
        <v>43901</v>
      </c>
      <c r="C1208" s="73"/>
      <c r="D1208" s="73"/>
      <c r="E1208" s="145">
        <v>14694.31</v>
      </c>
    </row>
    <row r="1209" spans="2:5" ht="16.5" x14ac:dyDescent="0.3">
      <c r="B1209" s="236">
        <v>43899</v>
      </c>
      <c r="C1209" s="73"/>
      <c r="D1209" s="73"/>
      <c r="E1209" s="145">
        <v>14684.56</v>
      </c>
    </row>
    <row r="1210" spans="2:5" ht="16.5" x14ac:dyDescent="0.3">
      <c r="B1210" s="236">
        <v>43896</v>
      </c>
      <c r="C1210" s="73"/>
      <c r="D1210" s="73"/>
      <c r="E1210" s="145">
        <v>15440.48</v>
      </c>
    </row>
    <row r="1211" spans="2:5" ht="16.5" x14ac:dyDescent="0.3">
      <c r="B1211" s="236">
        <v>43895</v>
      </c>
      <c r="C1211" s="73"/>
      <c r="D1211" s="73"/>
      <c r="E1211" s="145">
        <v>15833.21</v>
      </c>
    </row>
    <row r="1212" spans="2:5" ht="16.5" x14ac:dyDescent="0.3">
      <c r="B1212" s="236">
        <v>43894</v>
      </c>
      <c r="C1212" s="73"/>
      <c r="D1212" s="73"/>
      <c r="E1212" s="145">
        <v>15805.53</v>
      </c>
    </row>
    <row r="1213" spans="2:5" ht="16.5" x14ac:dyDescent="0.3">
      <c r="B1213" s="236">
        <v>43893</v>
      </c>
      <c r="C1213" s="73"/>
      <c r="D1213" s="73"/>
      <c r="E1213" s="145">
        <v>15878.98</v>
      </c>
    </row>
    <row r="1214" spans="2:5" ht="16.5" x14ac:dyDescent="0.3">
      <c r="B1214" s="236">
        <v>43892</v>
      </c>
      <c r="C1214" s="73"/>
      <c r="D1214" s="73"/>
      <c r="E1214" s="145">
        <v>15632.14</v>
      </c>
    </row>
    <row r="1215" spans="2:5" ht="16.5" x14ac:dyDescent="0.3">
      <c r="B1215" s="236">
        <v>43889</v>
      </c>
      <c r="C1215" s="73"/>
      <c r="D1215" s="73"/>
      <c r="E1215" s="145">
        <v>15726.92</v>
      </c>
    </row>
    <row r="1216" spans="2:5" ht="16.5" x14ac:dyDescent="0.3">
      <c r="B1216" s="236">
        <v>43888</v>
      </c>
      <c r="C1216" s="73"/>
      <c r="D1216" s="73"/>
      <c r="E1216" s="145">
        <v>16332.81</v>
      </c>
    </row>
    <row r="1217" spans="2:5" ht="16.5" x14ac:dyDescent="0.3">
      <c r="B1217" s="236">
        <v>43887</v>
      </c>
      <c r="C1217" s="73"/>
      <c r="D1217" s="73"/>
      <c r="E1217" s="145">
        <v>16396.23</v>
      </c>
    </row>
    <row r="1218" spans="2:5" ht="16.5" x14ac:dyDescent="0.3">
      <c r="B1218" s="236">
        <v>43886</v>
      </c>
      <c r="C1218" s="73"/>
      <c r="D1218" s="73"/>
      <c r="E1218" s="145">
        <v>16563.91</v>
      </c>
    </row>
    <row r="1219" spans="2:5" ht="16.5" x14ac:dyDescent="0.3">
      <c r="B1219" s="236">
        <v>43885</v>
      </c>
      <c r="C1219" s="73"/>
      <c r="D1219" s="73"/>
      <c r="E1219" s="145">
        <v>16608.12</v>
      </c>
    </row>
    <row r="1220" spans="2:5" ht="16.5" x14ac:dyDescent="0.3">
      <c r="B1220" s="236">
        <v>43881</v>
      </c>
      <c r="C1220" s="73"/>
      <c r="D1220" s="73"/>
      <c r="E1220" s="145">
        <v>16961.16</v>
      </c>
    </row>
    <row r="1221" spans="2:5" ht="16.5" x14ac:dyDescent="0.3">
      <c r="B1221" s="236">
        <v>43880</v>
      </c>
      <c r="C1221" s="73"/>
      <c r="D1221" s="73"/>
      <c r="E1221" s="145">
        <v>17024.41</v>
      </c>
    </row>
    <row r="1222" spans="2:5" ht="16.5" x14ac:dyDescent="0.3">
      <c r="B1222" s="236">
        <v>43879</v>
      </c>
      <c r="C1222" s="73"/>
      <c r="D1222" s="73"/>
      <c r="E1222" s="145">
        <v>16837.080000000002</v>
      </c>
    </row>
    <row r="1223" spans="2:5" ht="16.5" x14ac:dyDescent="0.3">
      <c r="B1223" s="236">
        <v>43878</v>
      </c>
      <c r="C1223" s="73"/>
      <c r="D1223" s="73"/>
      <c r="E1223" s="145">
        <v>16911.919999999998</v>
      </c>
    </row>
    <row r="1224" spans="2:5" ht="16.5" x14ac:dyDescent="0.3">
      <c r="B1224" s="236">
        <v>43875</v>
      </c>
      <c r="C1224" s="73"/>
      <c r="D1224" s="73"/>
      <c r="E1224" s="145">
        <v>17002.89</v>
      </c>
    </row>
    <row r="1225" spans="2:5" ht="16.5" x14ac:dyDescent="0.3">
      <c r="B1225" s="236">
        <v>43874</v>
      </c>
      <c r="C1225" s="73"/>
      <c r="D1225" s="73"/>
      <c r="E1225" s="145">
        <v>17088.84</v>
      </c>
    </row>
    <row r="1226" spans="2:5" ht="16.5" x14ac:dyDescent="0.3">
      <c r="B1226" s="236">
        <v>43873</v>
      </c>
      <c r="C1226" s="73"/>
      <c r="D1226" s="73"/>
      <c r="E1226" s="145">
        <v>17126.07</v>
      </c>
    </row>
    <row r="1227" spans="2:5" ht="16.5" x14ac:dyDescent="0.3">
      <c r="B1227" s="236">
        <v>43872</v>
      </c>
      <c r="C1227" s="73"/>
      <c r="D1227" s="73"/>
      <c r="E1227" s="145">
        <v>16995.099999999999</v>
      </c>
    </row>
    <row r="1228" spans="2:5" ht="16.5" x14ac:dyDescent="0.3">
      <c r="B1228" s="236">
        <v>43871</v>
      </c>
      <c r="C1228" s="73"/>
      <c r="D1228" s="73"/>
      <c r="E1228" s="145">
        <v>16887.86</v>
      </c>
    </row>
    <row r="1229" spans="2:5" ht="16.5" x14ac:dyDescent="0.3">
      <c r="B1229" s="236">
        <v>43868</v>
      </c>
      <c r="C1229" s="73"/>
      <c r="D1229" s="73"/>
      <c r="E1229" s="145">
        <v>16981.75</v>
      </c>
    </row>
    <row r="1230" spans="2:5" ht="16.5" x14ac:dyDescent="0.3">
      <c r="B1230" s="236">
        <v>43867</v>
      </c>
      <c r="C1230" s="73"/>
      <c r="D1230" s="73"/>
      <c r="E1230" s="145">
        <v>17037.28</v>
      </c>
    </row>
    <row r="1231" spans="2:5" ht="16.5" x14ac:dyDescent="0.3">
      <c r="B1231" s="236">
        <v>43866</v>
      </c>
      <c r="C1231" s="73"/>
      <c r="D1231" s="73"/>
      <c r="E1231" s="145">
        <v>16968.830000000002</v>
      </c>
    </row>
    <row r="1232" spans="2:5" ht="16.5" x14ac:dyDescent="0.3">
      <c r="B1232" s="236">
        <v>43865</v>
      </c>
      <c r="C1232" s="73"/>
      <c r="D1232" s="73"/>
      <c r="E1232" s="145">
        <v>16815.12</v>
      </c>
    </row>
    <row r="1233" spans="2:5" ht="16.5" x14ac:dyDescent="0.3">
      <c r="B1233" s="236">
        <v>43864</v>
      </c>
      <c r="C1233" s="73"/>
      <c r="D1233" s="73"/>
      <c r="E1233" s="145">
        <v>16433.650000000001</v>
      </c>
    </row>
    <row r="1234" spans="2:5" ht="16.5" x14ac:dyDescent="0.3">
      <c r="B1234" s="236">
        <v>43862</v>
      </c>
      <c r="C1234" s="73"/>
      <c r="D1234" s="73"/>
      <c r="E1234" s="145">
        <v>16369</v>
      </c>
    </row>
    <row r="1235" spans="2:5" ht="16.5" x14ac:dyDescent="0.3">
      <c r="B1235" s="236">
        <v>43861</v>
      </c>
      <c r="C1235" s="73"/>
      <c r="D1235" s="73"/>
      <c r="E1235" s="145">
        <v>16790.45</v>
      </c>
    </row>
    <row r="1236" spans="2:5" ht="16.5" x14ac:dyDescent="0.3">
      <c r="B1236" s="236">
        <v>43860</v>
      </c>
      <c r="C1236" s="73"/>
      <c r="D1236" s="73"/>
      <c r="E1236" s="145">
        <v>16893.91</v>
      </c>
    </row>
    <row r="1237" spans="2:5" ht="16.5" x14ac:dyDescent="0.3">
      <c r="B1237" s="236">
        <v>43859</v>
      </c>
      <c r="C1237" s="73"/>
      <c r="D1237" s="73"/>
      <c r="E1237" s="145">
        <v>17025.46</v>
      </c>
    </row>
    <row r="1238" spans="2:5" ht="16.5" x14ac:dyDescent="0.3">
      <c r="B1238" s="236">
        <v>43858</v>
      </c>
      <c r="C1238" s="73"/>
      <c r="D1238" s="73"/>
      <c r="E1238" s="145">
        <v>16922.009999999998</v>
      </c>
    </row>
    <row r="1239" spans="2:5" ht="16.5" x14ac:dyDescent="0.3">
      <c r="B1239" s="236">
        <v>43857</v>
      </c>
      <c r="C1239" s="73"/>
      <c r="D1239" s="73"/>
      <c r="E1239" s="145">
        <v>17010.7</v>
      </c>
    </row>
    <row r="1240" spans="2:5" ht="16.5" x14ac:dyDescent="0.3">
      <c r="B1240" s="236">
        <v>43854</v>
      </c>
      <c r="C1240" s="73"/>
      <c r="D1240" s="73"/>
      <c r="E1240" s="145">
        <v>17192.150000000001</v>
      </c>
    </row>
    <row r="1241" spans="2:5" ht="16.5" x14ac:dyDescent="0.3">
      <c r="B1241" s="236">
        <v>43853</v>
      </c>
      <c r="C1241" s="73"/>
      <c r="D1241" s="73"/>
      <c r="E1241" s="145">
        <v>17095.61</v>
      </c>
    </row>
    <row r="1242" spans="2:5" ht="16.5" x14ac:dyDescent="0.3">
      <c r="B1242" s="236">
        <v>43852</v>
      </c>
      <c r="C1242" s="73"/>
      <c r="D1242" s="73"/>
      <c r="E1242" s="145">
        <v>16990.68</v>
      </c>
    </row>
    <row r="1243" spans="2:5" ht="16.5" x14ac:dyDescent="0.3">
      <c r="B1243" s="236">
        <v>43851</v>
      </c>
      <c r="C1243" s="73"/>
      <c r="D1243" s="73"/>
      <c r="E1243" s="145">
        <v>17079.07</v>
      </c>
    </row>
    <row r="1244" spans="2:5" ht="16.5" x14ac:dyDescent="0.3">
      <c r="B1244" s="236">
        <v>43850</v>
      </c>
      <c r="C1244" s="73"/>
      <c r="D1244" s="73"/>
      <c r="E1244" s="145">
        <v>17155.830000000002</v>
      </c>
    </row>
    <row r="1245" spans="2:5" ht="16.5" x14ac:dyDescent="0.3">
      <c r="B1245" s="236">
        <v>43847</v>
      </c>
      <c r="C1245" s="73"/>
      <c r="D1245" s="73"/>
      <c r="E1245" s="145">
        <v>17335.2</v>
      </c>
    </row>
    <row r="1246" spans="2:5" ht="16.5" x14ac:dyDescent="0.3">
      <c r="B1246" s="236">
        <v>43846</v>
      </c>
      <c r="C1246" s="73"/>
      <c r="D1246" s="73"/>
      <c r="E1246" s="145">
        <v>17339.57</v>
      </c>
    </row>
    <row r="1247" spans="2:5" ht="16.5" x14ac:dyDescent="0.3">
      <c r="B1247" s="236">
        <v>43845</v>
      </c>
      <c r="C1247" s="73"/>
      <c r="D1247" s="73"/>
      <c r="E1247" s="145">
        <v>17322.5</v>
      </c>
    </row>
    <row r="1248" spans="2:5" ht="16.5" x14ac:dyDescent="0.3">
      <c r="B1248" s="236">
        <v>43844</v>
      </c>
      <c r="C1248" s="73"/>
      <c r="D1248" s="73"/>
      <c r="E1248" s="145">
        <v>17349.12</v>
      </c>
    </row>
    <row r="1249" spans="2:5" ht="16.5" x14ac:dyDescent="0.3">
      <c r="B1249" s="236">
        <v>43843</v>
      </c>
      <c r="C1249" s="73"/>
      <c r="D1249" s="73"/>
      <c r="E1249" s="145">
        <v>17303.2</v>
      </c>
    </row>
    <row r="1250" spans="2:5" ht="16.5" x14ac:dyDescent="0.3">
      <c r="B1250" s="236">
        <v>43840</v>
      </c>
      <c r="C1250" s="73"/>
      <c r="D1250" s="73"/>
      <c r="E1250" s="145">
        <v>17201.080000000002</v>
      </c>
    </row>
    <row r="1251" spans="2:5" ht="16.5" x14ac:dyDescent="0.3">
      <c r="B1251" s="236">
        <v>43839</v>
      </c>
      <c r="C1251" s="73"/>
      <c r="D1251" s="73"/>
      <c r="E1251" s="145">
        <v>17143.650000000001</v>
      </c>
    </row>
    <row r="1252" spans="2:5" ht="16.5" x14ac:dyDescent="0.3">
      <c r="B1252" s="236">
        <v>43838</v>
      </c>
      <c r="C1252" s="73"/>
      <c r="D1252" s="73"/>
      <c r="E1252" s="145">
        <v>16876.240000000002</v>
      </c>
    </row>
    <row r="1253" spans="2:5" ht="16.5" x14ac:dyDescent="0.3">
      <c r="B1253" s="236">
        <v>43837</v>
      </c>
      <c r="C1253" s="73"/>
      <c r="D1253" s="73"/>
      <c r="E1253" s="145">
        <v>16915.03</v>
      </c>
    </row>
    <row r="1254" spans="2:5" ht="16.5" x14ac:dyDescent="0.3">
      <c r="B1254" s="236">
        <v>43836</v>
      </c>
      <c r="C1254" s="73"/>
      <c r="D1254" s="73"/>
      <c r="E1254" s="145">
        <v>16830.93</v>
      </c>
    </row>
    <row r="1255" spans="2:5" ht="16.5" x14ac:dyDescent="0.3">
      <c r="B1255" s="236">
        <v>43833</v>
      </c>
      <c r="C1255" s="73"/>
      <c r="D1255" s="73"/>
      <c r="E1255" s="145">
        <v>17158.75</v>
      </c>
    </row>
    <row r="1256" spans="2:5" ht="16.5" x14ac:dyDescent="0.3">
      <c r="B1256" s="236">
        <v>43832</v>
      </c>
      <c r="C1256" s="73"/>
      <c r="D1256" s="73"/>
      <c r="E1256" s="145">
        <v>17236.7</v>
      </c>
    </row>
    <row r="1257" spans="2:5" ht="16.5" x14ac:dyDescent="0.3">
      <c r="B1257" s="236">
        <v>43831</v>
      </c>
      <c r="C1257" s="73"/>
      <c r="D1257" s="73"/>
      <c r="E1257" s="145">
        <v>17096.830000000002</v>
      </c>
    </row>
    <row r="1258" spans="2:5" ht="16.5" x14ac:dyDescent="0.3">
      <c r="B1258" s="236">
        <v>43830</v>
      </c>
      <c r="C1258" s="73"/>
      <c r="D1258" s="73"/>
      <c r="E1258" s="145">
        <v>17077.060000000001</v>
      </c>
    </row>
    <row r="1259" spans="2:5" ht="16.5" x14ac:dyDescent="0.3">
      <c r="B1259" s="236">
        <v>43829</v>
      </c>
      <c r="C1259" s="73"/>
      <c r="D1259" s="73"/>
      <c r="E1259" s="145">
        <v>17199.73</v>
      </c>
    </row>
    <row r="1260" spans="2:5" ht="16.5" x14ac:dyDescent="0.3">
      <c r="B1260" s="236">
        <v>43826</v>
      </c>
      <c r="C1260" s="73"/>
      <c r="D1260" s="73"/>
      <c r="E1260" s="145">
        <v>17185.66</v>
      </c>
    </row>
    <row r="1261" spans="2:5" ht="16.5" x14ac:dyDescent="0.3">
      <c r="B1261" s="236">
        <v>43825</v>
      </c>
      <c r="C1261" s="73"/>
      <c r="D1261" s="73"/>
      <c r="E1261" s="145">
        <v>17018.259999999998</v>
      </c>
    </row>
    <row r="1262" spans="2:5" ht="16.5" x14ac:dyDescent="0.3">
      <c r="B1262" s="236">
        <v>43823</v>
      </c>
      <c r="C1262" s="73"/>
      <c r="D1262" s="73"/>
      <c r="E1262" s="145">
        <v>17141.8</v>
      </c>
    </row>
    <row r="1263" spans="2:5" ht="16.5" x14ac:dyDescent="0.3">
      <c r="B1263" s="236">
        <v>43822</v>
      </c>
      <c r="C1263" s="73"/>
      <c r="D1263" s="73"/>
      <c r="E1263" s="145">
        <v>17209.400000000001</v>
      </c>
    </row>
    <row r="1264" spans="2:5" ht="16.5" x14ac:dyDescent="0.3">
      <c r="B1264" s="236">
        <v>43819</v>
      </c>
      <c r="C1264" s="73"/>
      <c r="D1264" s="73"/>
      <c r="E1264" s="145">
        <v>17222.14</v>
      </c>
    </row>
    <row r="1265" spans="2:5" ht="16.5" x14ac:dyDescent="0.3">
      <c r="B1265" s="236">
        <v>43818</v>
      </c>
      <c r="C1265" s="73"/>
      <c r="D1265" s="73"/>
      <c r="E1265" s="145">
        <v>17205.12</v>
      </c>
    </row>
    <row r="1266" spans="2:5" ht="16.5" x14ac:dyDescent="0.3">
      <c r="B1266" s="236">
        <v>43817</v>
      </c>
      <c r="C1266" s="73"/>
      <c r="D1266" s="73"/>
      <c r="E1266" s="145">
        <v>17150.93</v>
      </c>
    </row>
    <row r="1267" spans="2:5" ht="16.5" x14ac:dyDescent="0.3">
      <c r="B1267" s="236">
        <v>43816</v>
      </c>
      <c r="C1267" s="73"/>
      <c r="D1267" s="73"/>
      <c r="E1267" s="145">
        <v>17071.490000000002</v>
      </c>
    </row>
    <row r="1268" spans="2:5" ht="16.5" x14ac:dyDescent="0.3">
      <c r="B1268" s="236">
        <v>43815</v>
      </c>
      <c r="C1268" s="73"/>
      <c r="D1268" s="73"/>
      <c r="E1268" s="145">
        <v>16915.650000000001</v>
      </c>
    </row>
    <row r="1269" spans="2:5" ht="16.5" x14ac:dyDescent="0.3">
      <c r="B1269" s="236">
        <v>43812</v>
      </c>
      <c r="C1269" s="73"/>
      <c r="D1269" s="73"/>
      <c r="E1269" s="145">
        <v>16961.560000000001</v>
      </c>
    </row>
    <row r="1270" spans="2:5" ht="16.5" x14ac:dyDescent="0.3">
      <c r="B1270" s="236">
        <v>43811</v>
      </c>
      <c r="C1270" s="73"/>
      <c r="D1270" s="73"/>
      <c r="E1270" s="145">
        <v>16800.36</v>
      </c>
    </row>
    <row r="1271" spans="2:5" ht="16.5" x14ac:dyDescent="0.3">
      <c r="B1271" s="236">
        <v>43810</v>
      </c>
      <c r="C1271" s="73"/>
      <c r="D1271" s="73"/>
      <c r="E1271" s="145">
        <v>16713.79</v>
      </c>
    </row>
    <row r="1272" spans="2:5" ht="16.5" x14ac:dyDescent="0.3">
      <c r="B1272" s="236">
        <v>43809</v>
      </c>
      <c r="C1272" s="73"/>
      <c r="D1272" s="73"/>
      <c r="E1272" s="145">
        <v>16638.939999999999</v>
      </c>
    </row>
    <row r="1273" spans="2:5" ht="16.5" x14ac:dyDescent="0.3">
      <c r="B1273" s="236">
        <v>43808</v>
      </c>
      <c r="C1273" s="73"/>
      <c r="D1273" s="73"/>
      <c r="E1273" s="145">
        <v>16751.53</v>
      </c>
    </row>
    <row r="1274" spans="2:5" ht="16.5" x14ac:dyDescent="0.3">
      <c r="B1274" s="236">
        <v>43805</v>
      </c>
      <c r="C1274" s="73"/>
      <c r="D1274" s="73"/>
      <c r="E1274" s="145">
        <v>16729.080000000002</v>
      </c>
    </row>
    <row r="1275" spans="2:5" ht="16.5" x14ac:dyDescent="0.3">
      <c r="B1275" s="236">
        <v>43804</v>
      </c>
      <c r="C1275" s="73"/>
      <c r="D1275" s="73"/>
      <c r="E1275" s="145">
        <v>16865.04</v>
      </c>
    </row>
    <row r="1276" spans="2:5" ht="16.5" x14ac:dyDescent="0.3">
      <c r="B1276" s="236">
        <v>43803</v>
      </c>
      <c r="C1276" s="73"/>
      <c r="D1276" s="73"/>
      <c r="E1276" s="145">
        <v>16899.88</v>
      </c>
    </row>
    <row r="1277" spans="2:5" ht="16.5" x14ac:dyDescent="0.3">
      <c r="B1277" s="236">
        <v>43802</v>
      </c>
      <c r="C1277" s="73"/>
      <c r="D1277" s="73"/>
      <c r="E1277" s="145">
        <v>16831.11</v>
      </c>
    </row>
    <row r="1278" spans="2:5" ht="16.5" x14ac:dyDescent="0.3">
      <c r="B1278" s="236">
        <v>43801</v>
      </c>
      <c r="C1278" s="73"/>
      <c r="D1278" s="73"/>
      <c r="E1278" s="145">
        <v>16906.88</v>
      </c>
    </row>
    <row r="1279" spans="2:5" ht="16.5" x14ac:dyDescent="0.3">
      <c r="B1279" s="236">
        <v>43798</v>
      </c>
      <c r="C1279" s="73"/>
      <c r="D1279" s="73"/>
      <c r="E1279" s="145">
        <v>16917.89</v>
      </c>
    </row>
    <row r="1280" spans="2:5" ht="16.5" x14ac:dyDescent="0.3">
      <c r="B1280" s="236">
        <v>43797</v>
      </c>
      <c r="C1280" s="73"/>
      <c r="D1280" s="73"/>
      <c r="E1280" s="145">
        <v>17051.310000000001</v>
      </c>
    </row>
    <row r="1281" spans="2:5" ht="16.5" x14ac:dyDescent="0.3">
      <c r="B1281" s="236">
        <v>43796</v>
      </c>
      <c r="C1281" s="73"/>
      <c r="D1281" s="73"/>
      <c r="E1281" s="145">
        <v>16980.54</v>
      </c>
    </row>
    <row r="1282" spans="2:5" ht="16.5" x14ac:dyDescent="0.3">
      <c r="B1282" s="236">
        <v>43795</v>
      </c>
      <c r="C1282" s="73"/>
      <c r="D1282" s="73"/>
      <c r="E1282" s="145">
        <v>16892.150000000001</v>
      </c>
    </row>
    <row r="1283" spans="2:5" ht="16.5" x14ac:dyDescent="0.3">
      <c r="B1283" s="236">
        <v>43794</v>
      </c>
      <c r="C1283" s="73"/>
      <c r="D1283" s="73"/>
      <c r="E1283" s="145">
        <v>16942.7</v>
      </c>
    </row>
    <row r="1284" spans="2:5" ht="16.5" x14ac:dyDescent="0.3">
      <c r="B1284" s="236">
        <v>43791</v>
      </c>
      <c r="C1284" s="73"/>
      <c r="D1284" s="73"/>
      <c r="E1284" s="145">
        <v>16719.11</v>
      </c>
    </row>
    <row r="1285" spans="2:5" ht="16.5" x14ac:dyDescent="0.3">
      <c r="B1285" s="236">
        <v>43790</v>
      </c>
      <c r="C1285" s="73"/>
      <c r="D1285" s="73"/>
      <c r="E1285" s="145">
        <v>16794.86</v>
      </c>
    </row>
    <row r="1286" spans="2:5" ht="16.5" x14ac:dyDescent="0.3">
      <c r="B1286" s="236">
        <v>43789</v>
      </c>
      <c r="C1286" s="73"/>
      <c r="D1286" s="73"/>
      <c r="E1286" s="145">
        <v>16837.96</v>
      </c>
    </row>
    <row r="1287" spans="2:5" ht="16.5" x14ac:dyDescent="0.3">
      <c r="B1287" s="236">
        <v>43788</v>
      </c>
      <c r="C1287" s="73"/>
      <c r="D1287" s="73"/>
      <c r="E1287" s="145">
        <v>16755.150000000001</v>
      </c>
    </row>
    <row r="1288" spans="2:5" ht="16.5" x14ac:dyDescent="0.3">
      <c r="B1288" s="236">
        <v>43787</v>
      </c>
      <c r="C1288" s="73"/>
      <c r="D1288" s="73"/>
      <c r="E1288" s="145">
        <v>16677.14</v>
      </c>
    </row>
    <row r="1289" spans="2:5" ht="16.5" x14ac:dyDescent="0.3">
      <c r="B1289" s="236">
        <v>43784</v>
      </c>
      <c r="C1289" s="73"/>
      <c r="D1289" s="73"/>
      <c r="E1289" s="145">
        <v>16692.52</v>
      </c>
    </row>
    <row r="1290" spans="2:5" ht="16.5" x14ac:dyDescent="0.3">
      <c r="B1290" s="236">
        <v>43783</v>
      </c>
      <c r="C1290" s="73"/>
      <c r="D1290" s="73"/>
      <c r="E1290" s="145">
        <v>16659.78</v>
      </c>
    </row>
    <row r="1291" spans="2:5" ht="16.5" x14ac:dyDescent="0.3">
      <c r="B1291" s="236">
        <v>43782</v>
      </c>
      <c r="C1291" s="73"/>
      <c r="D1291" s="73"/>
      <c r="E1291" s="145">
        <v>16615.37</v>
      </c>
    </row>
    <row r="1292" spans="2:5" ht="16.5" x14ac:dyDescent="0.3">
      <c r="B1292" s="236">
        <v>43780</v>
      </c>
      <c r="C1292" s="73"/>
      <c r="D1292" s="73"/>
      <c r="E1292" s="145">
        <v>16717.75</v>
      </c>
    </row>
    <row r="1293" spans="2:5" ht="16.5" x14ac:dyDescent="0.3">
      <c r="B1293" s="236">
        <v>43777</v>
      </c>
      <c r="C1293" s="73"/>
      <c r="D1293" s="73"/>
      <c r="E1293" s="145">
        <v>16710.37</v>
      </c>
    </row>
    <row r="1294" spans="2:5" ht="16.5" x14ac:dyDescent="0.3">
      <c r="B1294" s="236">
        <v>43776</v>
      </c>
      <c r="C1294" s="73"/>
      <c r="D1294" s="73"/>
      <c r="E1294" s="145">
        <v>16856.169999999998</v>
      </c>
    </row>
    <row r="1295" spans="2:5" ht="16.5" x14ac:dyDescent="0.3">
      <c r="B1295" s="236">
        <v>43775</v>
      </c>
      <c r="C1295" s="73"/>
      <c r="D1295" s="73"/>
      <c r="E1295" s="145">
        <v>16791.61</v>
      </c>
    </row>
    <row r="1296" spans="2:5" ht="16.5" x14ac:dyDescent="0.3">
      <c r="B1296" s="236">
        <v>43774</v>
      </c>
      <c r="C1296" s="73"/>
      <c r="D1296" s="73"/>
      <c r="E1296" s="145">
        <v>16723.060000000001</v>
      </c>
    </row>
    <row r="1297" spans="2:5" ht="16.5" x14ac:dyDescent="0.3">
      <c r="B1297" s="236">
        <v>43773</v>
      </c>
      <c r="C1297" s="73"/>
      <c r="D1297" s="73"/>
      <c r="E1297" s="145">
        <v>16756.87</v>
      </c>
    </row>
    <row r="1298" spans="2:5" ht="16.5" x14ac:dyDescent="0.3">
      <c r="B1298" s="236">
        <v>43770</v>
      </c>
      <c r="C1298" s="73"/>
      <c r="D1298" s="73"/>
      <c r="E1298" s="145">
        <v>16685.73</v>
      </c>
    </row>
    <row r="1299" spans="2:5" ht="16.5" x14ac:dyDescent="0.3">
      <c r="B1299" s="236">
        <v>43769</v>
      </c>
      <c r="C1299" s="73"/>
      <c r="D1299" s="73"/>
      <c r="E1299" s="145">
        <v>16667.29</v>
      </c>
    </row>
    <row r="1300" spans="2:5" ht="16.5" x14ac:dyDescent="0.3">
      <c r="B1300" s="236">
        <v>43768</v>
      </c>
      <c r="C1300" s="73"/>
      <c r="D1300" s="73"/>
      <c r="E1300" s="145">
        <v>16620.07</v>
      </c>
    </row>
    <row r="1301" spans="2:5" ht="16.5" x14ac:dyDescent="0.3">
      <c r="B1301" s="236">
        <v>43767</v>
      </c>
      <c r="C1301" s="73"/>
      <c r="D1301" s="73"/>
      <c r="E1301" s="145">
        <v>16539.23</v>
      </c>
    </row>
    <row r="1302" spans="2:5" ht="16.5" x14ac:dyDescent="0.3">
      <c r="B1302" s="236">
        <v>43765</v>
      </c>
      <c r="C1302" s="73"/>
      <c r="D1302" s="73"/>
      <c r="E1302" s="145">
        <v>16315.17</v>
      </c>
    </row>
    <row r="1303" spans="2:5" ht="16.5" x14ac:dyDescent="0.3">
      <c r="B1303" s="236">
        <v>43763</v>
      </c>
      <c r="C1303" s="73"/>
      <c r="D1303" s="73"/>
      <c r="E1303" s="145">
        <v>16254.45</v>
      </c>
    </row>
    <row r="1304" spans="2:5" ht="16.5" x14ac:dyDescent="0.3">
      <c r="B1304" s="236">
        <v>43762</v>
      </c>
      <c r="C1304" s="73"/>
      <c r="D1304" s="73"/>
      <c r="E1304" s="145">
        <v>16252.63</v>
      </c>
    </row>
    <row r="1305" spans="2:5" ht="16.5" x14ac:dyDescent="0.3">
      <c r="B1305" s="236">
        <v>43761</v>
      </c>
      <c r="C1305" s="73"/>
      <c r="D1305" s="73"/>
      <c r="E1305" s="145">
        <v>16282.84</v>
      </c>
    </row>
    <row r="1306" spans="2:5" ht="16.5" x14ac:dyDescent="0.3">
      <c r="B1306" s="236">
        <v>43760</v>
      </c>
      <c r="C1306" s="73"/>
      <c r="D1306" s="73"/>
      <c r="E1306" s="145">
        <v>16248.11</v>
      </c>
    </row>
    <row r="1307" spans="2:5" ht="16.5" x14ac:dyDescent="0.3">
      <c r="B1307" s="236">
        <v>43756</v>
      </c>
      <c r="C1307" s="73"/>
      <c r="D1307" s="73"/>
      <c r="E1307" s="145">
        <v>16351.16</v>
      </c>
    </row>
    <row r="1308" spans="2:5" ht="16.5" x14ac:dyDescent="0.3">
      <c r="B1308" s="236">
        <v>43755</v>
      </c>
      <c r="C1308" s="73"/>
      <c r="D1308" s="73"/>
      <c r="E1308" s="145">
        <v>16245.31</v>
      </c>
    </row>
    <row r="1309" spans="2:5" ht="16.5" x14ac:dyDescent="0.3">
      <c r="B1309" s="236">
        <v>43754</v>
      </c>
      <c r="C1309" s="73"/>
      <c r="D1309" s="73"/>
      <c r="E1309" s="145">
        <v>16057.85</v>
      </c>
    </row>
    <row r="1310" spans="2:5" ht="16.5" x14ac:dyDescent="0.3">
      <c r="B1310" s="236">
        <v>43753</v>
      </c>
      <c r="C1310" s="73"/>
      <c r="D1310" s="73"/>
      <c r="E1310" s="145">
        <v>16007.83</v>
      </c>
    </row>
    <row r="1311" spans="2:5" ht="16.5" x14ac:dyDescent="0.3">
      <c r="B1311" s="236">
        <v>43752</v>
      </c>
      <c r="C1311" s="73"/>
      <c r="D1311" s="73"/>
      <c r="E1311" s="145">
        <v>15885.74</v>
      </c>
    </row>
    <row r="1312" spans="2:5" ht="16.5" x14ac:dyDescent="0.3">
      <c r="B1312" s="236">
        <v>43749</v>
      </c>
      <c r="C1312" s="73"/>
      <c r="D1312" s="73"/>
      <c r="E1312" s="145">
        <v>15835.17</v>
      </c>
    </row>
    <row r="1313" spans="2:5" ht="16.5" x14ac:dyDescent="0.3">
      <c r="B1313" s="236">
        <v>43748</v>
      </c>
      <c r="C1313" s="73"/>
      <c r="D1313" s="73"/>
      <c r="E1313" s="145">
        <v>15736.44</v>
      </c>
    </row>
    <row r="1314" spans="2:5" ht="16.5" x14ac:dyDescent="0.3">
      <c r="B1314" s="236">
        <v>43747</v>
      </c>
      <c r="C1314" s="73"/>
      <c r="D1314" s="73"/>
      <c r="E1314" s="145">
        <v>15846.77</v>
      </c>
    </row>
    <row r="1315" spans="2:5" ht="16.5" x14ac:dyDescent="0.3">
      <c r="B1315" s="236">
        <v>43745</v>
      </c>
      <c r="C1315" s="73"/>
      <c r="D1315" s="73"/>
      <c r="E1315" s="145">
        <v>15584.94</v>
      </c>
    </row>
    <row r="1316" spans="2:5" ht="16.5" x14ac:dyDescent="0.3">
      <c r="B1316" s="236">
        <v>43742</v>
      </c>
      <c r="C1316" s="73"/>
      <c r="D1316" s="73"/>
      <c r="E1316" s="145">
        <v>15652.7</v>
      </c>
    </row>
    <row r="1317" spans="2:5" ht="16.5" x14ac:dyDescent="0.3">
      <c r="B1317" s="236">
        <v>43741</v>
      </c>
      <c r="C1317" s="73"/>
      <c r="D1317" s="73"/>
      <c r="E1317" s="145">
        <v>15847.7</v>
      </c>
    </row>
    <row r="1318" spans="2:5" ht="16.5" x14ac:dyDescent="0.3">
      <c r="B1318" s="236">
        <v>43739</v>
      </c>
      <c r="C1318" s="73"/>
      <c r="D1318" s="73"/>
      <c r="E1318" s="145">
        <v>15912.03</v>
      </c>
    </row>
    <row r="1319" spans="2:5" ht="16.5" x14ac:dyDescent="0.3">
      <c r="B1319" s="236">
        <v>43738</v>
      </c>
      <c r="C1319" s="73"/>
      <c r="D1319" s="73"/>
      <c r="E1319" s="145">
        <v>16072.5</v>
      </c>
    </row>
    <row r="1320" spans="2:5" ht="16.5" x14ac:dyDescent="0.3">
      <c r="B1320" s="236">
        <v>43735</v>
      </c>
      <c r="C1320" s="73"/>
      <c r="D1320" s="73"/>
      <c r="E1320" s="145">
        <v>16125.65</v>
      </c>
    </row>
    <row r="1321" spans="2:5" ht="16.5" x14ac:dyDescent="0.3">
      <c r="B1321" s="236">
        <v>43734</v>
      </c>
      <c r="C1321" s="73"/>
      <c r="D1321" s="73"/>
      <c r="E1321" s="145">
        <v>16207.96</v>
      </c>
    </row>
    <row r="1322" spans="2:5" ht="16.5" x14ac:dyDescent="0.3">
      <c r="B1322" s="236">
        <v>43733</v>
      </c>
      <c r="C1322" s="73"/>
      <c r="D1322" s="73"/>
      <c r="E1322" s="145">
        <v>16024.49</v>
      </c>
    </row>
    <row r="1323" spans="2:5" ht="16.5" x14ac:dyDescent="0.3">
      <c r="B1323" s="236">
        <v>43732</v>
      </c>
      <c r="C1323" s="73"/>
      <c r="D1323" s="73"/>
      <c r="E1323" s="145">
        <v>16231.83</v>
      </c>
    </row>
    <row r="1324" spans="2:5" ht="16.5" x14ac:dyDescent="0.3">
      <c r="B1324" s="236">
        <v>43731</v>
      </c>
      <c r="C1324" s="73"/>
      <c r="D1324" s="73"/>
      <c r="E1324" s="145">
        <v>16248.62</v>
      </c>
    </row>
    <row r="1325" spans="2:5" ht="16.5" x14ac:dyDescent="0.3">
      <c r="B1325" s="236">
        <v>43728</v>
      </c>
      <c r="C1325" s="73"/>
      <c r="D1325" s="73"/>
      <c r="E1325" s="145">
        <v>15791.99</v>
      </c>
    </row>
    <row r="1326" spans="2:5" ht="16.5" x14ac:dyDescent="0.3">
      <c r="B1326" s="236">
        <v>43727</v>
      </c>
      <c r="C1326" s="73"/>
      <c r="D1326" s="73"/>
      <c r="E1326" s="145">
        <v>14994.39</v>
      </c>
    </row>
    <row r="1327" spans="2:5" ht="16.5" x14ac:dyDescent="0.3">
      <c r="B1327" s="236">
        <v>43726</v>
      </c>
      <c r="C1327" s="73"/>
      <c r="D1327" s="73"/>
      <c r="E1327" s="145">
        <v>15184.69</v>
      </c>
    </row>
    <row r="1328" spans="2:5" ht="16.5" x14ac:dyDescent="0.3">
      <c r="B1328" s="236">
        <v>43725</v>
      </c>
      <c r="C1328" s="73"/>
      <c r="D1328" s="73"/>
      <c r="E1328" s="145">
        <v>15152.39</v>
      </c>
    </row>
    <row r="1329" spans="2:5" ht="16.5" x14ac:dyDescent="0.3">
      <c r="B1329" s="236">
        <v>43724</v>
      </c>
      <c r="C1329" s="73"/>
      <c r="D1329" s="73"/>
      <c r="E1329" s="145">
        <v>15412.83</v>
      </c>
    </row>
    <row r="1330" spans="2:5" ht="16.5" x14ac:dyDescent="0.3">
      <c r="B1330" s="236">
        <v>43721</v>
      </c>
      <c r="C1330" s="73"/>
      <c r="D1330" s="73"/>
      <c r="E1330" s="145">
        <v>15514.2</v>
      </c>
    </row>
    <row r="1331" spans="2:5" ht="16.5" x14ac:dyDescent="0.3">
      <c r="B1331" s="236">
        <v>43720</v>
      </c>
      <c r="C1331" s="73"/>
      <c r="D1331" s="73"/>
      <c r="E1331" s="145">
        <v>15383.82</v>
      </c>
    </row>
    <row r="1332" spans="2:5" ht="16.5" x14ac:dyDescent="0.3">
      <c r="B1332" s="236">
        <v>43719</v>
      </c>
      <c r="C1332" s="73"/>
      <c r="D1332" s="73"/>
      <c r="E1332" s="145">
        <v>15457.9</v>
      </c>
    </row>
    <row r="1333" spans="2:5" ht="16.5" x14ac:dyDescent="0.3">
      <c r="B1333" s="236">
        <v>43717</v>
      </c>
      <c r="C1333" s="73"/>
      <c r="D1333" s="73"/>
      <c r="E1333" s="145">
        <v>15412.14</v>
      </c>
    </row>
    <row r="1334" spans="2:5" ht="16.5" x14ac:dyDescent="0.3">
      <c r="B1334" s="236">
        <v>43714</v>
      </c>
      <c r="C1334" s="73"/>
      <c r="D1334" s="73"/>
      <c r="E1334" s="145">
        <v>15332.57</v>
      </c>
    </row>
    <row r="1335" spans="2:5" ht="16.5" x14ac:dyDescent="0.3">
      <c r="B1335" s="236">
        <v>43713</v>
      </c>
      <c r="C1335" s="73"/>
      <c r="D1335" s="73"/>
      <c r="E1335" s="145">
        <v>15194.86</v>
      </c>
    </row>
    <row r="1336" spans="2:5" ht="16.5" x14ac:dyDescent="0.3">
      <c r="B1336" s="236">
        <v>43712</v>
      </c>
      <c r="C1336" s="73"/>
      <c r="D1336" s="73"/>
      <c r="E1336" s="145">
        <v>15190.3</v>
      </c>
    </row>
    <row r="1337" spans="2:5" ht="16.5" x14ac:dyDescent="0.3">
      <c r="B1337" s="236">
        <v>43711</v>
      </c>
      <c r="C1337" s="73"/>
      <c r="D1337" s="73"/>
      <c r="E1337" s="145">
        <v>15124.8</v>
      </c>
    </row>
    <row r="1338" spans="2:5" ht="16.5" x14ac:dyDescent="0.3">
      <c r="B1338" s="236">
        <v>43707</v>
      </c>
      <c r="C1338" s="73"/>
      <c r="D1338" s="73"/>
      <c r="E1338" s="145">
        <v>15440.47</v>
      </c>
    </row>
    <row r="1339" spans="2:5" ht="16.5" x14ac:dyDescent="0.3">
      <c r="B1339" s="236">
        <v>43706</v>
      </c>
      <c r="C1339" s="73"/>
      <c r="D1339" s="73"/>
      <c r="E1339" s="145">
        <v>15335.45</v>
      </c>
    </row>
    <row r="1340" spans="2:5" ht="16.5" x14ac:dyDescent="0.3">
      <c r="B1340" s="236">
        <v>43705</v>
      </c>
      <c r="C1340" s="73"/>
      <c r="D1340" s="73"/>
      <c r="E1340" s="145">
        <v>15472.44</v>
      </c>
    </row>
    <row r="1341" spans="2:5" ht="16.5" x14ac:dyDescent="0.3">
      <c r="B1341" s="236">
        <v>43704</v>
      </c>
      <c r="C1341" s="73"/>
      <c r="D1341" s="73"/>
      <c r="E1341" s="145">
        <v>15555.44</v>
      </c>
    </row>
    <row r="1342" spans="2:5" ht="16.5" x14ac:dyDescent="0.3">
      <c r="B1342" s="236">
        <v>43703</v>
      </c>
      <c r="C1342" s="73"/>
      <c r="D1342" s="73"/>
      <c r="E1342" s="145">
        <v>15488.96</v>
      </c>
    </row>
    <row r="1343" spans="2:5" ht="16.5" x14ac:dyDescent="0.3">
      <c r="B1343" s="236">
        <v>43700</v>
      </c>
      <c r="C1343" s="73"/>
      <c r="D1343" s="73"/>
      <c r="E1343" s="145">
        <v>15168.88</v>
      </c>
    </row>
    <row r="1344" spans="2:5" ht="16.5" x14ac:dyDescent="0.3">
      <c r="B1344" s="236">
        <v>43699</v>
      </c>
      <c r="C1344" s="73"/>
      <c r="D1344" s="73"/>
      <c r="E1344" s="145">
        <v>15045.62</v>
      </c>
    </row>
    <row r="1345" spans="2:5" ht="16.5" x14ac:dyDescent="0.3">
      <c r="B1345" s="236">
        <v>43698</v>
      </c>
      <c r="C1345" s="73"/>
      <c r="D1345" s="73"/>
      <c r="E1345" s="145">
        <v>15290.85</v>
      </c>
    </row>
    <row r="1346" spans="2:5" ht="16.5" x14ac:dyDescent="0.3">
      <c r="B1346" s="236">
        <v>43697</v>
      </c>
      <c r="C1346" s="73"/>
      <c r="D1346" s="73"/>
      <c r="E1346" s="145">
        <v>15425.45</v>
      </c>
    </row>
    <row r="1347" spans="2:5" ht="16.5" x14ac:dyDescent="0.3">
      <c r="B1347" s="236">
        <v>43696</v>
      </c>
      <c r="C1347" s="73"/>
      <c r="D1347" s="73"/>
      <c r="E1347" s="145">
        <v>15476.07</v>
      </c>
    </row>
    <row r="1348" spans="2:5" ht="16.5" x14ac:dyDescent="0.3">
      <c r="B1348" s="236">
        <v>43693</v>
      </c>
      <c r="C1348" s="73"/>
      <c r="D1348" s="73"/>
      <c r="E1348" s="145">
        <v>15464.58</v>
      </c>
    </row>
    <row r="1349" spans="2:5" ht="16.5" x14ac:dyDescent="0.3">
      <c r="B1349" s="236">
        <v>43691</v>
      </c>
      <c r="C1349" s="73"/>
      <c r="D1349" s="73"/>
      <c r="E1349" s="145">
        <v>15438.86</v>
      </c>
    </row>
    <row r="1350" spans="2:5" ht="16.5" x14ac:dyDescent="0.3">
      <c r="B1350" s="236">
        <v>43690</v>
      </c>
      <c r="C1350" s="73"/>
      <c r="D1350" s="73"/>
      <c r="E1350" s="145">
        <v>15289.35</v>
      </c>
    </row>
    <row r="1351" spans="2:5" ht="16.5" x14ac:dyDescent="0.3">
      <c r="B1351" s="236">
        <v>43686</v>
      </c>
      <c r="C1351" s="73"/>
      <c r="D1351" s="73"/>
      <c r="E1351" s="145">
        <v>15542.72</v>
      </c>
    </row>
    <row r="1352" spans="2:5" ht="16.5" x14ac:dyDescent="0.3">
      <c r="B1352" s="236">
        <v>43685</v>
      </c>
      <c r="C1352" s="73"/>
      <c r="D1352" s="73"/>
      <c r="E1352" s="145">
        <v>15434.73</v>
      </c>
    </row>
    <row r="1353" spans="2:5" ht="16.5" x14ac:dyDescent="0.3">
      <c r="B1353" s="236">
        <v>43684</v>
      </c>
      <c r="C1353" s="73"/>
      <c r="D1353" s="73"/>
      <c r="E1353" s="145">
        <v>15184.34</v>
      </c>
    </row>
    <row r="1354" spans="2:5" ht="16.5" x14ac:dyDescent="0.3">
      <c r="B1354" s="236">
        <v>43683</v>
      </c>
      <c r="C1354" s="73"/>
      <c r="D1354" s="73"/>
      <c r="E1354" s="145">
        <v>15314.03</v>
      </c>
    </row>
    <row r="1355" spans="2:5" ht="16.5" x14ac:dyDescent="0.3">
      <c r="B1355" s="236">
        <v>43682</v>
      </c>
      <c r="C1355" s="73"/>
      <c r="D1355" s="73"/>
      <c r="E1355" s="145">
        <v>15194.27</v>
      </c>
    </row>
    <row r="1356" spans="2:5" ht="16.5" x14ac:dyDescent="0.3">
      <c r="B1356" s="236">
        <v>43679</v>
      </c>
      <c r="C1356" s="73"/>
      <c r="D1356" s="73"/>
      <c r="E1356" s="145">
        <v>15382.73</v>
      </c>
    </row>
    <row r="1357" spans="2:5" ht="16.5" x14ac:dyDescent="0.3">
      <c r="B1357" s="236">
        <v>43678</v>
      </c>
      <c r="C1357" s="73"/>
      <c r="D1357" s="73"/>
      <c r="E1357" s="145">
        <v>15350.83</v>
      </c>
    </row>
    <row r="1358" spans="2:5" ht="16.5" x14ac:dyDescent="0.3">
      <c r="B1358" s="236">
        <v>43677</v>
      </c>
      <c r="C1358" s="73"/>
      <c r="D1358" s="73"/>
      <c r="E1358" s="145">
        <v>15539.43</v>
      </c>
    </row>
    <row r="1359" spans="2:5" ht="16.5" x14ac:dyDescent="0.3">
      <c r="B1359" s="236">
        <v>43676</v>
      </c>
      <c r="C1359" s="73"/>
      <c r="D1359" s="73"/>
      <c r="E1359" s="145">
        <v>15493.33</v>
      </c>
    </row>
    <row r="1360" spans="2:5" ht="16.5" x14ac:dyDescent="0.3">
      <c r="B1360" s="236">
        <v>43675</v>
      </c>
      <c r="C1360" s="73"/>
      <c r="D1360" s="73"/>
      <c r="E1360" s="145">
        <v>15638.42</v>
      </c>
    </row>
    <row r="1361" spans="2:5" ht="16.5" x14ac:dyDescent="0.3">
      <c r="B1361" s="236">
        <v>43672</v>
      </c>
      <c r="C1361" s="73"/>
      <c r="D1361" s="73"/>
      <c r="E1361" s="145">
        <v>15770.63</v>
      </c>
    </row>
    <row r="1362" spans="2:5" ht="16.5" x14ac:dyDescent="0.3">
      <c r="B1362" s="236">
        <v>43671</v>
      </c>
      <c r="C1362" s="73"/>
      <c r="D1362" s="73"/>
      <c r="E1362" s="145">
        <v>15725.6</v>
      </c>
    </row>
    <row r="1363" spans="2:5" ht="16.5" x14ac:dyDescent="0.3">
      <c r="B1363" s="236">
        <v>43670</v>
      </c>
      <c r="C1363" s="73"/>
      <c r="D1363" s="73"/>
      <c r="E1363" s="145">
        <v>15749.37</v>
      </c>
    </row>
    <row r="1364" spans="2:5" ht="16.5" x14ac:dyDescent="0.3">
      <c r="B1364" s="236">
        <v>43669</v>
      </c>
      <c r="C1364" s="73"/>
      <c r="D1364" s="73"/>
      <c r="E1364" s="145">
        <v>15824.55</v>
      </c>
    </row>
    <row r="1365" spans="2:5" ht="16.5" x14ac:dyDescent="0.3">
      <c r="B1365" s="236">
        <v>43668</v>
      </c>
      <c r="C1365" s="73"/>
      <c r="D1365" s="73"/>
      <c r="E1365" s="145">
        <v>15845.74</v>
      </c>
    </row>
    <row r="1366" spans="2:5" ht="16.5" x14ac:dyDescent="0.3">
      <c r="B1366" s="236">
        <v>43665</v>
      </c>
      <c r="C1366" s="73"/>
      <c r="D1366" s="73"/>
      <c r="E1366" s="145">
        <v>15945.55</v>
      </c>
    </row>
    <row r="1367" spans="2:5" ht="16.5" x14ac:dyDescent="0.3">
      <c r="B1367" s="236">
        <v>43664</v>
      </c>
      <c r="C1367" s="73"/>
      <c r="D1367" s="73"/>
      <c r="E1367" s="145">
        <v>16183.16</v>
      </c>
    </row>
    <row r="1368" spans="2:5" ht="16.5" x14ac:dyDescent="0.3">
      <c r="B1368" s="236">
        <v>43663</v>
      </c>
      <c r="C1368" s="73"/>
      <c r="D1368" s="73"/>
      <c r="E1368" s="145">
        <v>16306.82</v>
      </c>
    </row>
    <row r="1369" spans="2:5" ht="16.5" x14ac:dyDescent="0.3">
      <c r="B1369" s="236">
        <v>43662</v>
      </c>
      <c r="C1369" s="73"/>
      <c r="D1369" s="73"/>
      <c r="E1369" s="145">
        <v>16272.08</v>
      </c>
    </row>
    <row r="1370" spans="2:5" ht="16.5" x14ac:dyDescent="0.3">
      <c r="B1370" s="236">
        <v>43661</v>
      </c>
      <c r="C1370" s="73"/>
      <c r="D1370" s="73"/>
      <c r="E1370" s="145">
        <v>16165.28</v>
      </c>
    </row>
    <row r="1371" spans="2:5" ht="16.5" x14ac:dyDescent="0.3">
      <c r="B1371" s="236">
        <v>43658</v>
      </c>
      <c r="C1371" s="73"/>
      <c r="D1371" s="73"/>
      <c r="E1371" s="145">
        <v>16113.75</v>
      </c>
    </row>
    <row r="1372" spans="2:5" ht="16.5" x14ac:dyDescent="0.3">
      <c r="B1372" s="236">
        <v>43657</v>
      </c>
      <c r="C1372" s="73"/>
      <c r="D1372" s="73"/>
      <c r="E1372" s="145">
        <v>16155.78</v>
      </c>
    </row>
    <row r="1373" spans="2:5" ht="16.5" x14ac:dyDescent="0.3">
      <c r="B1373" s="236">
        <v>43656</v>
      </c>
      <c r="C1373" s="73"/>
      <c r="D1373" s="73"/>
      <c r="E1373" s="145">
        <v>16035.44</v>
      </c>
    </row>
    <row r="1374" spans="2:5" ht="16.5" x14ac:dyDescent="0.3">
      <c r="B1374" s="236">
        <v>43655</v>
      </c>
      <c r="C1374" s="73"/>
      <c r="D1374" s="73"/>
      <c r="E1374" s="145">
        <v>16114.46</v>
      </c>
    </row>
    <row r="1375" spans="2:5" ht="16.5" x14ac:dyDescent="0.3">
      <c r="B1375" s="236">
        <v>43654</v>
      </c>
      <c r="C1375" s="73"/>
      <c r="D1375" s="73"/>
      <c r="E1375" s="145">
        <v>16118.27</v>
      </c>
    </row>
    <row r="1376" spans="2:5" ht="16.5" x14ac:dyDescent="0.3">
      <c r="B1376" s="236">
        <v>43651</v>
      </c>
      <c r="C1376" s="73"/>
      <c r="D1376" s="73"/>
      <c r="E1376" s="145">
        <v>16468.990000000002</v>
      </c>
    </row>
    <row r="1377" spans="2:5" ht="16.5" x14ac:dyDescent="0.3">
      <c r="B1377" s="236">
        <v>43650</v>
      </c>
      <c r="C1377" s="73"/>
      <c r="D1377" s="73"/>
      <c r="E1377" s="145">
        <v>16658.04</v>
      </c>
    </row>
    <row r="1378" spans="2:5" ht="16.5" x14ac:dyDescent="0.3">
      <c r="B1378" s="236">
        <v>43649</v>
      </c>
      <c r="C1378" s="73"/>
      <c r="D1378" s="73"/>
      <c r="E1378" s="145">
        <v>16612.16</v>
      </c>
    </row>
    <row r="1379" spans="2:5" ht="16.5" x14ac:dyDescent="0.3">
      <c r="B1379" s="236">
        <v>43648</v>
      </c>
      <c r="C1379" s="73"/>
      <c r="D1379" s="73"/>
      <c r="E1379" s="145">
        <v>16603.169999999998</v>
      </c>
    </row>
    <row r="1380" spans="2:5" ht="16.5" x14ac:dyDescent="0.3">
      <c r="B1380" s="236">
        <v>43647</v>
      </c>
      <c r="C1380" s="73"/>
      <c r="D1380" s="73"/>
      <c r="E1380" s="145">
        <v>16540.88</v>
      </c>
    </row>
    <row r="1381" spans="2:5" ht="16.5" x14ac:dyDescent="0.3">
      <c r="B1381" s="236">
        <v>43644</v>
      </c>
      <c r="C1381" s="73"/>
      <c r="D1381" s="73"/>
      <c r="E1381" s="145">
        <v>16433.849999999999</v>
      </c>
    </row>
    <row r="1382" spans="2:5" ht="16.5" x14ac:dyDescent="0.3">
      <c r="B1382" s="236">
        <v>43643</v>
      </c>
      <c r="C1382" s="73"/>
      <c r="D1382" s="73"/>
      <c r="E1382" s="145">
        <v>16507.34</v>
      </c>
    </row>
    <row r="1383" spans="2:5" ht="16.5" x14ac:dyDescent="0.3">
      <c r="B1383" s="236">
        <v>43642</v>
      </c>
      <c r="C1383" s="73"/>
      <c r="D1383" s="73"/>
      <c r="E1383" s="145">
        <v>16515.68</v>
      </c>
    </row>
    <row r="1384" spans="2:5" ht="16.5" x14ac:dyDescent="0.3">
      <c r="B1384" s="236">
        <v>43641</v>
      </c>
      <c r="C1384" s="73"/>
      <c r="D1384" s="73"/>
      <c r="E1384" s="145">
        <v>16444.46</v>
      </c>
    </row>
    <row r="1385" spans="2:5" ht="16.5" x14ac:dyDescent="0.3">
      <c r="B1385" s="236">
        <v>43640</v>
      </c>
      <c r="C1385" s="73"/>
      <c r="D1385" s="73"/>
      <c r="E1385" s="145">
        <v>16309.52</v>
      </c>
    </row>
    <row r="1386" spans="2:5" ht="16.5" x14ac:dyDescent="0.3">
      <c r="B1386" s="236">
        <v>43637</v>
      </c>
      <c r="C1386" s="73"/>
      <c r="D1386" s="73"/>
      <c r="E1386" s="145">
        <v>16343.59</v>
      </c>
    </row>
    <row r="1387" spans="2:5" ht="16.5" x14ac:dyDescent="0.3">
      <c r="B1387" s="236">
        <v>43636</v>
      </c>
      <c r="C1387" s="73"/>
      <c r="D1387" s="73"/>
      <c r="E1387" s="145">
        <v>16493.650000000001</v>
      </c>
    </row>
    <row r="1388" spans="2:5" ht="16.5" x14ac:dyDescent="0.3">
      <c r="B1388" s="236">
        <v>43635</v>
      </c>
      <c r="C1388" s="73"/>
      <c r="D1388" s="73"/>
      <c r="E1388" s="145">
        <v>16283.94</v>
      </c>
    </row>
    <row r="1389" spans="2:5" ht="16.5" x14ac:dyDescent="0.3">
      <c r="B1389" s="236">
        <v>43634</v>
      </c>
      <c r="C1389" s="73"/>
      <c r="D1389" s="73"/>
      <c r="E1389" s="145">
        <v>16283.98</v>
      </c>
    </row>
    <row r="1390" spans="2:5" ht="16.5" x14ac:dyDescent="0.3">
      <c r="B1390" s="236">
        <v>43633</v>
      </c>
      <c r="C1390" s="73"/>
      <c r="D1390" s="73"/>
      <c r="E1390" s="145">
        <v>16257.06</v>
      </c>
    </row>
    <row r="1391" spans="2:5" ht="16.5" x14ac:dyDescent="0.3">
      <c r="B1391" s="236">
        <v>43630</v>
      </c>
      <c r="C1391" s="73"/>
      <c r="D1391" s="73"/>
      <c r="E1391" s="145">
        <v>16467.55</v>
      </c>
    </row>
    <row r="1392" spans="2:5" ht="16.5" x14ac:dyDescent="0.3">
      <c r="B1392" s="236">
        <v>43629</v>
      </c>
      <c r="C1392" s="73"/>
      <c r="D1392" s="73"/>
      <c r="E1392" s="145">
        <v>16593.97</v>
      </c>
    </row>
    <row r="1393" spans="2:5" ht="16.5" x14ac:dyDescent="0.3">
      <c r="B1393" s="236">
        <v>43628</v>
      </c>
      <c r="C1393" s="73"/>
      <c r="D1393" s="73"/>
      <c r="E1393" s="145">
        <v>16568.09</v>
      </c>
    </row>
    <row r="1394" spans="2:5" ht="16.5" x14ac:dyDescent="0.3">
      <c r="B1394" s="236">
        <v>43627</v>
      </c>
      <c r="C1394" s="73"/>
      <c r="D1394" s="73"/>
      <c r="E1394" s="145">
        <v>16650.75</v>
      </c>
    </row>
    <row r="1395" spans="2:5" ht="16.5" x14ac:dyDescent="0.3">
      <c r="B1395" s="236">
        <v>43626</v>
      </c>
      <c r="C1395" s="73"/>
      <c r="D1395" s="73"/>
      <c r="E1395" s="145">
        <v>16590.990000000002</v>
      </c>
    </row>
    <row r="1396" spans="2:5" ht="16.5" x14ac:dyDescent="0.3">
      <c r="B1396" s="236">
        <v>43623</v>
      </c>
      <c r="C1396" s="73"/>
      <c r="D1396" s="73"/>
      <c r="E1396" s="145">
        <v>16518.62</v>
      </c>
    </row>
    <row r="1397" spans="2:5" ht="16.5" x14ac:dyDescent="0.3">
      <c r="B1397" s="236">
        <v>43622</v>
      </c>
      <c r="C1397" s="73"/>
      <c r="D1397" s="73"/>
      <c r="E1397" s="145">
        <v>16481.14</v>
      </c>
    </row>
    <row r="1398" spans="2:5" ht="16.5" x14ac:dyDescent="0.3">
      <c r="B1398" s="236">
        <v>43620</v>
      </c>
      <c r="C1398" s="73"/>
      <c r="D1398" s="73"/>
      <c r="E1398" s="145">
        <v>16728.740000000002</v>
      </c>
    </row>
    <row r="1399" spans="2:5" ht="16.5" x14ac:dyDescent="0.3">
      <c r="B1399" s="236">
        <v>43619</v>
      </c>
      <c r="C1399" s="73"/>
      <c r="D1399" s="73"/>
      <c r="E1399" s="145">
        <v>16815.25</v>
      </c>
    </row>
    <row r="1400" spans="2:5" ht="16.5" x14ac:dyDescent="0.3">
      <c r="B1400" s="236">
        <v>43616</v>
      </c>
      <c r="C1400" s="73"/>
      <c r="D1400" s="73"/>
      <c r="E1400" s="145">
        <v>16583.46</v>
      </c>
    </row>
    <row r="1401" spans="2:5" ht="16.5" x14ac:dyDescent="0.3">
      <c r="B1401" s="236">
        <v>43615</v>
      </c>
      <c r="C1401" s="73"/>
      <c r="D1401" s="73"/>
      <c r="E1401" s="145">
        <v>16615.59</v>
      </c>
    </row>
    <row r="1402" spans="2:5" ht="16.5" x14ac:dyDescent="0.3">
      <c r="B1402" s="236">
        <v>43614</v>
      </c>
      <c r="C1402" s="73"/>
      <c r="D1402" s="73"/>
      <c r="E1402" s="145">
        <v>16497.62</v>
      </c>
    </row>
    <row r="1403" spans="2:5" ht="16.5" x14ac:dyDescent="0.3">
      <c r="B1403" s="236">
        <v>43613</v>
      </c>
      <c r="C1403" s="73"/>
      <c r="D1403" s="73"/>
      <c r="E1403" s="145">
        <v>16591.7</v>
      </c>
    </row>
    <row r="1404" spans="2:5" ht="16.5" x14ac:dyDescent="0.3">
      <c r="B1404" s="236">
        <v>43612</v>
      </c>
      <c r="C1404" s="73"/>
      <c r="D1404" s="73"/>
      <c r="E1404" s="145">
        <v>16585.13</v>
      </c>
    </row>
    <row r="1405" spans="2:5" ht="16.5" x14ac:dyDescent="0.3">
      <c r="B1405" s="236">
        <v>43609</v>
      </c>
      <c r="C1405" s="73"/>
      <c r="D1405" s="73"/>
      <c r="E1405" s="145">
        <v>16472.95</v>
      </c>
    </row>
    <row r="1406" spans="2:5" ht="16.5" x14ac:dyDescent="0.3">
      <c r="B1406" s="236">
        <v>43608</v>
      </c>
      <c r="C1406" s="73"/>
      <c r="D1406" s="73"/>
      <c r="E1406" s="145">
        <v>16212.78</v>
      </c>
    </row>
    <row r="1407" spans="2:5" ht="16.5" x14ac:dyDescent="0.3">
      <c r="B1407" s="236">
        <v>43607</v>
      </c>
      <c r="C1407" s="73"/>
      <c r="D1407" s="73"/>
      <c r="E1407" s="145">
        <v>16325.28</v>
      </c>
    </row>
    <row r="1408" spans="2:5" ht="16.5" x14ac:dyDescent="0.3">
      <c r="B1408" s="236">
        <v>43606</v>
      </c>
      <c r="C1408" s="73"/>
      <c r="D1408" s="73"/>
      <c r="E1408" s="145">
        <v>16268.26</v>
      </c>
    </row>
    <row r="1409" spans="2:5" ht="16.5" x14ac:dyDescent="0.3">
      <c r="B1409" s="236">
        <v>43605</v>
      </c>
      <c r="C1409" s="73"/>
      <c r="D1409" s="73"/>
      <c r="E1409" s="145">
        <v>16433.77</v>
      </c>
    </row>
    <row r="1410" spans="2:5" ht="16.5" x14ac:dyDescent="0.3">
      <c r="B1410" s="236">
        <v>43602</v>
      </c>
      <c r="C1410" s="73"/>
      <c r="D1410" s="73"/>
      <c r="E1410" s="145">
        <v>15848.71</v>
      </c>
    </row>
    <row r="1411" spans="2:5" ht="16.5" x14ac:dyDescent="0.3">
      <c r="B1411" s="236">
        <v>43601</v>
      </c>
      <c r="C1411" s="73"/>
      <c r="D1411" s="73"/>
      <c r="E1411" s="145">
        <v>15640.22</v>
      </c>
    </row>
    <row r="1412" spans="2:5" ht="16.5" x14ac:dyDescent="0.3">
      <c r="B1412" s="236">
        <v>43600</v>
      </c>
      <c r="C1412" s="73"/>
      <c r="D1412" s="73"/>
      <c r="E1412" s="145">
        <v>15500.82</v>
      </c>
    </row>
    <row r="1413" spans="2:5" ht="16.5" x14ac:dyDescent="0.3">
      <c r="B1413" s="236">
        <v>43599</v>
      </c>
      <c r="C1413" s="73"/>
      <c r="D1413" s="73"/>
      <c r="E1413" s="145">
        <v>15591.19</v>
      </c>
    </row>
    <row r="1414" spans="2:5" ht="16.5" x14ac:dyDescent="0.3">
      <c r="B1414" s="236">
        <v>43598</v>
      </c>
      <c r="C1414" s="73"/>
      <c r="D1414" s="73"/>
      <c r="E1414" s="145">
        <v>15488.6</v>
      </c>
    </row>
    <row r="1415" spans="2:5" ht="16.5" x14ac:dyDescent="0.3">
      <c r="B1415" s="236">
        <v>43595</v>
      </c>
      <c r="C1415" s="73"/>
      <c r="D1415" s="73"/>
      <c r="E1415" s="145">
        <v>15670.18</v>
      </c>
    </row>
    <row r="1416" spans="2:5" ht="16.5" x14ac:dyDescent="0.3">
      <c r="B1416" s="236">
        <v>43594</v>
      </c>
      <c r="C1416" s="73"/>
      <c r="D1416" s="73"/>
      <c r="E1416" s="145">
        <v>15701.95</v>
      </c>
    </row>
    <row r="1417" spans="2:5" ht="16.5" x14ac:dyDescent="0.3">
      <c r="B1417" s="236">
        <v>43593</v>
      </c>
      <c r="C1417" s="73"/>
      <c r="D1417" s="73"/>
      <c r="E1417" s="145">
        <v>15782.09</v>
      </c>
    </row>
    <row r="1418" spans="2:5" ht="16.5" x14ac:dyDescent="0.3">
      <c r="B1418" s="236">
        <v>43592</v>
      </c>
      <c r="C1418" s="73"/>
      <c r="D1418" s="73"/>
      <c r="E1418" s="145">
        <v>15974.41</v>
      </c>
    </row>
    <row r="1419" spans="2:5" ht="16.5" x14ac:dyDescent="0.3">
      <c r="B1419" s="236">
        <v>43591</v>
      </c>
      <c r="C1419" s="73"/>
      <c r="D1419" s="73"/>
      <c r="E1419" s="145">
        <v>16110.44</v>
      </c>
    </row>
    <row r="1420" spans="2:5" ht="16.5" x14ac:dyDescent="0.3">
      <c r="B1420" s="236">
        <v>43588</v>
      </c>
      <c r="C1420" s="73"/>
      <c r="D1420" s="73"/>
      <c r="E1420" s="145">
        <v>16268.79</v>
      </c>
    </row>
    <row r="1421" spans="2:5" ht="16.5" x14ac:dyDescent="0.3">
      <c r="B1421" s="236">
        <v>43587</v>
      </c>
      <c r="C1421" s="73"/>
      <c r="D1421" s="73"/>
      <c r="E1421" s="145">
        <v>16286.18</v>
      </c>
    </row>
    <row r="1422" spans="2:5" ht="16.5" x14ac:dyDescent="0.3">
      <c r="B1422" s="236">
        <v>43585</v>
      </c>
      <c r="C1422" s="73"/>
      <c r="D1422" s="73"/>
      <c r="E1422" s="145">
        <v>16318.66</v>
      </c>
    </row>
    <row r="1423" spans="2:5" ht="16.5" x14ac:dyDescent="0.3">
      <c r="B1423" s="236">
        <v>43581</v>
      </c>
      <c r="C1423" s="73"/>
      <c r="D1423" s="73"/>
      <c r="E1423" s="145">
        <v>16327.7</v>
      </c>
    </row>
    <row r="1424" spans="2:5" ht="16.5" x14ac:dyDescent="0.3">
      <c r="B1424" s="236">
        <v>43580</v>
      </c>
      <c r="C1424" s="73"/>
      <c r="D1424" s="73"/>
      <c r="E1424" s="145">
        <v>16170.98</v>
      </c>
    </row>
    <row r="1425" spans="2:5" ht="16.5" x14ac:dyDescent="0.3">
      <c r="B1425" s="236">
        <v>43579</v>
      </c>
      <c r="C1425" s="73"/>
      <c r="D1425" s="73"/>
      <c r="E1425" s="145">
        <v>16288.16</v>
      </c>
    </row>
    <row r="1426" spans="2:5" ht="16.5" x14ac:dyDescent="0.3">
      <c r="B1426" s="236">
        <v>43578</v>
      </c>
      <c r="C1426" s="73"/>
      <c r="D1426" s="73"/>
      <c r="E1426" s="145">
        <v>16079.51</v>
      </c>
    </row>
    <row r="1427" spans="2:5" ht="16.5" x14ac:dyDescent="0.3">
      <c r="B1427" s="236">
        <v>43577</v>
      </c>
      <c r="C1427" s="73"/>
      <c r="D1427" s="73"/>
      <c r="E1427" s="145">
        <v>16105.19</v>
      </c>
    </row>
    <row r="1428" spans="2:5" ht="16.5" x14ac:dyDescent="0.3">
      <c r="B1428" s="236">
        <v>43573</v>
      </c>
      <c r="C1428" s="73"/>
      <c r="D1428" s="73"/>
      <c r="E1428" s="145">
        <v>16325.13</v>
      </c>
    </row>
    <row r="1429" spans="2:5" ht="16.5" x14ac:dyDescent="0.3">
      <c r="B1429" s="236">
        <v>43571</v>
      </c>
      <c r="C1429" s="73"/>
      <c r="D1429" s="73"/>
      <c r="E1429" s="145">
        <v>16372.86</v>
      </c>
    </row>
    <row r="1430" spans="2:5" ht="16.5" x14ac:dyDescent="0.3">
      <c r="B1430" s="236">
        <v>43570</v>
      </c>
      <c r="C1430" s="73"/>
      <c r="D1430" s="73"/>
      <c r="E1430" s="145">
        <v>16238.41</v>
      </c>
    </row>
    <row r="1431" spans="2:5" ht="16.5" x14ac:dyDescent="0.3">
      <c r="B1431" s="236">
        <v>43567</v>
      </c>
      <c r="C1431" s="73"/>
      <c r="D1431" s="73"/>
      <c r="E1431" s="145">
        <v>16173.27</v>
      </c>
    </row>
    <row r="1432" spans="2:5" ht="16.5" x14ac:dyDescent="0.3">
      <c r="B1432" s="236">
        <v>43566</v>
      </c>
      <c r="C1432" s="73"/>
      <c r="D1432" s="73"/>
      <c r="E1432" s="145">
        <v>16108.32</v>
      </c>
    </row>
    <row r="1433" spans="2:5" ht="16.5" x14ac:dyDescent="0.3">
      <c r="B1433" s="236">
        <v>43565</v>
      </c>
      <c r="C1433" s="73"/>
      <c r="D1433" s="73"/>
      <c r="E1433" s="145">
        <v>16091.08</v>
      </c>
    </row>
    <row r="1434" spans="2:5" ht="16.5" x14ac:dyDescent="0.3">
      <c r="B1434" s="236">
        <v>43564</v>
      </c>
      <c r="C1434" s="73"/>
      <c r="D1434" s="73"/>
      <c r="E1434" s="145">
        <v>16212.81</v>
      </c>
    </row>
    <row r="1435" spans="2:5" ht="16.5" x14ac:dyDescent="0.3">
      <c r="B1435" s="236">
        <v>43563</v>
      </c>
      <c r="C1435" s="73"/>
      <c r="D1435" s="73"/>
      <c r="E1435" s="145">
        <v>16119.14</v>
      </c>
    </row>
    <row r="1436" spans="2:5" ht="16.5" x14ac:dyDescent="0.3">
      <c r="B1436" s="236">
        <v>43560</v>
      </c>
      <c r="C1436" s="73"/>
      <c r="D1436" s="73"/>
      <c r="E1436" s="145">
        <v>16204.48</v>
      </c>
    </row>
    <row r="1437" spans="2:5" ht="16.5" x14ac:dyDescent="0.3">
      <c r="B1437" s="236">
        <v>43559</v>
      </c>
      <c r="C1437" s="73"/>
      <c r="D1437" s="73"/>
      <c r="E1437" s="145">
        <v>16110.09</v>
      </c>
    </row>
    <row r="1438" spans="2:5" ht="16.5" x14ac:dyDescent="0.3">
      <c r="B1438" s="236">
        <v>43558</v>
      </c>
      <c r="C1438" s="73"/>
      <c r="D1438" s="73"/>
      <c r="E1438" s="145">
        <v>16173.92</v>
      </c>
    </row>
    <row r="1439" spans="2:5" ht="16.5" x14ac:dyDescent="0.3">
      <c r="B1439" s="236">
        <v>43557</v>
      </c>
      <c r="C1439" s="73"/>
      <c r="D1439" s="73"/>
      <c r="E1439" s="145">
        <v>16270.13</v>
      </c>
    </row>
    <row r="1440" spans="2:5" ht="16.5" x14ac:dyDescent="0.3">
      <c r="B1440" s="236">
        <v>43556</v>
      </c>
      <c r="C1440" s="73"/>
      <c r="D1440" s="73"/>
      <c r="E1440" s="145">
        <v>16208.94</v>
      </c>
    </row>
    <row r="1441" spans="2:5" ht="16.5" x14ac:dyDescent="0.3">
      <c r="B1441" s="236">
        <v>43553</v>
      </c>
      <c r="C1441" s="73"/>
      <c r="D1441" s="73"/>
      <c r="E1441" s="145">
        <v>16146.11</v>
      </c>
    </row>
    <row r="1442" spans="2:5" ht="16.5" x14ac:dyDescent="0.3">
      <c r="B1442" s="236">
        <v>43552</v>
      </c>
      <c r="C1442" s="73"/>
      <c r="D1442" s="73"/>
      <c r="E1442" s="145">
        <v>16071.26</v>
      </c>
    </row>
    <row r="1443" spans="2:5" ht="16.5" x14ac:dyDescent="0.3">
      <c r="B1443" s="236">
        <v>43551</v>
      </c>
      <c r="C1443" s="73"/>
      <c r="D1443" s="73"/>
      <c r="E1443" s="145">
        <v>15897.65</v>
      </c>
    </row>
    <row r="1444" spans="2:5" ht="16.5" x14ac:dyDescent="0.3">
      <c r="B1444" s="236">
        <v>43550</v>
      </c>
      <c r="C1444" s="73"/>
      <c r="D1444" s="73"/>
      <c r="E1444" s="145">
        <v>15949.46</v>
      </c>
    </row>
    <row r="1445" spans="2:5" ht="16.5" x14ac:dyDescent="0.3">
      <c r="B1445" s="236">
        <v>43549</v>
      </c>
      <c r="C1445" s="73"/>
      <c r="D1445" s="73"/>
      <c r="E1445" s="145">
        <v>15770.26</v>
      </c>
    </row>
    <row r="1446" spans="2:5" ht="16.5" x14ac:dyDescent="0.3">
      <c r="B1446" s="236">
        <v>43546</v>
      </c>
      <c r="C1446" s="73"/>
      <c r="D1446" s="73"/>
      <c r="E1446" s="145">
        <v>15912.88</v>
      </c>
    </row>
    <row r="1447" spans="2:5" ht="16.5" x14ac:dyDescent="0.3">
      <c r="B1447" s="236">
        <v>43544</v>
      </c>
      <c r="C1447" s="73"/>
      <c r="D1447" s="73"/>
      <c r="E1447" s="145">
        <v>15998.51</v>
      </c>
    </row>
    <row r="1448" spans="2:5" ht="16.5" x14ac:dyDescent="0.3">
      <c r="B1448" s="236">
        <v>43543</v>
      </c>
      <c r="C1448" s="73"/>
      <c r="D1448" s="73"/>
      <c r="E1448" s="145">
        <v>16014.33</v>
      </c>
    </row>
    <row r="1449" spans="2:5" ht="16.5" x14ac:dyDescent="0.3">
      <c r="B1449" s="236">
        <v>43542</v>
      </c>
      <c r="C1449" s="73"/>
      <c r="D1449" s="73"/>
      <c r="E1449" s="145">
        <v>15916.8</v>
      </c>
    </row>
    <row r="1450" spans="2:5" ht="16.5" x14ac:dyDescent="0.3">
      <c r="B1450" s="236">
        <v>43539</v>
      </c>
      <c r="C1450" s="73"/>
      <c r="D1450" s="73"/>
      <c r="E1450" s="145">
        <v>15867.74</v>
      </c>
    </row>
    <row r="1451" spans="2:5" ht="16.5" x14ac:dyDescent="0.3">
      <c r="B1451" s="236">
        <v>43538</v>
      </c>
      <c r="C1451" s="73"/>
      <c r="D1451" s="73"/>
      <c r="E1451" s="145">
        <v>15749.67</v>
      </c>
    </row>
    <row r="1452" spans="2:5" ht="16.5" x14ac:dyDescent="0.3">
      <c r="B1452" s="236">
        <v>43537</v>
      </c>
      <c r="C1452" s="73"/>
      <c r="D1452" s="73"/>
      <c r="E1452" s="145">
        <v>15742.86</v>
      </c>
    </row>
    <row r="1453" spans="2:5" ht="16.5" x14ac:dyDescent="0.3">
      <c r="B1453" s="236">
        <v>43536</v>
      </c>
      <c r="C1453" s="73"/>
      <c r="D1453" s="73"/>
      <c r="E1453" s="145">
        <v>15685.41</v>
      </c>
    </row>
    <row r="1454" spans="2:5" ht="16.5" x14ac:dyDescent="0.3">
      <c r="B1454" s="236">
        <v>43535</v>
      </c>
      <c r="C1454" s="73"/>
      <c r="D1454" s="73"/>
      <c r="E1454" s="145">
        <v>15500.61</v>
      </c>
    </row>
    <row r="1455" spans="2:5" ht="16.5" x14ac:dyDescent="0.3">
      <c r="B1455" s="236">
        <v>43532</v>
      </c>
      <c r="C1455" s="73"/>
      <c r="D1455" s="73"/>
      <c r="E1455" s="145">
        <v>15316.51</v>
      </c>
    </row>
    <row r="1456" spans="2:5" ht="16.5" x14ac:dyDescent="0.3">
      <c r="B1456" s="236">
        <v>43531</v>
      </c>
      <c r="C1456" s="73"/>
      <c r="D1456" s="73"/>
      <c r="E1456" s="145">
        <v>15348.14</v>
      </c>
    </row>
    <row r="1457" spans="2:5" ht="16.5" x14ac:dyDescent="0.3">
      <c r="B1457" s="236">
        <v>43530</v>
      </c>
      <c r="C1457" s="73"/>
      <c r="D1457" s="73"/>
      <c r="E1457" s="145">
        <v>15340.93</v>
      </c>
    </row>
    <row r="1458" spans="2:5" ht="16.5" x14ac:dyDescent="0.3">
      <c r="B1458" s="236">
        <v>43529</v>
      </c>
      <c r="C1458" s="73"/>
      <c r="D1458" s="73"/>
      <c r="E1458" s="145">
        <v>15249.97</v>
      </c>
    </row>
    <row r="1459" spans="2:5" ht="16.5" x14ac:dyDescent="0.3">
      <c r="B1459" s="236">
        <v>43525</v>
      </c>
      <c r="C1459" s="73"/>
      <c r="D1459" s="73"/>
      <c r="E1459" s="145">
        <v>15077.91</v>
      </c>
    </row>
    <row r="1460" spans="2:5" ht="16.5" x14ac:dyDescent="0.3">
      <c r="B1460" s="236">
        <v>43524</v>
      </c>
      <c r="C1460" s="73"/>
      <c r="D1460" s="73"/>
      <c r="E1460" s="145">
        <v>14979.39</v>
      </c>
    </row>
    <row r="1461" spans="2:5" ht="16.5" x14ac:dyDescent="0.3">
      <c r="B1461" s="236">
        <v>43523</v>
      </c>
      <c r="C1461" s="73"/>
      <c r="D1461" s="73"/>
      <c r="E1461" s="145">
        <v>14993.45</v>
      </c>
    </row>
    <row r="1462" spans="2:5" ht="16.5" x14ac:dyDescent="0.3">
      <c r="B1462" s="236">
        <v>43522</v>
      </c>
      <c r="C1462" s="73"/>
      <c r="D1462" s="73"/>
      <c r="E1462" s="145">
        <v>15033.15</v>
      </c>
    </row>
    <row r="1463" spans="2:5" ht="16.5" x14ac:dyDescent="0.3">
      <c r="B1463" s="236">
        <v>43521</v>
      </c>
      <c r="C1463" s="73"/>
      <c r="D1463" s="73"/>
      <c r="E1463" s="145">
        <v>15095.33</v>
      </c>
    </row>
    <row r="1464" spans="2:5" ht="16.5" x14ac:dyDescent="0.3">
      <c r="B1464" s="236">
        <v>43518</v>
      </c>
      <c r="C1464" s="73"/>
      <c r="D1464" s="73"/>
      <c r="E1464" s="145">
        <v>14972.58</v>
      </c>
    </row>
    <row r="1465" spans="2:5" ht="16.5" x14ac:dyDescent="0.3">
      <c r="B1465" s="236">
        <v>43517</v>
      </c>
      <c r="C1465" s="73"/>
      <c r="D1465" s="73"/>
      <c r="E1465" s="145">
        <v>14970.12</v>
      </c>
    </row>
    <row r="1466" spans="2:5" ht="16.5" x14ac:dyDescent="0.3">
      <c r="B1466" s="236">
        <v>43516</v>
      </c>
      <c r="C1466" s="73"/>
      <c r="D1466" s="73"/>
      <c r="E1466" s="145">
        <v>14891.6</v>
      </c>
    </row>
    <row r="1467" spans="2:5" ht="16.5" x14ac:dyDescent="0.3">
      <c r="B1467" s="236">
        <v>43515</v>
      </c>
      <c r="C1467" s="73"/>
      <c r="D1467" s="73"/>
      <c r="E1467" s="145">
        <v>14709.75</v>
      </c>
    </row>
    <row r="1468" spans="2:5" ht="16.5" x14ac:dyDescent="0.3">
      <c r="B1468" s="236">
        <v>43514</v>
      </c>
      <c r="C1468" s="73"/>
      <c r="D1468" s="73"/>
      <c r="E1468" s="145">
        <v>14760.48</v>
      </c>
    </row>
    <row r="1469" spans="2:5" ht="16.5" x14ac:dyDescent="0.3">
      <c r="B1469" s="236">
        <v>43511</v>
      </c>
      <c r="C1469" s="73"/>
      <c r="D1469" s="73"/>
      <c r="E1469" s="145">
        <v>14876.27</v>
      </c>
    </row>
    <row r="1470" spans="2:5" ht="16.5" x14ac:dyDescent="0.3">
      <c r="B1470" s="236">
        <v>43510</v>
      </c>
      <c r="C1470" s="73"/>
      <c r="D1470" s="73"/>
      <c r="E1470" s="145">
        <v>14906.26</v>
      </c>
    </row>
    <row r="1471" spans="2:5" ht="16.5" x14ac:dyDescent="0.3">
      <c r="B1471" s="236">
        <v>43509</v>
      </c>
      <c r="C1471" s="73"/>
      <c r="D1471" s="73"/>
      <c r="E1471" s="145">
        <v>14970.62</v>
      </c>
    </row>
    <row r="1472" spans="2:5" ht="16.5" x14ac:dyDescent="0.3">
      <c r="B1472" s="236">
        <v>43508</v>
      </c>
      <c r="C1472" s="73"/>
      <c r="D1472" s="73"/>
      <c r="E1472" s="145">
        <v>15023.02</v>
      </c>
    </row>
    <row r="1473" spans="2:5" ht="16.5" x14ac:dyDescent="0.3">
      <c r="B1473" s="236">
        <v>43507</v>
      </c>
      <c r="C1473" s="73"/>
      <c r="D1473" s="73"/>
      <c r="E1473" s="145">
        <v>15100.61</v>
      </c>
    </row>
    <row r="1474" spans="2:5" ht="16.5" x14ac:dyDescent="0.3">
      <c r="B1474" s="236">
        <v>43504</v>
      </c>
      <c r="C1474" s="73"/>
      <c r="D1474" s="73"/>
      <c r="E1474" s="145">
        <v>15173.02</v>
      </c>
    </row>
    <row r="1475" spans="2:5" ht="16.5" x14ac:dyDescent="0.3">
      <c r="B1475" s="236">
        <v>43503</v>
      </c>
      <c r="C1475" s="73"/>
      <c r="D1475" s="73"/>
      <c r="E1475" s="145">
        <v>15347.41</v>
      </c>
    </row>
    <row r="1476" spans="2:5" ht="16.5" x14ac:dyDescent="0.3">
      <c r="B1476" s="236">
        <v>43502</v>
      </c>
      <c r="C1476" s="73"/>
      <c r="D1476" s="73"/>
      <c r="E1476" s="145">
        <v>15337.8</v>
      </c>
    </row>
    <row r="1477" spans="2:5" ht="16.5" x14ac:dyDescent="0.3">
      <c r="B1477" s="236">
        <v>43501</v>
      </c>
      <c r="C1477" s="73"/>
      <c r="D1477" s="73"/>
      <c r="E1477" s="145">
        <v>15155.99</v>
      </c>
    </row>
    <row r="1478" spans="2:5" ht="16.5" x14ac:dyDescent="0.3">
      <c r="B1478" s="236">
        <v>43500</v>
      </c>
      <c r="C1478" s="73"/>
      <c r="D1478" s="73"/>
      <c r="E1478" s="145">
        <v>15125.02</v>
      </c>
    </row>
    <row r="1479" spans="2:5" ht="16.5" x14ac:dyDescent="0.3">
      <c r="B1479" s="236">
        <v>43497</v>
      </c>
      <c r="C1479" s="73"/>
      <c r="D1479" s="73"/>
      <c r="E1479" s="145">
        <v>15099.21</v>
      </c>
    </row>
    <row r="1480" spans="2:5" ht="16.5" x14ac:dyDescent="0.3">
      <c r="B1480" s="236">
        <v>43496</v>
      </c>
      <c r="C1480" s="73"/>
      <c r="D1480" s="73"/>
      <c r="E1480" s="145">
        <v>15012.34</v>
      </c>
    </row>
    <row r="1481" spans="2:5" ht="16.5" x14ac:dyDescent="0.3">
      <c r="B1481" s="236">
        <v>43495</v>
      </c>
      <c r="C1481" s="73"/>
      <c r="D1481" s="73"/>
      <c r="E1481" s="145">
        <v>14764.02</v>
      </c>
    </row>
    <row r="1482" spans="2:5" ht="16.5" x14ac:dyDescent="0.3">
      <c r="B1482" s="236">
        <v>43494</v>
      </c>
      <c r="C1482" s="73"/>
      <c r="D1482" s="73"/>
      <c r="E1482" s="145">
        <v>14764.59</v>
      </c>
    </row>
    <row r="1483" spans="2:5" ht="16.5" x14ac:dyDescent="0.3">
      <c r="B1483" s="236">
        <v>43493</v>
      </c>
      <c r="C1483" s="73"/>
      <c r="D1483" s="73"/>
      <c r="E1483" s="145">
        <v>14777.11</v>
      </c>
    </row>
    <row r="1484" spans="2:5" ht="16.5" x14ac:dyDescent="0.3">
      <c r="B1484" s="236">
        <v>43490</v>
      </c>
      <c r="C1484" s="73"/>
      <c r="D1484" s="73"/>
      <c r="E1484" s="145">
        <v>14942.09</v>
      </c>
    </row>
    <row r="1485" spans="2:5" ht="16.5" x14ac:dyDescent="0.3">
      <c r="B1485" s="236">
        <v>43489</v>
      </c>
      <c r="C1485" s="73"/>
      <c r="D1485" s="73"/>
      <c r="E1485" s="145">
        <v>15038.07</v>
      </c>
    </row>
    <row r="1486" spans="2:5" ht="16.5" x14ac:dyDescent="0.3">
      <c r="B1486" s="236">
        <v>43488</v>
      </c>
      <c r="C1486" s="73"/>
      <c r="D1486" s="73"/>
      <c r="E1486" s="145">
        <v>15007.4</v>
      </c>
    </row>
    <row r="1487" spans="2:5" ht="16.5" x14ac:dyDescent="0.3">
      <c r="B1487" s="236">
        <v>43487</v>
      </c>
      <c r="C1487" s="73"/>
      <c r="D1487" s="73"/>
      <c r="E1487" s="145">
        <v>15133.83</v>
      </c>
    </row>
    <row r="1488" spans="2:5" ht="16.5" x14ac:dyDescent="0.3">
      <c r="B1488" s="236">
        <v>43486</v>
      </c>
      <c r="C1488" s="73"/>
      <c r="D1488" s="73"/>
      <c r="E1488" s="145">
        <v>15188</v>
      </c>
    </row>
    <row r="1489" spans="2:5" ht="16.5" x14ac:dyDescent="0.3">
      <c r="B1489" s="236">
        <v>43483</v>
      </c>
      <c r="C1489" s="73"/>
      <c r="D1489" s="73"/>
      <c r="E1489" s="145">
        <v>15111.95</v>
      </c>
    </row>
    <row r="1490" spans="2:5" ht="16.5" x14ac:dyDescent="0.3">
      <c r="B1490" s="236">
        <v>43482</v>
      </c>
      <c r="C1490" s="73"/>
      <c r="D1490" s="73"/>
      <c r="E1490" s="145">
        <v>15109.54</v>
      </c>
    </row>
    <row r="1491" spans="2:5" ht="16.5" x14ac:dyDescent="0.3">
      <c r="B1491" s="236">
        <v>43481</v>
      </c>
      <c r="C1491" s="73"/>
      <c r="D1491" s="73"/>
      <c r="E1491" s="145">
        <v>15087.41</v>
      </c>
    </row>
    <row r="1492" spans="2:5" ht="16.5" x14ac:dyDescent="0.3">
      <c r="B1492" s="236">
        <v>43480</v>
      </c>
      <c r="C1492" s="73"/>
      <c r="D1492" s="73"/>
      <c r="E1492" s="145">
        <v>15082.59</v>
      </c>
    </row>
    <row r="1493" spans="2:5" ht="16.5" x14ac:dyDescent="0.3">
      <c r="B1493" s="236">
        <v>43479</v>
      </c>
      <c r="C1493" s="73"/>
      <c r="D1493" s="73"/>
      <c r="E1493" s="145">
        <v>14875.92</v>
      </c>
    </row>
    <row r="1494" spans="2:5" ht="16.5" x14ac:dyDescent="0.3">
      <c r="B1494" s="236">
        <v>43476</v>
      </c>
      <c r="C1494" s="73"/>
      <c r="D1494" s="73"/>
      <c r="E1494" s="145">
        <v>14955.33</v>
      </c>
    </row>
    <row r="1495" spans="2:5" ht="16.5" x14ac:dyDescent="0.3">
      <c r="B1495" s="236">
        <v>43475</v>
      </c>
      <c r="C1495" s="73"/>
      <c r="D1495" s="73"/>
      <c r="E1495" s="145">
        <v>14992.23</v>
      </c>
    </row>
    <row r="1496" spans="2:5" ht="16.5" x14ac:dyDescent="0.3">
      <c r="B1496" s="236">
        <v>43474</v>
      </c>
      <c r="C1496" s="73"/>
      <c r="D1496" s="73"/>
      <c r="E1496" s="145">
        <v>15038.74</v>
      </c>
    </row>
    <row r="1497" spans="2:5" ht="16.5" x14ac:dyDescent="0.3">
      <c r="B1497" s="236">
        <v>43473</v>
      </c>
      <c r="C1497" s="73"/>
      <c r="D1497" s="73"/>
      <c r="E1497" s="145">
        <v>14965.34</v>
      </c>
    </row>
    <row r="1498" spans="2:5" ht="16.5" x14ac:dyDescent="0.3">
      <c r="B1498" s="236">
        <v>43472</v>
      </c>
      <c r="C1498" s="73"/>
      <c r="D1498" s="73"/>
      <c r="E1498" s="145">
        <v>14923.27</v>
      </c>
    </row>
    <row r="1499" spans="2:5" ht="16.5" x14ac:dyDescent="0.3">
      <c r="B1499" s="236">
        <v>43469</v>
      </c>
      <c r="C1499" s="73"/>
      <c r="D1499" s="73"/>
      <c r="E1499" s="145">
        <v>14861.69</v>
      </c>
    </row>
    <row r="1500" spans="2:5" ht="16.5" x14ac:dyDescent="0.3">
      <c r="B1500" s="236">
        <v>43468</v>
      </c>
      <c r="C1500" s="73"/>
      <c r="D1500" s="73"/>
      <c r="E1500" s="145">
        <v>14785.38</v>
      </c>
    </row>
    <row r="1501" spans="2:5" ht="16.5" x14ac:dyDescent="0.3">
      <c r="B1501" s="236">
        <v>43467</v>
      </c>
      <c r="C1501" s="73"/>
      <c r="D1501" s="73"/>
      <c r="E1501" s="145">
        <v>14951.96</v>
      </c>
    </row>
    <row r="1502" spans="2:5" ht="16.5" x14ac:dyDescent="0.3">
      <c r="B1502" s="236">
        <v>43466</v>
      </c>
      <c r="C1502" s="73"/>
      <c r="D1502" s="73"/>
      <c r="E1502" s="145">
        <v>15114.9</v>
      </c>
    </row>
    <row r="1503" spans="2:5" ht="16.5" x14ac:dyDescent="0.3">
      <c r="B1503" s="236">
        <v>43465</v>
      </c>
      <c r="C1503" s="73"/>
      <c r="D1503" s="73"/>
      <c r="E1503" s="145">
        <v>15048.98</v>
      </c>
    </row>
    <row r="1504" spans="2:5" ht="16.5" x14ac:dyDescent="0.3">
      <c r="B1504" s="236">
        <v>43462</v>
      </c>
      <c r="C1504" s="73"/>
      <c r="D1504" s="73"/>
      <c r="E1504" s="145">
        <v>15045.34</v>
      </c>
    </row>
    <row r="1505" spans="2:5" ht="16.5" x14ac:dyDescent="0.3">
      <c r="B1505" s="236">
        <v>43461</v>
      </c>
      <c r="C1505" s="73"/>
      <c r="D1505" s="73"/>
      <c r="E1505" s="145">
        <v>14930.18</v>
      </c>
    </row>
    <row r="1506" spans="2:5" ht="16.5" x14ac:dyDescent="0.3">
      <c r="B1506" s="236">
        <v>43460</v>
      </c>
      <c r="C1506" s="73"/>
      <c r="D1506" s="73"/>
      <c r="E1506" s="145">
        <v>14860.97</v>
      </c>
    </row>
    <row r="1507" spans="2:5" ht="16.5" x14ac:dyDescent="0.3">
      <c r="B1507" s="236">
        <v>43458</v>
      </c>
      <c r="C1507" s="73"/>
      <c r="D1507" s="73"/>
      <c r="E1507" s="145">
        <v>14769.13</v>
      </c>
    </row>
    <row r="1508" spans="2:5" ht="16.5" x14ac:dyDescent="0.3">
      <c r="B1508" s="236">
        <v>43455</v>
      </c>
      <c r="C1508" s="73"/>
      <c r="D1508" s="73"/>
      <c r="E1508" s="145">
        <v>14894.42</v>
      </c>
    </row>
    <row r="1509" spans="2:5" ht="16.5" x14ac:dyDescent="0.3">
      <c r="B1509" s="236">
        <v>43454</v>
      </c>
      <c r="C1509" s="73"/>
      <c r="D1509" s="73"/>
      <c r="E1509" s="145">
        <v>15163.14</v>
      </c>
    </row>
    <row r="1510" spans="2:5" ht="16.5" x14ac:dyDescent="0.3">
      <c r="B1510" s="236">
        <v>43453</v>
      </c>
      <c r="C1510" s="73"/>
      <c r="D1510" s="73"/>
      <c r="E1510" s="145">
        <v>15184.78</v>
      </c>
    </row>
    <row r="1511" spans="2:5" ht="16.5" x14ac:dyDescent="0.3">
      <c r="B1511" s="236">
        <v>43452</v>
      </c>
      <c r="C1511" s="73"/>
      <c r="D1511" s="73"/>
      <c r="E1511" s="145">
        <v>15103.63</v>
      </c>
    </row>
    <row r="1512" spans="2:5" ht="16.5" x14ac:dyDescent="0.3">
      <c r="B1512" s="236">
        <v>43451</v>
      </c>
      <c r="C1512" s="73"/>
      <c r="D1512" s="73"/>
      <c r="E1512" s="145">
        <v>15075.46</v>
      </c>
    </row>
    <row r="1513" spans="2:5" ht="16.5" x14ac:dyDescent="0.3">
      <c r="B1513" s="236">
        <v>43448</v>
      </c>
      <c r="C1513" s="73"/>
      <c r="D1513" s="73"/>
      <c r="E1513" s="145">
        <v>14960.64</v>
      </c>
    </row>
    <row r="1514" spans="2:5" ht="16.5" x14ac:dyDescent="0.3">
      <c r="B1514" s="236">
        <v>43447</v>
      </c>
      <c r="C1514" s="73"/>
      <c r="D1514" s="73"/>
      <c r="E1514" s="145">
        <v>14941.4</v>
      </c>
    </row>
    <row r="1515" spans="2:5" ht="16.5" x14ac:dyDescent="0.3">
      <c r="B1515" s="236">
        <v>43446</v>
      </c>
      <c r="C1515" s="73"/>
      <c r="D1515" s="73"/>
      <c r="E1515" s="145">
        <v>14866.71</v>
      </c>
    </row>
    <row r="1516" spans="2:5" ht="16.5" x14ac:dyDescent="0.3">
      <c r="B1516" s="236">
        <v>43445</v>
      </c>
      <c r="C1516" s="73"/>
      <c r="D1516" s="73"/>
      <c r="E1516" s="145">
        <v>14605.79</v>
      </c>
    </row>
    <row r="1517" spans="2:5" ht="16.5" x14ac:dyDescent="0.3">
      <c r="B1517" s="236">
        <v>43444</v>
      </c>
      <c r="C1517" s="73"/>
      <c r="D1517" s="73"/>
      <c r="E1517" s="145">
        <v>14521.73</v>
      </c>
    </row>
    <row r="1518" spans="2:5" ht="16.5" x14ac:dyDescent="0.3">
      <c r="B1518" s="236">
        <v>43441</v>
      </c>
      <c r="C1518" s="73"/>
      <c r="D1518" s="73"/>
      <c r="E1518" s="145">
        <v>14805.93</v>
      </c>
    </row>
    <row r="1519" spans="2:5" ht="16.5" x14ac:dyDescent="0.3">
      <c r="B1519" s="236">
        <v>43440</v>
      </c>
      <c r="C1519" s="73"/>
      <c r="D1519" s="73"/>
      <c r="E1519" s="145">
        <v>14677.79</v>
      </c>
    </row>
    <row r="1520" spans="2:5" ht="16.5" x14ac:dyDescent="0.3">
      <c r="B1520" s="236">
        <v>43439</v>
      </c>
      <c r="C1520" s="73"/>
      <c r="D1520" s="73"/>
      <c r="E1520" s="145">
        <v>14929.43</v>
      </c>
    </row>
    <row r="1521" spans="2:5" ht="16.5" x14ac:dyDescent="0.3">
      <c r="B1521" s="236">
        <v>43438</v>
      </c>
      <c r="C1521" s="73"/>
      <c r="D1521" s="73"/>
      <c r="E1521" s="145">
        <v>15049.32</v>
      </c>
    </row>
    <row r="1522" spans="2:5" ht="16.5" x14ac:dyDescent="0.3">
      <c r="B1522" s="236">
        <v>43437</v>
      </c>
      <c r="C1522" s="73"/>
      <c r="D1522" s="73"/>
      <c r="E1522" s="145">
        <v>15069.07</v>
      </c>
    </row>
    <row r="1523" spans="2:5" ht="16.5" x14ac:dyDescent="0.3">
      <c r="B1523" s="236">
        <v>43434</v>
      </c>
      <c r="C1523" s="73"/>
      <c r="D1523" s="73"/>
      <c r="E1523" s="145">
        <v>15059.37</v>
      </c>
    </row>
    <row r="1524" spans="2:5" ht="16.5" x14ac:dyDescent="0.3">
      <c r="B1524" s="236">
        <v>43433</v>
      </c>
      <c r="C1524" s="73"/>
      <c r="D1524" s="73"/>
      <c r="E1524" s="145">
        <v>15034.36</v>
      </c>
    </row>
    <row r="1525" spans="2:5" ht="16.5" x14ac:dyDescent="0.3">
      <c r="B1525" s="236">
        <v>43432</v>
      </c>
      <c r="C1525" s="73"/>
      <c r="D1525" s="73"/>
      <c r="E1525" s="145">
        <v>14854.61</v>
      </c>
    </row>
    <row r="1526" spans="2:5" ht="16.5" x14ac:dyDescent="0.3">
      <c r="B1526" s="236">
        <v>43431</v>
      </c>
      <c r="C1526" s="73"/>
      <c r="D1526" s="73"/>
      <c r="E1526" s="145">
        <v>14794.7</v>
      </c>
    </row>
    <row r="1527" spans="2:5" ht="16.5" x14ac:dyDescent="0.3">
      <c r="B1527" s="236">
        <v>43430</v>
      </c>
      <c r="C1527" s="73"/>
      <c r="D1527" s="73"/>
      <c r="E1527" s="145">
        <v>14715.81</v>
      </c>
    </row>
    <row r="1528" spans="2:5" ht="16.5" x14ac:dyDescent="0.3">
      <c r="B1528" s="236">
        <v>43426</v>
      </c>
      <c r="C1528" s="73"/>
      <c r="D1528" s="73"/>
      <c r="E1528" s="145">
        <v>14574.82</v>
      </c>
    </row>
    <row r="1529" spans="2:5" ht="16.5" x14ac:dyDescent="0.3">
      <c r="B1529" s="236">
        <v>43425</v>
      </c>
      <c r="C1529" s="73"/>
      <c r="D1529" s="73"/>
      <c r="E1529" s="145">
        <v>14676.29</v>
      </c>
    </row>
    <row r="1530" spans="2:5" ht="16.5" x14ac:dyDescent="0.3">
      <c r="B1530" s="236">
        <v>43424</v>
      </c>
      <c r="C1530" s="73"/>
      <c r="D1530" s="73"/>
      <c r="E1530" s="145">
        <v>14754.03</v>
      </c>
    </row>
    <row r="1531" spans="2:5" ht="16.5" x14ac:dyDescent="0.3">
      <c r="B1531" s="236">
        <v>43423</v>
      </c>
      <c r="C1531" s="73"/>
      <c r="D1531" s="73"/>
      <c r="E1531" s="145">
        <v>14902.44</v>
      </c>
    </row>
    <row r="1532" spans="2:5" ht="16.5" x14ac:dyDescent="0.3">
      <c r="B1532" s="236">
        <v>43420</v>
      </c>
      <c r="C1532" s="73"/>
      <c r="D1532" s="73"/>
      <c r="E1532" s="145">
        <v>14790.05</v>
      </c>
    </row>
    <row r="1533" spans="2:5" ht="16.5" x14ac:dyDescent="0.3">
      <c r="B1533" s="236">
        <v>43419</v>
      </c>
      <c r="C1533" s="73"/>
      <c r="D1533" s="73"/>
      <c r="E1533" s="145">
        <v>14699.33</v>
      </c>
    </row>
    <row r="1534" spans="2:5" ht="16.5" x14ac:dyDescent="0.3">
      <c r="B1534" s="236">
        <v>43418</v>
      </c>
      <c r="C1534" s="73"/>
      <c r="D1534" s="73"/>
      <c r="E1534" s="145">
        <v>14643.42</v>
      </c>
    </row>
    <row r="1535" spans="2:5" ht="16.5" x14ac:dyDescent="0.3">
      <c r="B1535" s="236">
        <v>43417</v>
      </c>
      <c r="C1535" s="73"/>
      <c r="D1535" s="73"/>
      <c r="E1535" s="145">
        <v>14651.98</v>
      </c>
    </row>
    <row r="1536" spans="2:5" ht="16.5" x14ac:dyDescent="0.3">
      <c r="B1536" s="236">
        <v>43416</v>
      </c>
      <c r="C1536" s="73"/>
      <c r="D1536" s="73"/>
      <c r="E1536" s="145">
        <v>14513.12</v>
      </c>
    </row>
    <row r="1537" spans="2:5" ht="16.5" x14ac:dyDescent="0.3">
      <c r="B1537" s="236">
        <v>43413</v>
      </c>
      <c r="C1537" s="73"/>
      <c r="D1537" s="73"/>
      <c r="E1537" s="145">
        <v>14655.69</v>
      </c>
    </row>
    <row r="1538" spans="2:5" ht="16.5" x14ac:dyDescent="0.3">
      <c r="B1538" s="236">
        <v>43411</v>
      </c>
      <c r="C1538" s="73"/>
      <c r="D1538" s="73"/>
      <c r="E1538" s="145">
        <v>14673.98</v>
      </c>
    </row>
    <row r="1539" spans="2:5" ht="16.5" x14ac:dyDescent="0.3">
      <c r="B1539" s="236">
        <v>43410</v>
      </c>
      <c r="C1539" s="73"/>
      <c r="D1539" s="73"/>
      <c r="E1539" s="145">
        <v>14579.28</v>
      </c>
    </row>
    <row r="1540" spans="2:5" ht="16.5" x14ac:dyDescent="0.3">
      <c r="B1540" s="236">
        <v>43409</v>
      </c>
      <c r="C1540" s="73"/>
      <c r="D1540" s="73"/>
      <c r="E1540" s="145">
        <v>14570.98</v>
      </c>
    </row>
    <row r="1541" spans="2:5" ht="16.5" x14ac:dyDescent="0.3">
      <c r="B1541" s="236">
        <v>43406</v>
      </c>
      <c r="C1541" s="73"/>
      <c r="D1541" s="73"/>
      <c r="E1541" s="145">
        <v>14609.96</v>
      </c>
    </row>
    <row r="1542" spans="2:5" ht="16.5" x14ac:dyDescent="0.3">
      <c r="B1542" s="236">
        <v>43405</v>
      </c>
      <c r="C1542" s="73"/>
      <c r="D1542" s="73"/>
      <c r="E1542" s="145">
        <v>14371.1</v>
      </c>
    </row>
    <row r="1543" spans="2:5" ht="16.5" x14ac:dyDescent="0.3">
      <c r="B1543" s="236">
        <v>43404</v>
      </c>
      <c r="C1543" s="73"/>
      <c r="D1543" s="73"/>
      <c r="E1543" s="145">
        <v>14377.38</v>
      </c>
    </row>
    <row r="1544" spans="2:5" ht="16.5" x14ac:dyDescent="0.3">
      <c r="B1544" s="236">
        <v>43403</v>
      </c>
      <c r="C1544" s="73"/>
      <c r="D1544" s="73"/>
      <c r="E1544" s="145">
        <v>14116.91</v>
      </c>
    </row>
    <row r="1545" spans="2:5" ht="16.5" x14ac:dyDescent="0.3">
      <c r="B1545" s="236">
        <v>43402</v>
      </c>
      <c r="C1545" s="73"/>
      <c r="D1545" s="73"/>
      <c r="E1545" s="145">
        <v>14189.11</v>
      </c>
    </row>
    <row r="1546" spans="2:5" ht="16.5" x14ac:dyDescent="0.3">
      <c r="B1546" s="236">
        <v>43399</v>
      </c>
      <c r="C1546" s="73"/>
      <c r="D1546" s="73"/>
      <c r="E1546" s="145">
        <v>13882.95</v>
      </c>
    </row>
    <row r="1547" spans="2:5" ht="16.5" x14ac:dyDescent="0.3">
      <c r="B1547" s="236">
        <v>43398</v>
      </c>
      <c r="C1547" s="73"/>
      <c r="D1547" s="73"/>
      <c r="E1547" s="145">
        <v>14014.33</v>
      </c>
    </row>
    <row r="1548" spans="2:5" ht="16.5" x14ac:dyDescent="0.3">
      <c r="B1548" s="236">
        <v>43397</v>
      </c>
      <c r="C1548" s="73"/>
      <c r="D1548" s="73"/>
      <c r="E1548" s="145">
        <v>14139.75</v>
      </c>
    </row>
    <row r="1549" spans="2:5" ht="16.5" x14ac:dyDescent="0.3">
      <c r="B1549" s="236">
        <v>43396</v>
      </c>
      <c r="C1549" s="73"/>
      <c r="D1549" s="73"/>
      <c r="E1549" s="145">
        <v>14031.96</v>
      </c>
    </row>
    <row r="1550" spans="2:5" ht="16.5" x14ac:dyDescent="0.3">
      <c r="B1550" s="236">
        <v>43395</v>
      </c>
      <c r="C1550" s="73"/>
      <c r="D1550" s="73"/>
      <c r="E1550" s="145">
        <v>14166.64</v>
      </c>
    </row>
    <row r="1551" spans="2:5" ht="16.5" x14ac:dyDescent="0.3">
      <c r="B1551" s="236">
        <v>43392</v>
      </c>
      <c r="C1551" s="73"/>
      <c r="D1551" s="73"/>
      <c r="E1551" s="145">
        <v>14247.22</v>
      </c>
    </row>
    <row r="1552" spans="2:5" ht="16.5" x14ac:dyDescent="0.3">
      <c r="B1552" s="236">
        <v>43390</v>
      </c>
      <c r="C1552" s="73"/>
      <c r="D1552" s="73"/>
      <c r="E1552" s="145">
        <v>14453.94</v>
      </c>
    </row>
    <row r="1553" spans="2:5" ht="16.5" x14ac:dyDescent="0.3">
      <c r="B1553" s="236">
        <v>43389</v>
      </c>
      <c r="C1553" s="73"/>
      <c r="D1553" s="73"/>
      <c r="E1553" s="145">
        <v>14636.1</v>
      </c>
    </row>
    <row r="1554" spans="2:5" ht="16.5" x14ac:dyDescent="0.3">
      <c r="B1554" s="236">
        <v>43388</v>
      </c>
      <c r="C1554" s="73"/>
      <c r="D1554" s="73"/>
      <c r="E1554" s="145">
        <v>14536.17</v>
      </c>
    </row>
    <row r="1555" spans="2:5" ht="16.5" x14ac:dyDescent="0.3">
      <c r="B1555" s="236">
        <v>43385</v>
      </c>
      <c r="C1555" s="73"/>
      <c r="D1555" s="73"/>
      <c r="E1555" s="145">
        <v>14480.86</v>
      </c>
    </row>
    <row r="1556" spans="2:5" ht="16.5" x14ac:dyDescent="0.3">
      <c r="B1556" s="236">
        <v>43384</v>
      </c>
      <c r="C1556" s="73"/>
      <c r="D1556" s="73"/>
      <c r="E1556" s="145">
        <v>14152</v>
      </c>
    </row>
    <row r="1557" spans="2:5" ht="16.5" x14ac:dyDescent="0.3">
      <c r="B1557" s="236">
        <v>43383</v>
      </c>
      <c r="C1557" s="73"/>
      <c r="D1557" s="73"/>
      <c r="E1557" s="145">
        <v>14463.71</v>
      </c>
    </row>
    <row r="1558" spans="2:5" ht="16.5" x14ac:dyDescent="0.3">
      <c r="B1558" s="236">
        <v>43382</v>
      </c>
      <c r="C1558" s="73"/>
      <c r="D1558" s="73"/>
      <c r="E1558" s="145">
        <v>14243.79</v>
      </c>
    </row>
    <row r="1559" spans="2:5" ht="16.5" x14ac:dyDescent="0.3">
      <c r="B1559" s="236">
        <v>43381</v>
      </c>
      <c r="C1559" s="73"/>
      <c r="D1559" s="73"/>
      <c r="E1559" s="145">
        <v>14308.79</v>
      </c>
    </row>
    <row r="1560" spans="2:5" ht="16.5" x14ac:dyDescent="0.3">
      <c r="B1560" s="236">
        <v>43378</v>
      </c>
      <c r="C1560" s="73"/>
      <c r="D1560" s="73"/>
      <c r="E1560" s="145">
        <v>14265.08</v>
      </c>
    </row>
    <row r="1561" spans="2:5" ht="16.5" x14ac:dyDescent="0.3">
      <c r="B1561" s="236">
        <v>43377</v>
      </c>
      <c r="C1561" s="73"/>
      <c r="D1561" s="73"/>
      <c r="E1561" s="145">
        <v>14656.09</v>
      </c>
    </row>
    <row r="1562" spans="2:5" ht="16.5" x14ac:dyDescent="0.3">
      <c r="B1562" s="236">
        <v>43376</v>
      </c>
      <c r="C1562" s="73"/>
      <c r="D1562" s="73"/>
      <c r="E1562" s="145">
        <v>15014.23</v>
      </c>
    </row>
    <row r="1563" spans="2:5" ht="16.5" x14ac:dyDescent="0.3">
      <c r="B1563" s="236">
        <v>43374</v>
      </c>
      <c r="C1563" s="73"/>
      <c r="D1563" s="73"/>
      <c r="E1563" s="145">
        <v>15221.75</v>
      </c>
    </row>
    <row r="1564" spans="2:5" ht="16.5" x14ac:dyDescent="0.3">
      <c r="B1564" s="236">
        <v>43371</v>
      </c>
      <c r="C1564" s="73"/>
      <c r="D1564" s="73"/>
      <c r="E1564" s="145">
        <v>15114.08</v>
      </c>
    </row>
    <row r="1565" spans="2:5" ht="16.5" x14ac:dyDescent="0.3">
      <c r="B1565" s="236">
        <v>43370</v>
      </c>
      <c r="C1565" s="73"/>
      <c r="D1565" s="73"/>
      <c r="E1565" s="145">
        <v>15179.24</v>
      </c>
    </row>
    <row r="1566" spans="2:5" ht="16.5" x14ac:dyDescent="0.3">
      <c r="B1566" s="236">
        <v>43369</v>
      </c>
      <c r="C1566" s="73"/>
      <c r="D1566" s="73"/>
      <c r="E1566" s="145">
        <v>15284.67</v>
      </c>
    </row>
    <row r="1567" spans="2:5" ht="16.5" x14ac:dyDescent="0.3">
      <c r="B1567" s="236">
        <v>43368</v>
      </c>
      <c r="C1567" s="73"/>
      <c r="D1567" s="73"/>
      <c r="E1567" s="145">
        <v>15303.55</v>
      </c>
    </row>
    <row r="1568" spans="2:5" ht="16.5" x14ac:dyDescent="0.3">
      <c r="B1568" s="236">
        <v>43367</v>
      </c>
      <c r="C1568" s="73"/>
      <c r="D1568" s="73"/>
      <c r="E1568" s="145">
        <v>15165.18</v>
      </c>
    </row>
    <row r="1569" spans="2:5" ht="16.5" x14ac:dyDescent="0.3">
      <c r="B1569" s="236">
        <v>43364</v>
      </c>
      <c r="C1569" s="73"/>
      <c r="D1569" s="73"/>
      <c r="E1569" s="145">
        <v>15408.16</v>
      </c>
    </row>
    <row r="1570" spans="2:5" ht="16.5" x14ac:dyDescent="0.3">
      <c r="B1570" s="236">
        <v>43362</v>
      </c>
      <c r="C1570" s="73"/>
      <c r="D1570" s="73"/>
      <c r="E1570" s="145">
        <v>15534.28</v>
      </c>
    </row>
    <row r="1571" spans="2:5" ht="16.5" x14ac:dyDescent="0.3">
      <c r="B1571" s="236">
        <v>43361</v>
      </c>
      <c r="C1571" s="73"/>
      <c r="D1571" s="73"/>
      <c r="E1571" s="145">
        <v>15594.57</v>
      </c>
    </row>
    <row r="1572" spans="2:5" ht="16.5" x14ac:dyDescent="0.3">
      <c r="B1572" s="236">
        <v>43360</v>
      </c>
      <c r="C1572" s="73"/>
      <c r="D1572" s="73"/>
      <c r="E1572" s="145">
        <v>15731.26</v>
      </c>
    </row>
    <row r="1573" spans="2:5" ht="16.5" x14ac:dyDescent="0.3">
      <c r="B1573" s="236">
        <v>43357</v>
      </c>
      <c r="C1573" s="73"/>
      <c r="D1573" s="73"/>
      <c r="E1573" s="145">
        <v>15920.48</v>
      </c>
    </row>
    <row r="1574" spans="2:5" ht="16.5" x14ac:dyDescent="0.3">
      <c r="B1574" s="236">
        <v>43355</v>
      </c>
      <c r="C1574" s="73"/>
      <c r="D1574" s="73"/>
      <c r="E1574" s="145">
        <v>15719.62</v>
      </c>
    </row>
    <row r="1575" spans="2:5" ht="16.5" x14ac:dyDescent="0.3">
      <c r="B1575" s="236">
        <v>43354</v>
      </c>
      <c r="C1575" s="73"/>
      <c r="D1575" s="73"/>
      <c r="E1575" s="145">
        <v>15605.11</v>
      </c>
    </row>
    <row r="1576" spans="2:5" ht="16.5" x14ac:dyDescent="0.3">
      <c r="B1576" s="236">
        <v>43353</v>
      </c>
      <c r="C1576" s="73"/>
      <c r="D1576" s="73"/>
      <c r="E1576" s="145">
        <v>15813.26</v>
      </c>
    </row>
    <row r="1577" spans="2:5" ht="16.5" x14ac:dyDescent="0.3">
      <c r="B1577" s="236">
        <v>43350</v>
      </c>
      <c r="C1577" s="73"/>
      <c r="D1577" s="73"/>
      <c r="E1577" s="145">
        <v>16019.84</v>
      </c>
    </row>
    <row r="1578" spans="2:5" ht="16.5" x14ac:dyDescent="0.3">
      <c r="B1578" s="236">
        <v>43349</v>
      </c>
      <c r="C1578" s="73"/>
      <c r="D1578" s="73"/>
      <c r="E1578" s="145">
        <v>15947.67</v>
      </c>
    </row>
    <row r="1579" spans="2:5" ht="16.5" x14ac:dyDescent="0.3">
      <c r="B1579" s="236">
        <v>43348</v>
      </c>
      <c r="C1579" s="73"/>
      <c r="D1579" s="73"/>
      <c r="E1579" s="145">
        <v>15862.15</v>
      </c>
    </row>
    <row r="1580" spans="2:5" ht="16.5" x14ac:dyDescent="0.3">
      <c r="B1580" s="236">
        <v>43347</v>
      </c>
      <c r="C1580" s="73"/>
      <c r="D1580" s="73"/>
      <c r="E1580" s="145">
        <v>15922.09</v>
      </c>
    </row>
    <row r="1581" spans="2:5" ht="16.5" x14ac:dyDescent="0.3">
      <c r="B1581" s="236">
        <v>43346</v>
      </c>
      <c r="C1581" s="73"/>
      <c r="D1581" s="73"/>
      <c r="E1581" s="145">
        <v>16007.84</v>
      </c>
    </row>
    <row r="1582" spans="2:5" ht="16.5" x14ac:dyDescent="0.3">
      <c r="B1582" s="236">
        <v>43343</v>
      </c>
      <c r="C1582" s="73"/>
      <c r="D1582" s="73"/>
      <c r="E1582" s="145">
        <v>16143.51</v>
      </c>
    </row>
    <row r="1583" spans="2:5" ht="16.5" x14ac:dyDescent="0.3">
      <c r="B1583" s="236">
        <v>43342</v>
      </c>
      <c r="C1583" s="73"/>
      <c r="D1583" s="73"/>
      <c r="E1583" s="145">
        <v>16135.61</v>
      </c>
    </row>
    <row r="1584" spans="2:5" ht="16.5" x14ac:dyDescent="0.3">
      <c r="B1584" s="236">
        <v>43341</v>
      </c>
      <c r="C1584" s="73"/>
      <c r="D1584" s="73"/>
      <c r="E1584" s="145">
        <v>16156.02</v>
      </c>
    </row>
    <row r="1585" spans="2:5" ht="16.5" x14ac:dyDescent="0.3">
      <c r="B1585" s="236">
        <v>43340</v>
      </c>
      <c r="C1585" s="73"/>
      <c r="D1585" s="73"/>
      <c r="E1585" s="145">
        <v>16220.45</v>
      </c>
    </row>
    <row r="1586" spans="2:5" ht="16.5" x14ac:dyDescent="0.3">
      <c r="B1586" s="236">
        <v>43339</v>
      </c>
      <c r="C1586" s="73"/>
      <c r="D1586" s="73"/>
      <c r="E1586" s="145">
        <v>16156.09</v>
      </c>
    </row>
    <row r="1587" spans="2:5" ht="16.5" x14ac:dyDescent="0.3">
      <c r="B1587" s="236">
        <v>43336</v>
      </c>
      <c r="C1587" s="73"/>
      <c r="D1587" s="73"/>
      <c r="E1587" s="145">
        <v>15969.8</v>
      </c>
    </row>
    <row r="1588" spans="2:5" ht="16.5" x14ac:dyDescent="0.3">
      <c r="B1588" s="236">
        <v>43335</v>
      </c>
      <c r="C1588" s="73"/>
      <c r="D1588" s="73"/>
      <c r="E1588" s="145">
        <v>16001.85</v>
      </c>
    </row>
    <row r="1589" spans="2:5" ht="16.5" x14ac:dyDescent="0.3">
      <c r="B1589" s="236">
        <v>43333</v>
      </c>
      <c r="C1589" s="73"/>
      <c r="D1589" s="73"/>
      <c r="E1589" s="145">
        <v>15985.48</v>
      </c>
    </row>
    <row r="1590" spans="2:5" ht="16.5" x14ac:dyDescent="0.3">
      <c r="B1590" s="236">
        <v>43332</v>
      </c>
      <c r="C1590" s="73"/>
      <c r="D1590" s="73"/>
      <c r="E1590" s="145">
        <v>15959.04</v>
      </c>
    </row>
    <row r="1591" spans="2:5" ht="16.5" x14ac:dyDescent="0.3">
      <c r="B1591" s="236">
        <v>43329</v>
      </c>
      <c r="C1591" s="73"/>
      <c r="D1591" s="73"/>
      <c r="E1591" s="145">
        <v>15845.64</v>
      </c>
    </row>
    <row r="1592" spans="2:5" ht="16.5" x14ac:dyDescent="0.3">
      <c r="B1592" s="236">
        <v>43328</v>
      </c>
      <c r="C1592" s="73"/>
      <c r="D1592" s="73"/>
      <c r="E1592" s="145">
        <v>15727.25</v>
      </c>
    </row>
    <row r="1593" spans="2:5" ht="16.5" x14ac:dyDescent="0.3">
      <c r="B1593" s="236">
        <v>43326</v>
      </c>
      <c r="C1593" s="73"/>
      <c r="D1593" s="73"/>
      <c r="E1593" s="145">
        <v>15796.36</v>
      </c>
    </row>
    <row r="1594" spans="2:5" ht="16.5" x14ac:dyDescent="0.3">
      <c r="B1594" s="236">
        <v>43325</v>
      </c>
      <c r="C1594" s="73"/>
      <c r="D1594" s="73"/>
      <c r="E1594" s="145">
        <v>15676.23</v>
      </c>
    </row>
    <row r="1595" spans="2:5" ht="16.5" x14ac:dyDescent="0.3">
      <c r="B1595" s="236">
        <v>43322</v>
      </c>
      <c r="C1595" s="73"/>
      <c r="D1595" s="73"/>
      <c r="E1595" s="145">
        <v>15776.32</v>
      </c>
    </row>
    <row r="1596" spans="2:5" ht="16.5" x14ac:dyDescent="0.3">
      <c r="B1596" s="236">
        <v>43321</v>
      </c>
      <c r="C1596" s="73"/>
      <c r="D1596" s="73"/>
      <c r="E1596" s="145">
        <v>15833.23</v>
      </c>
    </row>
    <row r="1597" spans="2:5" ht="16.5" x14ac:dyDescent="0.3">
      <c r="B1597" s="236">
        <v>43320</v>
      </c>
      <c r="C1597" s="73"/>
      <c r="D1597" s="73"/>
      <c r="E1597" s="145">
        <v>15803.64</v>
      </c>
    </row>
    <row r="1598" spans="2:5" ht="16.5" x14ac:dyDescent="0.3">
      <c r="B1598" s="236">
        <v>43319</v>
      </c>
      <c r="C1598" s="73"/>
      <c r="D1598" s="73"/>
      <c r="E1598" s="145">
        <v>15720.05</v>
      </c>
    </row>
    <row r="1599" spans="2:5" ht="16.5" x14ac:dyDescent="0.3">
      <c r="B1599" s="236">
        <v>43318</v>
      </c>
      <c r="C1599" s="73"/>
      <c r="D1599" s="73"/>
      <c r="E1599" s="145">
        <v>15716.78</v>
      </c>
    </row>
    <row r="1600" spans="2:5" ht="16.5" x14ac:dyDescent="0.3">
      <c r="B1600" s="236">
        <v>43315</v>
      </c>
      <c r="C1600" s="73"/>
      <c r="D1600" s="73"/>
      <c r="E1600" s="145">
        <v>15680.51</v>
      </c>
    </row>
    <row r="1601" spans="2:5" ht="16.5" x14ac:dyDescent="0.3">
      <c r="B1601" s="236">
        <v>43314</v>
      </c>
      <c r="C1601" s="73"/>
      <c r="D1601" s="73"/>
      <c r="E1601" s="145">
        <v>15520.25</v>
      </c>
    </row>
    <row r="1602" spans="2:5" ht="16.5" x14ac:dyDescent="0.3">
      <c r="B1602" s="236">
        <v>43313</v>
      </c>
      <c r="C1602" s="73"/>
      <c r="D1602" s="73"/>
      <c r="E1602" s="145">
        <v>15658.27</v>
      </c>
    </row>
    <row r="1603" spans="2:5" ht="16.5" x14ac:dyDescent="0.3">
      <c r="B1603" s="236">
        <v>43312</v>
      </c>
      <c r="C1603" s="73"/>
      <c r="D1603" s="73"/>
      <c r="E1603" s="145">
        <v>15672.47</v>
      </c>
    </row>
    <row r="1604" spans="2:5" ht="16.5" x14ac:dyDescent="0.3">
      <c r="B1604" s="236">
        <v>43311</v>
      </c>
      <c r="C1604" s="73"/>
      <c r="D1604" s="73"/>
      <c r="E1604" s="145">
        <v>15621.47</v>
      </c>
    </row>
    <row r="1605" spans="2:5" ht="16.5" x14ac:dyDescent="0.3">
      <c r="B1605" s="236">
        <v>43308</v>
      </c>
      <c r="C1605" s="73"/>
      <c r="D1605" s="73"/>
      <c r="E1605" s="145">
        <v>15564.19</v>
      </c>
    </row>
    <row r="1606" spans="2:5" ht="16.5" x14ac:dyDescent="0.3">
      <c r="B1606" s="236">
        <v>43307</v>
      </c>
      <c r="C1606" s="73"/>
      <c r="D1606" s="73"/>
      <c r="E1606" s="145">
        <v>15410.93</v>
      </c>
    </row>
    <row r="1607" spans="2:5" ht="16.5" x14ac:dyDescent="0.3">
      <c r="B1607" s="236">
        <v>43306</v>
      </c>
      <c r="C1607" s="73"/>
      <c r="D1607" s="73"/>
      <c r="E1607" s="145">
        <v>15358.72</v>
      </c>
    </row>
    <row r="1608" spans="2:5" ht="16.5" x14ac:dyDescent="0.3">
      <c r="B1608" s="236">
        <v>43305</v>
      </c>
      <c r="C1608" s="73"/>
      <c r="D1608" s="73"/>
      <c r="E1608" s="145">
        <v>15361.88</v>
      </c>
    </row>
    <row r="1609" spans="2:5" ht="16.5" x14ac:dyDescent="0.3">
      <c r="B1609" s="236">
        <v>43304</v>
      </c>
      <c r="C1609" s="73"/>
      <c r="D1609" s="73"/>
      <c r="E1609" s="145">
        <v>15293.5</v>
      </c>
    </row>
    <row r="1610" spans="2:5" ht="16.5" x14ac:dyDescent="0.3">
      <c r="B1610" s="236">
        <v>43301</v>
      </c>
      <c r="C1610" s="73"/>
      <c r="D1610" s="73"/>
      <c r="E1610" s="145">
        <v>15190.13</v>
      </c>
    </row>
    <row r="1611" spans="2:5" ht="16.5" x14ac:dyDescent="0.3">
      <c r="B1611" s="236">
        <v>43300</v>
      </c>
      <c r="C1611" s="73"/>
      <c r="D1611" s="73"/>
      <c r="E1611" s="145">
        <v>15116.83</v>
      </c>
    </row>
    <row r="1612" spans="2:5" ht="16.5" x14ac:dyDescent="0.3">
      <c r="B1612" s="236">
        <v>43299</v>
      </c>
      <c r="C1612" s="73"/>
      <c r="D1612" s="73"/>
      <c r="E1612" s="145">
        <v>15135.57</v>
      </c>
    </row>
    <row r="1613" spans="2:5" ht="16.5" x14ac:dyDescent="0.3">
      <c r="B1613" s="236">
        <v>43298</v>
      </c>
      <c r="C1613" s="73"/>
      <c r="D1613" s="73"/>
      <c r="E1613" s="145">
        <v>15172.31</v>
      </c>
    </row>
    <row r="1614" spans="2:5" ht="16.5" x14ac:dyDescent="0.3">
      <c r="B1614" s="236">
        <v>43297</v>
      </c>
      <c r="C1614" s="73"/>
      <c r="D1614" s="73"/>
      <c r="E1614" s="145">
        <v>15072.66</v>
      </c>
    </row>
    <row r="1615" spans="2:5" ht="16.5" x14ac:dyDescent="0.3">
      <c r="B1615" s="236">
        <v>43294</v>
      </c>
      <c r="C1615" s="73"/>
      <c r="D1615" s="73"/>
      <c r="E1615" s="145">
        <v>15184.88</v>
      </c>
    </row>
    <row r="1616" spans="2:5" ht="16.5" x14ac:dyDescent="0.3">
      <c r="B1616" s="236">
        <v>43293</v>
      </c>
      <c r="C1616" s="73"/>
      <c r="D1616" s="73"/>
      <c r="E1616" s="145">
        <v>15190.82</v>
      </c>
    </row>
    <row r="1617" spans="2:5" ht="16.5" x14ac:dyDescent="0.3">
      <c r="B1617" s="236">
        <v>43292</v>
      </c>
      <c r="C1617" s="73"/>
      <c r="D1617" s="73"/>
      <c r="E1617" s="145">
        <v>15085.15</v>
      </c>
    </row>
    <row r="1618" spans="2:5" ht="16.5" x14ac:dyDescent="0.3">
      <c r="B1618" s="236">
        <v>43291</v>
      </c>
      <c r="C1618" s="73"/>
      <c r="D1618" s="73"/>
      <c r="E1618" s="145">
        <v>15081.6</v>
      </c>
    </row>
    <row r="1619" spans="2:5" ht="16.5" x14ac:dyDescent="0.3">
      <c r="B1619" s="236">
        <v>43290</v>
      </c>
      <c r="C1619" s="73"/>
      <c r="D1619" s="73"/>
      <c r="E1619" s="145">
        <v>14951.2</v>
      </c>
    </row>
    <row r="1620" spans="2:5" ht="16.5" x14ac:dyDescent="0.3">
      <c r="B1620" s="236">
        <v>43287</v>
      </c>
      <c r="C1620" s="73"/>
      <c r="D1620" s="73"/>
      <c r="E1620" s="145">
        <v>14840.13</v>
      </c>
    </row>
    <row r="1621" spans="2:5" ht="16.5" x14ac:dyDescent="0.3">
      <c r="B1621" s="236">
        <v>43286</v>
      </c>
      <c r="C1621" s="73"/>
      <c r="D1621" s="73"/>
      <c r="E1621" s="145">
        <v>14808.54</v>
      </c>
    </row>
    <row r="1622" spans="2:5" ht="16.5" x14ac:dyDescent="0.3">
      <c r="B1622" s="236">
        <v>43285</v>
      </c>
      <c r="C1622" s="73"/>
      <c r="D1622" s="73"/>
      <c r="E1622" s="145">
        <v>14830.5</v>
      </c>
    </row>
    <row r="1623" spans="2:5" ht="16.5" x14ac:dyDescent="0.3">
      <c r="B1623" s="236">
        <v>43284</v>
      </c>
      <c r="C1623" s="73"/>
      <c r="D1623" s="73"/>
      <c r="E1623" s="145">
        <v>14734.11</v>
      </c>
    </row>
    <row r="1624" spans="2:5" ht="16.5" x14ac:dyDescent="0.3">
      <c r="B1624" s="236">
        <v>43283</v>
      </c>
      <c r="C1624" s="73"/>
      <c r="D1624" s="73"/>
      <c r="E1624" s="145">
        <v>14675.42</v>
      </c>
    </row>
    <row r="1625" spans="2:5" ht="16.5" x14ac:dyDescent="0.3">
      <c r="B1625" s="236">
        <v>43280</v>
      </c>
      <c r="C1625" s="73"/>
      <c r="D1625" s="73"/>
      <c r="E1625" s="145">
        <v>14753.91</v>
      </c>
    </row>
    <row r="1626" spans="2:5" ht="16.5" x14ac:dyDescent="0.3">
      <c r="B1626" s="236">
        <v>43279</v>
      </c>
      <c r="C1626" s="73"/>
      <c r="D1626" s="73"/>
      <c r="E1626" s="145">
        <v>14581.53</v>
      </c>
    </row>
    <row r="1627" spans="2:5" ht="16.5" x14ac:dyDescent="0.3">
      <c r="B1627" s="236">
        <v>43278</v>
      </c>
      <c r="C1627" s="73"/>
      <c r="D1627" s="73"/>
      <c r="E1627" s="145">
        <v>14694.16</v>
      </c>
    </row>
    <row r="1628" spans="2:5" ht="16.5" x14ac:dyDescent="0.3">
      <c r="B1628" s="236">
        <v>43277</v>
      </c>
      <c r="C1628" s="73"/>
      <c r="D1628" s="73"/>
      <c r="E1628" s="145">
        <v>14821.45</v>
      </c>
    </row>
    <row r="1629" spans="2:5" ht="16.5" x14ac:dyDescent="0.3">
      <c r="B1629" s="236">
        <v>43276</v>
      </c>
      <c r="C1629" s="73"/>
      <c r="D1629" s="73"/>
      <c r="E1629" s="145">
        <v>14812.28</v>
      </c>
    </row>
    <row r="1630" spans="2:5" ht="16.5" x14ac:dyDescent="0.3">
      <c r="B1630" s="236">
        <v>43273</v>
      </c>
      <c r="C1630" s="73"/>
      <c r="D1630" s="73"/>
      <c r="E1630" s="145">
        <v>14894.02</v>
      </c>
    </row>
    <row r="1631" spans="2:5" ht="16.5" x14ac:dyDescent="0.3">
      <c r="B1631" s="236">
        <v>43272</v>
      </c>
      <c r="C1631" s="73"/>
      <c r="D1631" s="73"/>
      <c r="E1631" s="145">
        <v>14782.87</v>
      </c>
    </row>
    <row r="1632" spans="2:5" ht="16.5" x14ac:dyDescent="0.3">
      <c r="B1632" s="236">
        <v>43271</v>
      </c>
      <c r="C1632" s="73"/>
      <c r="D1632" s="73"/>
      <c r="E1632" s="145">
        <v>14822.46</v>
      </c>
    </row>
    <row r="1633" spans="2:5" ht="16.5" x14ac:dyDescent="0.3">
      <c r="B1633" s="236">
        <v>43270</v>
      </c>
      <c r="C1633" s="73"/>
      <c r="D1633" s="73"/>
      <c r="E1633" s="145">
        <v>14737.7</v>
      </c>
    </row>
    <row r="1634" spans="2:5" ht="16.5" x14ac:dyDescent="0.3">
      <c r="B1634" s="236">
        <v>43269</v>
      </c>
      <c r="C1634" s="73"/>
      <c r="D1634" s="73"/>
      <c r="E1634" s="145">
        <v>14860.73</v>
      </c>
    </row>
    <row r="1635" spans="2:5" ht="16.5" x14ac:dyDescent="0.3">
      <c r="B1635" s="236">
        <v>43266</v>
      </c>
      <c r="C1635" s="73"/>
      <c r="D1635" s="73"/>
      <c r="E1635" s="145">
        <v>14885.3</v>
      </c>
    </row>
    <row r="1636" spans="2:5" ht="16.5" x14ac:dyDescent="0.3">
      <c r="B1636" s="236">
        <v>43265</v>
      </c>
      <c r="C1636" s="73"/>
      <c r="D1636" s="73"/>
      <c r="E1636" s="145">
        <v>14871.97</v>
      </c>
    </row>
    <row r="1637" spans="2:5" ht="16.5" x14ac:dyDescent="0.3">
      <c r="B1637" s="236">
        <v>43264</v>
      </c>
      <c r="C1637" s="73"/>
      <c r="D1637" s="73"/>
      <c r="E1637" s="145">
        <v>14917.68</v>
      </c>
    </row>
    <row r="1638" spans="2:5" ht="16.5" x14ac:dyDescent="0.3">
      <c r="B1638" s="236">
        <v>43263</v>
      </c>
      <c r="C1638" s="73"/>
      <c r="D1638" s="73"/>
      <c r="E1638" s="145">
        <v>14898.66</v>
      </c>
    </row>
    <row r="1639" spans="2:5" ht="16.5" x14ac:dyDescent="0.3">
      <c r="B1639" s="236">
        <v>43262</v>
      </c>
      <c r="C1639" s="73"/>
      <c r="D1639" s="73"/>
      <c r="E1639" s="145">
        <v>14821.8</v>
      </c>
    </row>
    <row r="1640" spans="2:5" ht="16.5" x14ac:dyDescent="0.3">
      <c r="B1640" s="236">
        <v>43259</v>
      </c>
      <c r="C1640" s="73"/>
      <c r="D1640" s="73"/>
      <c r="E1640" s="145">
        <v>14795.31</v>
      </c>
    </row>
    <row r="1641" spans="2:5" ht="16.5" x14ac:dyDescent="0.3">
      <c r="B1641" s="236">
        <v>43258</v>
      </c>
      <c r="C1641" s="73"/>
      <c r="D1641" s="73"/>
      <c r="E1641" s="145">
        <v>14796.24</v>
      </c>
    </row>
    <row r="1642" spans="2:5" ht="16.5" x14ac:dyDescent="0.3">
      <c r="B1642" s="236">
        <v>43257</v>
      </c>
      <c r="C1642" s="73"/>
      <c r="D1642" s="73"/>
      <c r="E1642" s="145">
        <v>14681.25</v>
      </c>
    </row>
    <row r="1643" spans="2:5" ht="16.5" x14ac:dyDescent="0.3">
      <c r="B1643" s="236">
        <v>43256</v>
      </c>
      <c r="C1643" s="73"/>
      <c r="D1643" s="73"/>
      <c r="E1643" s="145">
        <v>14555.52</v>
      </c>
    </row>
    <row r="1644" spans="2:5" ht="16.5" x14ac:dyDescent="0.3">
      <c r="B1644" s="236">
        <v>43255</v>
      </c>
      <c r="C1644" s="73"/>
      <c r="D1644" s="73"/>
      <c r="E1644" s="145">
        <v>14604.11</v>
      </c>
    </row>
    <row r="1645" spans="2:5" ht="16.5" x14ac:dyDescent="0.3">
      <c r="B1645" s="236">
        <v>43252</v>
      </c>
      <c r="C1645" s="73"/>
      <c r="D1645" s="73"/>
      <c r="E1645" s="145">
        <v>14695.4</v>
      </c>
    </row>
    <row r="1646" spans="2:5" ht="16.5" x14ac:dyDescent="0.3">
      <c r="B1646" s="236">
        <v>43251</v>
      </c>
      <c r="C1646" s="73"/>
      <c r="D1646" s="73"/>
      <c r="E1646" s="145">
        <v>14750.26</v>
      </c>
    </row>
    <row r="1647" spans="2:5" ht="16.5" x14ac:dyDescent="0.3">
      <c r="B1647" s="236">
        <v>43250</v>
      </c>
      <c r="C1647" s="73"/>
      <c r="D1647" s="73"/>
      <c r="E1647" s="145">
        <v>14568.75</v>
      </c>
    </row>
    <row r="1648" spans="2:5" ht="16.5" x14ac:dyDescent="0.3">
      <c r="B1648" s="236">
        <v>43249</v>
      </c>
      <c r="C1648" s="73"/>
      <c r="D1648" s="73"/>
      <c r="E1648" s="145">
        <v>14594.78</v>
      </c>
    </row>
    <row r="1649" spans="2:5" ht="16.5" x14ac:dyDescent="0.3">
      <c r="B1649" s="236">
        <v>43248</v>
      </c>
      <c r="C1649" s="73"/>
      <c r="D1649" s="73"/>
      <c r="E1649" s="145">
        <v>14670.76</v>
      </c>
    </row>
    <row r="1650" spans="2:5" ht="16.5" x14ac:dyDescent="0.3">
      <c r="B1650" s="236">
        <v>43245</v>
      </c>
      <c r="C1650" s="73"/>
      <c r="D1650" s="73"/>
      <c r="E1650" s="145">
        <v>14556.18</v>
      </c>
    </row>
    <row r="1651" spans="2:5" ht="16.5" x14ac:dyDescent="0.3">
      <c r="B1651" s="236">
        <v>43244</v>
      </c>
      <c r="C1651" s="73"/>
      <c r="D1651" s="73"/>
      <c r="E1651" s="145">
        <v>14415.65</v>
      </c>
    </row>
    <row r="1652" spans="2:5" ht="16.5" x14ac:dyDescent="0.3">
      <c r="B1652" s="236">
        <v>43243</v>
      </c>
      <c r="C1652" s="73"/>
      <c r="D1652" s="73"/>
      <c r="E1652" s="145">
        <v>14301.15</v>
      </c>
    </row>
    <row r="1653" spans="2:5" ht="16.5" x14ac:dyDescent="0.3">
      <c r="B1653" s="236">
        <v>43242</v>
      </c>
      <c r="C1653" s="73"/>
      <c r="D1653" s="73"/>
      <c r="E1653" s="145">
        <v>14446.97</v>
      </c>
    </row>
    <row r="1654" spans="2:5" ht="16.5" x14ac:dyDescent="0.3">
      <c r="B1654" s="236">
        <v>43241</v>
      </c>
      <c r="C1654" s="73"/>
      <c r="D1654" s="73"/>
      <c r="E1654" s="145">
        <v>14419.57</v>
      </c>
    </row>
    <row r="1655" spans="2:5" ht="16.5" x14ac:dyDescent="0.3">
      <c r="B1655" s="236">
        <v>43238</v>
      </c>
      <c r="C1655" s="73"/>
      <c r="D1655" s="73"/>
      <c r="E1655" s="145">
        <v>14528.82</v>
      </c>
    </row>
    <row r="1656" spans="2:5" ht="16.5" x14ac:dyDescent="0.3">
      <c r="B1656" s="236">
        <v>43237</v>
      </c>
      <c r="C1656" s="73"/>
      <c r="D1656" s="73"/>
      <c r="E1656" s="145">
        <v>14647.15</v>
      </c>
    </row>
    <row r="1657" spans="2:5" ht="16.5" x14ac:dyDescent="0.3">
      <c r="B1657" s="236">
        <v>43236</v>
      </c>
      <c r="C1657" s="73"/>
      <c r="D1657" s="73"/>
      <c r="E1657" s="145">
        <v>14727.26</v>
      </c>
    </row>
    <row r="1658" spans="2:5" ht="16.5" x14ac:dyDescent="0.3">
      <c r="B1658" s="236">
        <v>43235</v>
      </c>
      <c r="C1658" s="73"/>
      <c r="D1658" s="73"/>
      <c r="E1658" s="145">
        <v>14810.54</v>
      </c>
    </row>
    <row r="1659" spans="2:5" ht="16.5" x14ac:dyDescent="0.3">
      <c r="B1659" s="236">
        <v>43234</v>
      </c>
      <c r="C1659" s="73"/>
      <c r="D1659" s="73"/>
      <c r="E1659" s="145">
        <v>14817.01</v>
      </c>
    </row>
    <row r="1660" spans="2:5" ht="16.5" x14ac:dyDescent="0.3">
      <c r="B1660" s="236">
        <v>43231</v>
      </c>
      <c r="C1660" s="73"/>
      <c r="D1660" s="73"/>
      <c r="E1660" s="145">
        <v>14816.93</v>
      </c>
    </row>
    <row r="1661" spans="2:5" ht="16.5" x14ac:dyDescent="0.3">
      <c r="B1661" s="236">
        <v>43230</v>
      </c>
      <c r="C1661" s="73"/>
      <c r="D1661" s="73"/>
      <c r="E1661" s="145">
        <v>14693.55</v>
      </c>
    </row>
    <row r="1662" spans="2:5" ht="16.5" x14ac:dyDescent="0.3">
      <c r="B1662" s="236">
        <v>43229</v>
      </c>
      <c r="C1662" s="73"/>
      <c r="D1662" s="73"/>
      <c r="E1662" s="145">
        <v>14728.03</v>
      </c>
    </row>
    <row r="1663" spans="2:5" ht="16.5" x14ac:dyDescent="0.3">
      <c r="B1663" s="236">
        <v>43228</v>
      </c>
      <c r="C1663" s="73"/>
      <c r="D1663" s="73"/>
      <c r="E1663" s="145">
        <v>14694.93</v>
      </c>
    </row>
    <row r="1664" spans="2:5" ht="16.5" x14ac:dyDescent="0.3">
      <c r="B1664" s="236">
        <v>43227</v>
      </c>
      <c r="C1664" s="73"/>
      <c r="D1664" s="73"/>
      <c r="E1664" s="145">
        <v>14691.72</v>
      </c>
    </row>
    <row r="1665" spans="2:5" ht="16.5" x14ac:dyDescent="0.3">
      <c r="B1665" s="236">
        <v>43224</v>
      </c>
      <c r="C1665" s="73"/>
      <c r="D1665" s="73"/>
      <c r="E1665" s="145">
        <v>14558.42</v>
      </c>
    </row>
    <row r="1666" spans="2:5" ht="16.5" x14ac:dyDescent="0.3">
      <c r="B1666" s="236">
        <v>43223</v>
      </c>
      <c r="C1666" s="73"/>
      <c r="D1666" s="73"/>
      <c r="E1666" s="145">
        <v>14642.62</v>
      </c>
    </row>
    <row r="1667" spans="2:5" ht="16.5" x14ac:dyDescent="0.3">
      <c r="B1667" s="236">
        <v>43222</v>
      </c>
      <c r="C1667" s="73"/>
      <c r="D1667" s="73"/>
      <c r="E1667" s="145">
        <v>14695.26</v>
      </c>
    </row>
    <row r="1668" spans="2:5" ht="16.5" x14ac:dyDescent="0.3">
      <c r="B1668" s="236">
        <v>43220</v>
      </c>
      <c r="C1668" s="73"/>
      <c r="D1668" s="73"/>
      <c r="E1668" s="145">
        <v>14723.32</v>
      </c>
    </row>
    <row r="1669" spans="2:5" ht="16.5" x14ac:dyDescent="0.3">
      <c r="B1669" s="236">
        <v>43217</v>
      </c>
      <c r="C1669" s="73"/>
      <c r="D1669" s="73"/>
      <c r="E1669" s="145">
        <v>14658.83</v>
      </c>
    </row>
    <row r="1670" spans="2:5" ht="16.5" x14ac:dyDescent="0.3">
      <c r="B1670" s="236">
        <v>43216</v>
      </c>
      <c r="C1670" s="73"/>
      <c r="D1670" s="73"/>
      <c r="E1670" s="145">
        <v>14556.65</v>
      </c>
    </row>
    <row r="1671" spans="2:5" ht="16.5" x14ac:dyDescent="0.3">
      <c r="B1671" s="236">
        <v>43215</v>
      </c>
      <c r="C1671" s="73"/>
      <c r="D1671" s="73"/>
      <c r="E1671" s="145">
        <v>14491.88</v>
      </c>
    </row>
    <row r="1672" spans="2:5" ht="16.5" x14ac:dyDescent="0.3">
      <c r="B1672" s="236">
        <v>43214</v>
      </c>
      <c r="C1672" s="73"/>
      <c r="D1672" s="73"/>
      <c r="E1672" s="145">
        <v>14551.96</v>
      </c>
    </row>
    <row r="1673" spans="2:5" ht="16.5" x14ac:dyDescent="0.3">
      <c r="B1673" s="236">
        <v>43213</v>
      </c>
      <c r="C1673" s="73"/>
      <c r="D1673" s="73"/>
      <c r="E1673" s="145">
        <v>14511.28</v>
      </c>
    </row>
    <row r="1674" spans="2:5" ht="16.5" x14ac:dyDescent="0.3">
      <c r="B1674" s="236">
        <v>43210</v>
      </c>
      <c r="C1674" s="73"/>
      <c r="D1674" s="73"/>
      <c r="E1674" s="145">
        <v>14482.97</v>
      </c>
    </row>
    <row r="1675" spans="2:5" ht="16.5" x14ac:dyDescent="0.3">
      <c r="B1675" s="236">
        <v>43209</v>
      </c>
      <c r="C1675" s="73"/>
      <c r="D1675" s="73"/>
      <c r="E1675" s="145">
        <v>14484.7</v>
      </c>
    </row>
    <row r="1676" spans="2:5" ht="16.5" x14ac:dyDescent="0.3">
      <c r="B1676" s="236">
        <v>43208</v>
      </c>
      <c r="C1676" s="73"/>
      <c r="D1676" s="73"/>
      <c r="E1676" s="145">
        <v>14431.07</v>
      </c>
    </row>
    <row r="1677" spans="2:5" ht="16.5" x14ac:dyDescent="0.3">
      <c r="B1677" s="236">
        <v>43207</v>
      </c>
      <c r="C1677" s="73"/>
      <c r="D1677" s="73"/>
      <c r="E1677" s="145">
        <v>14461.97</v>
      </c>
    </row>
    <row r="1678" spans="2:5" ht="16.5" x14ac:dyDescent="0.3">
      <c r="B1678" s="236">
        <v>43206</v>
      </c>
      <c r="C1678" s="73"/>
      <c r="D1678" s="73"/>
      <c r="E1678" s="145">
        <v>14434.05</v>
      </c>
    </row>
    <row r="1679" spans="2:5" ht="16.5" x14ac:dyDescent="0.3">
      <c r="B1679" s="236">
        <v>43203</v>
      </c>
      <c r="C1679" s="73"/>
      <c r="D1679" s="73"/>
      <c r="E1679" s="145">
        <v>14368.56</v>
      </c>
    </row>
    <row r="1680" spans="2:5" ht="16.5" x14ac:dyDescent="0.3">
      <c r="B1680" s="236">
        <v>43202</v>
      </c>
      <c r="C1680" s="73"/>
      <c r="D1680" s="73"/>
      <c r="E1680" s="145">
        <v>14338.46</v>
      </c>
    </row>
    <row r="1681" spans="2:5" ht="16.5" x14ac:dyDescent="0.3">
      <c r="B1681" s="236">
        <v>43201</v>
      </c>
      <c r="C1681" s="73"/>
      <c r="D1681" s="73"/>
      <c r="E1681" s="145">
        <v>14281.6</v>
      </c>
    </row>
    <row r="1682" spans="2:5" ht="16.5" x14ac:dyDescent="0.3">
      <c r="B1682" s="236">
        <v>43200</v>
      </c>
      <c r="C1682" s="73"/>
      <c r="D1682" s="73"/>
      <c r="E1682" s="145">
        <v>14261.15</v>
      </c>
    </row>
    <row r="1683" spans="2:5" ht="16.5" x14ac:dyDescent="0.3">
      <c r="B1683" s="236">
        <v>43199</v>
      </c>
      <c r="C1683" s="73"/>
      <c r="D1683" s="73"/>
      <c r="E1683" s="145">
        <v>14229.77</v>
      </c>
    </row>
    <row r="1684" spans="2:5" ht="16.5" x14ac:dyDescent="0.3">
      <c r="B1684" s="236">
        <v>43196</v>
      </c>
      <c r="C1684" s="73"/>
      <c r="D1684" s="73"/>
      <c r="E1684" s="145">
        <v>14164.28</v>
      </c>
    </row>
    <row r="1685" spans="2:5" ht="16.5" x14ac:dyDescent="0.3">
      <c r="B1685" s="236">
        <v>43195</v>
      </c>
      <c r="C1685" s="73"/>
      <c r="D1685" s="73"/>
      <c r="E1685" s="145">
        <v>14155.47</v>
      </c>
    </row>
    <row r="1686" spans="2:5" ht="16.5" x14ac:dyDescent="0.3">
      <c r="B1686" s="236">
        <v>43194</v>
      </c>
      <c r="C1686" s="73"/>
      <c r="D1686" s="73"/>
      <c r="E1686" s="145">
        <v>13885.72</v>
      </c>
    </row>
    <row r="1687" spans="2:5" ht="16.5" x14ac:dyDescent="0.3">
      <c r="B1687" s="236">
        <v>43193</v>
      </c>
      <c r="C1687" s="73"/>
      <c r="D1687" s="73"/>
      <c r="E1687" s="145">
        <v>14045.55</v>
      </c>
    </row>
    <row r="1688" spans="2:5" ht="16.5" x14ac:dyDescent="0.3">
      <c r="B1688" s="236">
        <v>43192</v>
      </c>
      <c r="C1688" s="73"/>
      <c r="D1688" s="73"/>
      <c r="E1688" s="145">
        <v>14000.07</v>
      </c>
    </row>
    <row r="1689" spans="2:5" ht="16.5" x14ac:dyDescent="0.3">
      <c r="B1689" s="236">
        <v>43187</v>
      </c>
      <c r="C1689" s="73"/>
      <c r="D1689" s="73"/>
      <c r="E1689" s="145">
        <v>13865.57</v>
      </c>
    </row>
    <row r="1690" spans="2:5" ht="16.5" x14ac:dyDescent="0.3">
      <c r="B1690" s="236">
        <v>43186</v>
      </c>
      <c r="C1690" s="73"/>
      <c r="D1690" s="73"/>
      <c r="E1690" s="145">
        <v>13962.15</v>
      </c>
    </row>
    <row r="1691" spans="2:5" ht="16.5" x14ac:dyDescent="0.3">
      <c r="B1691" s="236">
        <v>43185</v>
      </c>
      <c r="C1691" s="73"/>
      <c r="D1691" s="73"/>
      <c r="E1691" s="145">
        <v>13888.82</v>
      </c>
    </row>
    <row r="1692" spans="2:5" ht="16.5" x14ac:dyDescent="0.3">
      <c r="B1692" s="236">
        <v>43182</v>
      </c>
      <c r="C1692" s="73"/>
      <c r="D1692" s="73"/>
      <c r="E1692" s="145">
        <v>13706.99</v>
      </c>
    </row>
    <row r="1693" spans="2:5" ht="16.5" x14ac:dyDescent="0.3">
      <c r="B1693" s="236">
        <v>43181</v>
      </c>
      <c r="C1693" s="73"/>
      <c r="D1693" s="73"/>
      <c r="E1693" s="145">
        <v>13867.01</v>
      </c>
    </row>
    <row r="1694" spans="2:5" ht="16.5" x14ac:dyDescent="0.3">
      <c r="B1694" s="236">
        <v>43180</v>
      </c>
      <c r="C1694" s="73"/>
      <c r="D1694" s="73"/>
      <c r="E1694" s="145">
        <v>13920.51</v>
      </c>
    </row>
    <row r="1695" spans="2:5" ht="16.5" x14ac:dyDescent="0.3">
      <c r="B1695" s="236">
        <v>43179</v>
      </c>
      <c r="C1695" s="73"/>
      <c r="D1695" s="73"/>
      <c r="E1695" s="145">
        <v>13878.17</v>
      </c>
    </row>
    <row r="1696" spans="2:5" ht="16.5" x14ac:dyDescent="0.3">
      <c r="B1696" s="236">
        <v>43178</v>
      </c>
      <c r="C1696" s="73"/>
      <c r="D1696" s="73"/>
      <c r="E1696" s="145">
        <v>13822.99</v>
      </c>
    </row>
    <row r="1697" spans="2:5" ht="16.5" x14ac:dyDescent="0.3">
      <c r="B1697" s="236">
        <v>43175</v>
      </c>
      <c r="C1697" s="73"/>
      <c r="D1697" s="73"/>
      <c r="E1697" s="145">
        <v>13961.14</v>
      </c>
    </row>
    <row r="1698" spans="2:5" ht="16.5" x14ac:dyDescent="0.3">
      <c r="B1698" s="236">
        <v>43174</v>
      </c>
      <c r="C1698" s="73"/>
      <c r="D1698" s="73"/>
      <c r="E1698" s="145">
        <v>14179.36</v>
      </c>
    </row>
    <row r="1699" spans="2:5" ht="16.5" x14ac:dyDescent="0.3">
      <c r="B1699" s="236">
        <v>43173</v>
      </c>
      <c r="C1699" s="73"/>
      <c r="D1699" s="73"/>
      <c r="E1699" s="145">
        <v>14248.81</v>
      </c>
    </row>
    <row r="1700" spans="2:5" ht="16.5" x14ac:dyDescent="0.3">
      <c r="B1700" s="236">
        <v>43172</v>
      </c>
      <c r="C1700" s="73"/>
      <c r="D1700" s="73"/>
      <c r="E1700" s="145">
        <v>14270.64</v>
      </c>
    </row>
    <row r="1701" spans="2:5" ht="16.5" x14ac:dyDescent="0.3">
      <c r="B1701" s="236">
        <v>43171</v>
      </c>
      <c r="C1701" s="73"/>
      <c r="D1701" s="73"/>
      <c r="E1701" s="145">
        <v>14260.92</v>
      </c>
    </row>
    <row r="1702" spans="2:5" ht="16.5" x14ac:dyDescent="0.3">
      <c r="B1702" s="236">
        <v>43168</v>
      </c>
      <c r="C1702" s="73"/>
      <c r="D1702" s="73"/>
      <c r="E1702" s="145">
        <v>13994.68</v>
      </c>
    </row>
    <row r="1703" spans="2:5" ht="16.5" x14ac:dyDescent="0.3">
      <c r="B1703" s="236">
        <v>43167</v>
      </c>
      <c r="C1703" s="73"/>
      <c r="D1703" s="73"/>
      <c r="E1703" s="145">
        <v>14016.3</v>
      </c>
    </row>
    <row r="1704" spans="2:5" ht="16.5" x14ac:dyDescent="0.3">
      <c r="B1704" s="236">
        <v>43166</v>
      </c>
      <c r="C1704" s="73"/>
      <c r="D1704" s="73"/>
      <c r="E1704" s="145">
        <v>13895.27</v>
      </c>
    </row>
    <row r="1705" spans="2:5" ht="16.5" x14ac:dyDescent="0.3">
      <c r="B1705" s="236">
        <v>43165</v>
      </c>
      <c r="C1705" s="73"/>
      <c r="D1705" s="73"/>
      <c r="E1705" s="145">
        <v>14025.34</v>
      </c>
    </row>
    <row r="1706" spans="2:5" ht="16.5" x14ac:dyDescent="0.3">
      <c r="B1706" s="236">
        <v>43164</v>
      </c>
      <c r="C1706" s="73"/>
      <c r="D1706" s="73"/>
      <c r="E1706" s="145">
        <v>14175.32</v>
      </c>
    </row>
    <row r="1707" spans="2:5" ht="16.5" x14ac:dyDescent="0.3">
      <c r="B1707" s="236">
        <v>43160</v>
      </c>
      <c r="C1707" s="73"/>
      <c r="D1707" s="73"/>
      <c r="E1707" s="145">
        <v>14311.52</v>
      </c>
    </row>
    <row r="1708" spans="2:5" ht="16.5" x14ac:dyDescent="0.3">
      <c r="B1708" s="236">
        <v>43159</v>
      </c>
      <c r="C1708" s="73"/>
      <c r="D1708" s="73"/>
      <c r="E1708" s="145">
        <v>14358.71</v>
      </c>
    </row>
    <row r="1709" spans="2:5" ht="16.5" x14ac:dyDescent="0.3">
      <c r="B1709" s="236">
        <v>43158</v>
      </c>
      <c r="C1709" s="73"/>
      <c r="D1709" s="73"/>
      <c r="E1709" s="145">
        <v>14438.9</v>
      </c>
    </row>
    <row r="1710" spans="2:5" ht="16.5" x14ac:dyDescent="0.3">
      <c r="B1710" s="236">
        <v>43157</v>
      </c>
      <c r="C1710" s="73"/>
      <c r="D1710" s="73"/>
      <c r="E1710" s="145">
        <v>14477.62</v>
      </c>
    </row>
    <row r="1711" spans="2:5" ht="16.5" x14ac:dyDescent="0.3">
      <c r="B1711" s="236">
        <v>43154</v>
      </c>
      <c r="C1711" s="73"/>
      <c r="D1711" s="73"/>
      <c r="E1711" s="145">
        <v>14352.4</v>
      </c>
    </row>
    <row r="1712" spans="2:5" ht="16.5" x14ac:dyDescent="0.3">
      <c r="B1712" s="236">
        <v>43153</v>
      </c>
      <c r="C1712" s="73"/>
      <c r="D1712" s="73"/>
      <c r="E1712" s="145">
        <v>14204.17</v>
      </c>
    </row>
    <row r="1713" spans="2:5" ht="16.5" x14ac:dyDescent="0.3">
      <c r="B1713" s="236">
        <v>43152</v>
      </c>
      <c r="C1713" s="73"/>
      <c r="D1713" s="73"/>
      <c r="E1713" s="145">
        <v>14220.48</v>
      </c>
    </row>
    <row r="1714" spans="2:5" ht="16.5" x14ac:dyDescent="0.3">
      <c r="B1714" s="236">
        <v>43151</v>
      </c>
      <c r="C1714" s="73"/>
      <c r="D1714" s="73"/>
      <c r="E1714" s="145">
        <v>14169.77</v>
      </c>
    </row>
    <row r="1715" spans="2:5" ht="16.5" x14ac:dyDescent="0.3">
      <c r="B1715" s="236">
        <v>43150</v>
      </c>
      <c r="C1715" s="73"/>
      <c r="D1715" s="73"/>
      <c r="E1715" s="145">
        <v>14194.28</v>
      </c>
    </row>
    <row r="1716" spans="2:5" ht="16.5" x14ac:dyDescent="0.3">
      <c r="B1716" s="236">
        <v>43147</v>
      </c>
      <c r="C1716" s="73"/>
      <c r="D1716" s="73"/>
      <c r="E1716" s="145">
        <v>14295.41</v>
      </c>
    </row>
    <row r="1717" spans="2:5" ht="16.5" x14ac:dyDescent="0.3">
      <c r="B1717" s="236">
        <v>43146</v>
      </c>
      <c r="C1717" s="73"/>
      <c r="D1717" s="73"/>
      <c r="E1717" s="145">
        <v>14422.85</v>
      </c>
    </row>
    <row r="1718" spans="2:5" ht="16.5" x14ac:dyDescent="0.3">
      <c r="B1718" s="236">
        <v>43145</v>
      </c>
      <c r="C1718" s="73"/>
      <c r="D1718" s="73"/>
      <c r="E1718" s="145">
        <v>14359.35</v>
      </c>
    </row>
    <row r="1719" spans="2:5" ht="16.5" x14ac:dyDescent="0.3">
      <c r="B1719" s="236">
        <v>43143</v>
      </c>
      <c r="C1719" s="73"/>
      <c r="D1719" s="73"/>
      <c r="E1719" s="145">
        <v>14412.46</v>
      </c>
    </row>
    <row r="1720" spans="2:5" ht="16.5" x14ac:dyDescent="0.3">
      <c r="B1720" s="236">
        <v>43140</v>
      </c>
      <c r="C1720" s="73"/>
      <c r="D1720" s="73"/>
      <c r="E1720" s="145">
        <v>14296.5</v>
      </c>
    </row>
    <row r="1721" spans="2:5" ht="16.5" x14ac:dyDescent="0.3">
      <c r="B1721" s="236">
        <v>43139</v>
      </c>
      <c r="C1721" s="73"/>
      <c r="D1721" s="73"/>
      <c r="E1721" s="145">
        <v>14463.16</v>
      </c>
    </row>
    <row r="1722" spans="2:5" ht="16.5" x14ac:dyDescent="0.3">
      <c r="B1722" s="236">
        <v>43138</v>
      </c>
      <c r="C1722" s="73"/>
      <c r="D1722" s="73"/>
      <c r="E1722" s="145">
        <v>14317.57</v>
      </c>
    </row>
    <row r="1723" spans="2:5" ht="16.5" x14ac:dyDescent="0.3">
      <c r="B1723" s="236">
        <v>43137</v>
      </c>
      <c r="C1723" s="73"/>
      <c r="D1723" s="73"/>
      <c r="E1723" s="145">
        <v>14344.02</v>
      </c>
    </row>
    <row r="1724" spans="2:5" ht="16.5" x14ac:dyDescent="0.3">
      <c r="B1724" s="236">
        <v>43136</v>
      </c>
      <c r="C1724" s="73"/>
      <c r="D1724" s="73"/>
      <c r="E1724" s="145">
        <v>14574</v>
      </c>
    </row>
    <row r="1725" spans="2:5" ht="16.5" x14ac:dyDescent="0.3">
      <c r="B1725" s="236">
        <v>43133</v>
      </c>
      <c r="C1725" s="73"/>
      <c r="D1725" s="73"/>
      <c r="E1725" s="145">
        <v>14702.49</v>
      </c>
    </row>
    <row r="1726" spans="2:5" ht="16.5" x14ac:dyDescent="0.3">
      <c r="B1726" s="236">
        <v>43132</v>
      </c>
      <c r="C1726" s="73"/>
      <c r="D1726" s="73"/>
      <c r="E1726" s="145">
        <v>15052.72</v>
      </c>
    </row>
    <row r="1727" spans="2:5" ht="16.5" x14ac:dyDescent="0.3">
      <c r="B1727" s="236">
        <v>43131</v>
      </c>
      <c r="C1727" s="73"/>
      <c r="D1727" s="73"/>
      <c r="E1727" s="145">
        <v>15065.82</v>
      </c>
    </row>
    <row r="1728" spans="2:5" ht="16.5" x14ac:dyDescent="0.3">
      <c r="B1728" s="236">
        <v>43130</v>
      </c>
      <c r="C1728" s="73"/>
      <c r="D1728" s="73"/>
      <c r="E1728" s="145">
        <v>15095.42</v>
      </c>
    </row>
    <row r="1729" spans="2:5" ht="16.5" x14ac:dyDescent="0.3">
      <c r="B1729" s="236">
        <v>43129</v>
      </c>
      <c r="C1729" s="73"/>
      <c r="D1729" s="73"/>
      <c r="E1729" s="145">
        <v>15204.42</v>
      </c>
    </row>
    <row r="1730" spans="2:5" ht="16.5" x14ac:dyDescent="0.3">
      <c r="B1730" s="236">
        <v>43125</v>
      </c>
      <c r="C1730" s="73"/>
      <c r="D1730" s="73"/>
      <c r="E1730" s="145">
        <v>15121</v>
      </c>
    </row>
    <row r="1731" spans="2:5" ht="16.5" x14ac:dyDescent="0.3">
      <c r="B1731" s="236">
        <v>43124</v>
      </c>
      <c r="C1731" s="73"/>
      <c r="D1731" s="73"/>
      <c r="E1731" s="145">
        <v>15143.35</v>
      </c>
    </row>
    <row r="1732" spans="2:5" ht="16.5" x14ac:dyDescent="0.3">
      <c r="B1732" s="236">
        <v>43123</v>
      </c>
      <c r="C1732" s="73"/>
      <c r="D1732" s="73"/>
      <c r="E1732" s="145">
        <v>15140.24</v>
      </c>
    </row>
    <row r="1733" spans="2:5" ht="16.5" x14ac:dyDescent="0.3">
      <c r="B1733" s="236">
        <v>43122</v>
      </c>
      <c r="C1733" s="73"/>
      <c r="D1733" s="73"/>
      <c r="E1733" s="145">
        <v>14979.72</v>
      </c>
    </row>
    <row r="1734" spans="2:5" ht="16.5" x14ac:dyDescent="0.3">
      <c r="B1734" s="236">
        <v>43119</v>
      </c>
      <c r="C1734" s="73"/>
      <c r="D1734" s="73"/>
      <c r="E1734" s="145">
        <v>14880.8</v>
      </c>
    </row>
    <row r="1735" spans="2:5" ht="16.5" x14ac:dyDescent="0.3">
      <c r="B1735" s="236">
        <v>43118</v>
      </c>
      <c r="C1735" s="73"/>
      <c r="D1735" s="73"/>
      <c r="E1735" s="145">
        <v>14774.67</v>
      </c>
    </row>
    <row r="1736" spans="2:5" ht="16.5" x14ac:dyDescent="0.3">
      <c r="B1736" s="236">
        <v>43117</v>
      </c>
      <c r="C1736" s="73"/>
      <c r="D1736" s="73"/>
      <c r="E1736" s="145">
        <v>14734.07</v>
      </c>
    </row>
    <row r="1737" spans="2:5" ht="16.5" x14ac:dyDescent="0.3">
      <c r="B1737" s="236">
        <v>43116</v>
      </c>
      <c r="C1737" s="73"/>
      <c r="D1737" s="73"/>
      <c r="E1737" s="145">
        <v>14613.79</v>
      </c>
    </row>
    <row r="1738" spans="2:5" ht="16.5" x14ac:dyDescent="0.3">
      <c r="B1738" s="236">
        <v>43115</v>
      </c>
      <c r="C1738" s="73"/>
      <c r="D1738" s="73"/>
      <c r="E1738" s="145">
        <v>14669.9</v>
      </c>
    </row>
    <row r="1739" spans="2:5" ht="16.5" x14ac:dyDescent="0.3">
      <c r="B1739" s="236">
        <v>43112</v>
      </c>
      <c r="C1739" s="73"/>
      <c r="D1739" s="73"/>
      <c r="E1739" s="145">
        <v>14587.54</v>
      </c>
    </row>
    <row r="1740" spans="2:5" ht="16.5" x14ac:dyDescent="0.3">
      <c r="B1740" s="236">
        <v>43111</v>
      </c>
      <c r="C1740" s="73"/>
      <c r="D1740" s="73"/>
      <c r="E1740" s="145">
        <v>14546.49</v>
      </c>
    </row>
    <row r="1741" spans="2:5" ht="16.5" x14ac:dyDescent="0.3">
      <c r="B1741" s="236">
        <v>43110</v>
      </c>
      <c r="C1741" s="73"/>
      <c r="D1741" s="73"/>
      <c r="E1741" s="145">
        <v>14520.56</v>
      </c>
    </row>
    <row r="1742" spans="2:5" ht="16.5" x14ac:dyDescent="0.3">
      <c r="B1742" s="236">
        <v>43109</v>
      </c>
      <c r="C1742" s="73"/>
      <c r="D1742" s="73"/>
      <c r="E1742" s="145">
        <v>14527.15</v>
      </c>
    </row>
    <row r="1743" spans="2:5" ht="16.5" x14ac:dyDescent="0.3">
      <c r="B1743" s="236">
        <v>43108</v>
      </c>
      <c r="C1743" s="73"/>
      <c r="D1743" s="73"/>
      <c r="E1743" s="145">
        <v>14508.81</v>
      </c>
    </row>
    <row r="1744" spans="2:5" ht="16.5" x14ac:dyDescent="0.3">
      <c r="B1744" s="236">
        <v>43105</v>
      </c>
      <c r="C1744" s="73"/>
      <c r="D1744" s="73"/>
      <c r="E1744" s="145">
        <v>14420.42</v>
      </c>
    </row>
    <row r="1745" spans="2:5" ht="16.5" x14ac:dyDescent="0.3">
      <c r="B1745" s="236">
        <v>43104</v>
      </c>
      <c r="C1745" s="73"/>
      <c r="D1745" s="73"/>
      <c r="E1745" s="145">
        <v>14346.59</v>
      </c>
    </row>
    <row r="1746" spans="2:5" ht="16.5" x14ac:dyDescent="0.3">
      <c r="B1746" s="236">
        <v>43103</v>
      </c>
      <c r="C1746" s="73"/>
      <c r="D1746" s="73"/>
      <c r="E1746" s="145">
        <v>14262.48</v>
      </c>
    </row>
    <row r="1747" spans="2:5" ht="16.5" x14ac:dyDescent="0.3">
      <c r="B1747" s="236">
        <v>43102</v>
      </c>
      <c r="C1747" s="73"/>
      <c r="D1747" s="73"/>
      <c r="E1747" s="145">
        <v>14261.1</v>
      </c>
    </row>
    <row r="1748" spans="2:5" ht="16.5" x14ac:dyDescent="0.3">
      <c r="B1748" s="236">
        <v>43101</v>
      </c>
      <c r="C1748" s="73"/>
      <c r="D1748" s="73"/>
      <c r="E1748" s="145">
        <v>14252.02</v>
      </c>
    </row>
    <row r="1749" spans="2:5" ht="16.5" x14ac:dyDescent="0.3">
      <c r="B1749" s="236">
        <v>43098</v>
      </c>
      <c r="C1749" s="73"/>
      <c r="D1749" s="73"/>
      <c r="E1749" s="145">
        <v>14381.92</v>
      </c>
    </row>
    <row r="1750" spans="2:5" ht="16.5" x14ac:dyDescent="0.3">
      <c r="B1750" s="236">
        <v>43097</v>
      </c>
      <c r="C1750" s="73"/>
      <c r="D1750" s="73"/>
      <c r="E1750" s="145">
        <v>14309.85</v>
      </c>
    </row>
    <row r="1751" spans="2:5" ht="16.5" x14ac:dyDescent="0.3">
      <c r="B1751" s="236">
        <v>43096</v>
      </c>
      <c r="C1751" s="73"/>
      <c r="D1751" s="73"/>
      <c r="E1751" s="145">
        <v>14327.42</v>
      </c>
    </row>
    <row r="1752" spans="2:5" ht="16.5" x14ac:dyDescent="0.3">
      <c r="B1752" s="236">
        <v>43095</v>
      </c>
      <c r="C1752" s="73"/>
      <c r="D1752" s="73"/>
      <c r="E1752" s="145">
        <v>14383.04</v>
      </c>
    </row>
    <row r="1753" spans="2:5" ht="16.5" x14ac:dyDescent="0.3">
      <c r="B1753" s="236">
        <v>43091</v>
      </c>
      <c r="C1753" s="73"/>
      <c r="D1753" s="73"/>
      <c r="E1753" s="145">
        <v>14330.49</v>
      </c>
    </row>
    <row r="1754" spans="2:5" ht="16.5" x14ac:dyDescent="0.3">
      <c r="B1754" s="236">
        <v>43090</v>
      </c>
      <c r="C1754" s="73"/>
      <c r="D1754" s="73"/>
      <c r="E1754" s="145">
        <v>14258.49</v>
      </c>
    </row>
    <row r="1755" spans="2:5" ht="16.5" x14ac:dyDescent="0.3">
      <c r="B1755" s="236">
        <v>43089</v>
      </c>
      <c r="C1755" s="73"/>
      <c r="D1755" s="73"/>
      <c r="E1755" s="145">
        <v>14263.81</v>
      </c>
    </row>
    <row r="1756" spans="2:5" ht="16.5" x14ac:dyDescent="0.3">
      <c r="B1756" s="236">
        <v>43088</v>
      </c>
      <c r="C1756" s="73"/>
      <c r="D1756" s="73"/>
      <c r="E1756" s="145">
        <v>14289.76</v>
      </c>
    </row>
    <row r="1757" spans="2:5" ht="16.5" x14ac:dyDescent="0.3">
      <c r="B1757" s="236">
        <v>43087</v>
      </c>
      <c r="C1757" s="73"/>
      <c r="D1757" s="73"/>
      <c r="E1757" s="145">
        <v>14188.11</v>
      </c>
    </row>
    <row r="1758" spans="2:5" ht="16.5" x14ac:dyDescent="0.3">
      <c r="B1758" s="236">
        <v>43084</v>
      </c>
      <c r="C1758" s="73"/>
      <c r="D1758" s="73"/>
      <c r="E1758" s="145">
        <v>14112.3</v>
      </c>
    </row>
    <row r="1759" spans="2:5" ht="16.5" x14ac:dyDescent="0.3">
      <c r="B1759" s="236">
        <v>43083</v>
      </c>
      <c r="C1759" s="73"/>
      <c r="D1759" s="73"/>
      <c r="E1759" s="145">
        <v>14001.49</v>
      </c>
    </row>
    <row r="1760" spans="2:5" ht="16.5" x14ac:dyDescent="0.3">
      <c r="B1760" s="236">
        <v>43082</v>
      </c>
      <c r="C1760" s="73"/>
      <c r="D1760" s="73"/>
      <c r="E1760" s="145">
        <v>13920.69</v>
      </c>
    </row>
    <row r="1761" spans="2:5" ht="16.5" x14ac:dyDescent="0.3">
      <c r="B1761" s="236">
        <v>43081</v>
      </c>
      <c r="C1761" s="73"/>
      <c r="D1761" s="73"/>
      <c r="E1761" s="145">
        <v>13985.11</v>
      </c>
    </row>
    <row r="1762" spans="2:5" ht="16.5" x14ac:dyDescent="0.3">
      <c r="B1762" s="236">
        <v>43080</v>
      </c>
      <c r="C1762" s="73"/>
      <c r="D1762" s="73"/>
      <c r="E1762" s="145">
        <v>14097.29</v>
      </c>
    </row>
    <row r="1763" spans="2:5" ht="16.5" x14ac:dyDescent="0.3">
      <c r="B1763" s="236">
        <v>43077</v>
      </c>
      <c r="C1763" s="73"/>
      <c r="D1763" s="73"/>
      <c r="E1763" s="145">
        <v>14019.95</v>
      </c>
    </row>
    <row r="1764" spans="2:5" ht="16.5" x14ac:dyDescent="0.3">
      <c r="B1764" s="236">
        <v>43076</v>
      </c>
      <c r="C1764" s="73"/>
      <c r="D1764" s="73"/>
      <c r="E1764" s="145">
        <v>13884.82</v>
      </c>
    </row>
    <row r="1765" spans="2:5" ht="16.5" x14ac:dyDescent="0.3">
      <c r="B1765" s="236">
        <v>43075</v>
      </c>
      <c r="C1765" s="73"/>
      <c r="D1765" s="73"/>
      <c r="E1765" s="145">
        <v>13717.36</v>
      </c>
    </row>
    <row r="1766" spans="2:5" ht="16.5" x14ac:dyDescent="0.3">
      <c r="B1766" s="236">
        <v>43074</v>
      </c>
      <c r="C1766" s="73"/>
      <c r="D1766" s="73"/>
      <c r="E1766" s="145">
        <v>13818.67</v>
      </c>
    </row>
    <row r="1767" spans="2:5" ht="16.5" x14ac:dyDescent="0.3">
      <c r="B1767" s="236">
        <v>43073</v>
      </c>
      <c r="C1767" s="73"/>
      <c r="D1767" s="73"/>
      <c r="E1767" s="145">
        <v>13831.66</v>
      </c>
    </row>
    <row r="1768" spans="2:5" ht="16.5" x14ac:dyDescent="0.3">
      <c r="B1768" s="236">
        <v>43070</v>
      </c>
      <c r="C1768" s="73"/>
      <c r="D1768" s="73"/>
      <c r="E1768" s="145">
        <v>13823.52</v>
      </c>
    </row>
    <row r="1769" spans="2:5" ht="16.5" x14ac:dyDescent="0.3">
      <c r="B1769" s="236">
        <v>43069</v>
      </c>
      <c r="C1769" s="73"/>
      <c r="D1769" s="73"/>
      <c r="E1769" s="145">
        <v>13966.58</v>
      </c>
    </row>
    <row r="1770" spans="2:5" ht="16.5" x14ac:dyDescent="0.3">
      <c r="B1770" s="236">
        <v>43068</v>
      </c>
      <c r="C1770" s="73"/>
      <c r="D1770" s="73"/>
      <c r="E1770" s="145">
        <v>14150.6</v>
      </c>
    </row>
    <row r="1771" spans="2:5" ht="16.5" x14ac:dyDescent="0.3">
      <c r="B1771" s="236">
        <v>43067</v>
      </c>
      <c r="C1771" s="73"/>
      <c r="D1771" s="73"/>
      <c r="E1771" s="145">
        <v>14162.79</v>
      </c>
    </row>
    <row r="1772" spans="2:5" ht="16.5" x14ac:dyDescent="0.3">
      <c r="B1772" s="236">
        <v>43066</v>
      </c>
      <c r="C1772" s="73"/>
      <c r="D1772" s="73"/>
      <c r="E1772" s="145">
        <v>14202.82</v>
      </c>
    </row>
    <row r="1773" spans="2:5" ht="16.5" x14ac:dyDescent="0.3">
      <c r="B1773" s="236">
        <v>43063</v>
      </c>
      <c r="C1773" s="73"/>
      <c r="D1773" s="73"/>
      <c r="E1773" s="145">
        <v>14189.41</v>
      </c>
    </row>
    <row r="1774" spans="2:5" ht="16.5" x14ac:dyDescent="0.3">
      <c r="B1774" s="236">
        <v>43062</v>
      </c>
      <c r="C1774" s="73"/>
      <c r="D1774" s="73"/>
      <c r="E1774" s="145">
        <v>14133.47</v>
      </c>
    </row>
    <row r="1775" spans="2:5" ht="16.5" x14ac:dyDescent="0.3">
      <c r="B1775" s="236">
        <v>43061</v>
      </c>
      <c r="C1775" s="73"/>
      <c r="D1775" s="73"/>
      <c r="E1775" s="145">
        <v>14124.68</v>
      </c>
    </row>
    <row r="1776" spans="2:5" ht="16.5" x14ac:dyDescent="0.3">
      <c r="B1776" s="236">
        <v>43060</v>
      </c>
      <c r="C1776" s="73"/>
      <c r="D1776" s="73"/>
      <c r="E1776" s="145">
        <v>14103.64</v>
      </c>
    </row>
    <row r="1777" spans="2:5" ht="16.5" x14ac:dyDescent="0.3">
      <c r="B1777" s="236">
        <v>43059</v>
      </c>
      <c r="C1777" s="73"/>
      <c r="D1777" s="73"/>
      <c r="E1777" s="145">
        <v>14065.05</v>
      </c>
    </row>
    <row r="1778" spans="2:5" ht="16.5" x14ac:dyDescent="0.3">
      <c r="B1778" s="236">
        <v>43056</v>
      </c>
      <c r="C1778" s="73"/>
      <c r="D1778" s="73"/>
      <c r="E1778" s="145">
        <v>14044.32</v>
      </c>
    </row>
    <row r="1779" spans="2:5" ht="16.5" x14ac:dyDescent="0.3">
      <c r="B1779" s="236">
        <v>43055</v>
      </c>
      <c r="C1779" s="73"/>
      <c r="D1779" s="73"/>
      <c r="E1779" s="145">
        <v>13950.33</v>
      </c>
    </row>
    <row r="1780" spans="2:5" ht="16.5" x14ac:dyDescent="0.3">
      <c r="B1780" s="236">
        <v>43054</v>
      </c>
      <c r="C1780" s="73"/>
      <c r="D1780" s="73"/>
      <c r="E1780" s="145">
        <v>13818.25</v>
      </c>
    </row>
    <row r="1781" spans="2:5" ht="16.5" x14ac:dyDescent="0.3">
      <c r="B1781" s="236">
        <v>43053</v>
      </c>
      <c r="C1781" s="73"/>
      <c r="D1781" s="73"/>
      <c r="E1781" s="145">
        <v>13911.87</v>
      </c>
    </row>
    <row r="1782" spans="2:5" ht="16.5" x14ac:dyDescent="0.3">
      <c r="B1782" s="236">
        <v>43052</v>
      </c>
      <c r="C1782" s="73"/>
      <c r="D1782" s="73"/>
      <c r="E1782" s="145">
        <v>13964.26</v>
      </c>
    </row>
    <row r="1783" spans="2:5" ht="16.5" x14ac:dyDescent="0.3">
      <c r="B1783" s="236">
        <v>43049</v>
      </c>
      <c r="C1783" s="73"/>
      <c r="D1783" s="73"/>
      <c r="E1783" s="145">
        <v>14096.45</v>
      </c>
    </row>
    <row r="1784" spans="2:5" ht="16.5" x14ac:dyDescent="0.3">
      <c r="B1784" s="236">
        <v>43048</v>
      </c>
      <c r="C1784" s="73"/>
      <c r="D1784" s="73"/>
      <c r="E1784" s="145">
        <v>14078.98</v>
      </c>
    </row>
    <row r="1785" spans="2:5" ht="16.5" x14ac:dyDescent="0.3">
      <c r="B1785" s="236">
        <v>43047</v>
      </c>
      <c r="C1785" s="73"/>
      <c r="D1785" s="73"/>
      <c r="E1785" s="145">
        <v>14071.02</v>
      </c>
    </row>
    <row r="1786" spans="2:5" ht="16.5" x14ac:dyDescent="0.3">
      <c r="B1786" s="236">
        <v>43046</v>
      </c>
      <c r="C1786" s="73"/>
      <c r="D1786" s="73"/>
      <c r="E1786" s="145">
        <v>14135.23</v>
      </c>
    </row>
    <row r="1787" spans="2:5" ht="16.5" x14ac:dyDescent="0.3">
      <c r="B1787" s="236">
        <v>43045</v>
      </c>
      <c r="C1787" s="73"/>
      <c r="D1787" s="73"/>
      <c r="E1787" s="145">
        <v>14274.03</v>
      </c>
    </row>
    <row r="1788" spans="2:5" ht="16.5" x14ac:dyDescent="0.3">
      <c r="B1788" s="236">
        <v>43042</v>
      </c>
      <c r="C1788" s="73"/>
      <c r="D1788" s="73"/>
      <c r="E1788" s="145">
        <v>14274.97</v>
      </c>
    </row>
    <row r="1789" spans="2:5" ht="16.5" x14ac:dyDescent="0.3">
      <c r="B1789" s="236">
        <v>43041</v>
      </c>
      <c r="C1789" s="73"/>
      <c r="D1789" s="73"/>
      <c r="E1789" s="145">
        <v>14232.79</v>
      </c>
    </row>
    <row r="1790" spans="2:5" ht="16.5" x14ac:dyDescent="0.3">
      <c r="B1790" s="236">
        <v>43040</v>
      </c>
      <c r="C1790" s="73"/>
      <c r="D1790" s="73"/>
      <c r="E1790" s="145">
        <v>14255.58</v>
      </c>
    </row>
    <row r="1791" spans="2:5" ht="16.5" x14ac:dyDescent="0.3">
      <c r="B1791" s="236">
        <v>43039</v>
      </c>
      <c r="C1791" s="73"/>
      <c r="D1791" s="73"/>
      <c r="E1791" s="145">
        <v>14108.55</v>
      </c>
    </row>
    <row r="1792" spans="2:5" ht="16.5" x14ac:dyDescent="0.3">
      <c r="B1792" s="236">
        <v>43038</v>
      </c>
      <c r="C1792" s="73"/>
      <c r="D1792" s="73"/>
      <c r="E1792" s="145">
        <v>14137.62</v>
      </c>
    </row>
    <row r="1793" spans="2:5" ht="16.5" x14ac:dyDescent="0.3">
      <c r="B1793" s="236">
        <v>43035</v>
      </c>
      <c r="C1793" s="73"/>
      <c r="D1793" s="73"/>
      <c r="E1793" s="145">
        <v>14082.21</v>
      </c>
    </row>
    <row r="1794" spans="2:5" ht="16.5" x14ac:dyDescent="0.3">
      <c r="B1794" s="236">
        <v>43034</v>
      </c>
      <c r="C1794" s="73"/>
      <c r="D1794" s="73"/>
      <c r="E1794" s="145">
        <v>14110.5</v>
      </c>
    </row>
    <row r="1795" spans="2:5" ht="16.5" x14ac:dyDescent="0.3">
      <c r="B1795" s="236">
        <v>43033</v>
      </c>
      <c r="C1795" s="73"/>
      <c r="D1795" s="73"/>
      <c r="E1795" s="145">
        <v>14044.44</v>
      </c>
    </row>
    <row r="1796" spans="2:5" ht="16.5" x14ac:dyDescent="0.3">
      <c r="B1796" s="236">
        <v>43032</v>
      </c>
      <c r="C1796" s="73"/>
      <c r="D1796" s="73"/>
      <c r="E1796" s="145">
        <v>13923.61</v>
      </c>
    </row>
    <row r="1797" spans="2:5" ht="16.5" x14ac:dyDescent="0.3">
      <c r="B1797" s="236">
        <v>43031</v>
      </c>
      <c r="C1797" s="73"/>
      <c r="D1797" s="73"/>
      <c r="E1797" s="145">
        <v>13892.48</v>
      </c>
    </row>
    <row r="1798" spans="2:5" ht="16.5" x14ac:dyDescent="0.3">
      <c r="B1798" s="236">
        <v>43027</v>
      </c>
      <c r="C1798" s="73"/>
      <c r="D1798" s="73"/>
      <c r="E1798" s="145">
        <v>13840.24</v>
      </c>
    </row>
    <row r="1799" spans="2:5" ht="16.5" x14ac:dyDescent="0.3">
      <c r="B1799" s="236">
        <v>43026</v>
      </c>
      <c r="C1799" s="73"/>
      <c r="D1799" s="73"/>
      <c r="E1799" s="145">
        <v>13927.92</v>
      </c>
    </row>
    <row r="1800" spans="2:5" ht="16.5" x14ac:dyDescent="0.3">
      <c r="B1800" s="236">
        <v>43025</v>
      </c>
      <c r="C1800" s="73"/>
      <c r="D1800" s="73"/>
      <c r="E1800" s="145">
        <v>13960.09</v>
      </c>
    </row>
    <row r="1801" spans="2:5" ht="16.5" x14ac:dyDescent="0.3">
      <c r="B1801" s="236">
        <v>43024</v>
      </c>
      <c r="C1801" s="73"/>
      <c r="D1801" s="73"/>
      <c r="E1801" s="145">
        <v>13955.22</v>
      </c>
    </row>
    <row r="1802" spans="2:5" ht="16.5" x14ac:dyDescent="0.3">
      <c r="B1802" s="236">
        <v>43021</v>
      </c>
      <c r="C1802" s="73"/>
      <c r="D1802" s="73"/>
      <c r="E1802" s="145">
        <v>13868.7</v>
      </c>
    </row>
    <row r="1803" spans="2:5" ht="16.5" x14ac:dyDescent="0.3">
      <c r="B1803" s="236">
        <v>43020</v>
      </c>
      <c r="C1803" s="73"/>
      <c r="D1803" s="73"/>
      <c r="E1803" s="145">
        <v>13771.84</v>
      </c>
    </row>
    <row r="1804" spans="2:5" ht="16.5" x14ac:dyDescent="0.3">
      <c r="B1804" s="236">
        <v>43019</v>
      </c>
      <c r="C1804" s="73"/>
      <c r="D1804" s="73"/>
      <c r="E1804" s="145">
        <v>13619.62</v>
      </c>
    </row>
    <row r="1805" spans="2:5" ht="16.5" x14ac:dyDescent="0.3">
      <c r="B1805" s="236">
        <v>43018</v>
      </c>
      <c r="C1805" s="73"/>
      <c r="D1805" s="73"/>
      <c r="E1805" s="145">
        <v>13663.44</v>
      </c>
    </row>
    <row r="1806" spans="2:5" ht="16.5" x14ac:dyDescent="0.3">
      <c r="B1806" s="236">
        <v>43017</v>
      </c>
      <c r="C1806" s="73"/>
      <c r="D1806" s="73"/>
      <c r="E1806" s="145">
        <v>13625</v>
      </c>
    </row>
    <row r="1807" spans="2:5" ht="16.5" x14ac:dyDescent="0.3">
      <c r="B1807" s="236">
        <v>43014</v>
      </c>
      <c r="C1807" s="73"/>
      <c r="D1807" s="73"/>
      <c r="E1807" s="145">
        <v>13612.63</v>
      </c>
    </row>
    <row r="1808" spans="2:5" ht="16.5" x14ac:dyDescent="0.3">
      <c r="B1808" s="236">
        <v>43013</v>
      </c>
      <c r="C1808" s="73"/>
      <c r="D1808" s="73"/>
      <c r="E1808" s="145">
        <v>13488.48</v>
      </c>
    </row>
    <row r="1809" spans="2:5" ht="16.5" x14ac:dyDescent="0.3">
      <c r="B1809" s="236">
        <v>43012</v>
      </c>
      <c r="C1809" s="73"/>
      <c r="D1809" s="73"/>
      <c r="E1809" s="145">
        <v>13524.27</v>
      </c>
    </row>
    <row r="1810" spans="2:5" ht="16.5" x14ac:dyDescent="0.3">
      <c r="B1810" s="236">
        <v>43011</v>
      </c>
      <c r="C1810" s="73"/>
      <c r="D1810" s="73"/>
      <c r="E1810" s="145">
        <v>13448.66</v>
      </c>
    </row>
    <row r="1811" spans="2:5" ht="16.5" x14ac:dyDescent="0.3">
      <c r="B1811" s="236">
        <v>43007</v>
      </c>
      <c r="C1811" s="73"/>
      <c r="D1811" s="73"/>
      <c r="E1811" s="145">
        <v>13351.99</v>
      </c>
    </row>
    <row r="1812" spans="2:5" ht="16.5" x14ac:dyDescent="0.3">
      <c r="B1812" s="236">
        <v>43006</v>
      </c>
      <c r="C1812" s="73"/>
      <c r="D1812" s="73"/>
      <c r="E1812" s="145">
        <v>13325.16</v>
      </c>
    </row>
    <row r="1813" spans="2:5" ht="16.5" x14ac:dyDescent="0.3">
      <c r="B1813" s="236">
        <v>43005</v>
      </c>
      <c r="C1813" s="73"/>
      <c r="D1813" s="73"/>
      <c r="E1813" s="145">
        <v>13279.85</v>
      </c>
    </row>
    <row r="1814" spans="2:5" ht="16.5" x14ac:dyDescent="0.3">
      <c r="B1814" s="236">
        <v>43004</v>
      </c>
      <c r="C1814" s="73"/>
      <c r="D1814" s="73"/>
      <c r="E1814" s="145">
        <v>13465.07</v>
      </c>
    </row>
    <row r="1815" spans="2:5" ht="16.5" x14ac:dyDescent="0.3">
      <c r="B1815" s="236">
        <v>43003</v>
      </c>
      <c r="C1815" s="73"/>
      <c r="D1815" s="73"/>
      <c r="E1815" s="145">
        <v>13466.53</v>
      </c>
    </row>
    <row r="1816" spans="2:5" ht="16.5" x14ac:dyDescent="0.3">
      <c r="B1816" s="236">
        <v>43000</v>
      </c>
      <c r="C1816" s="73"/>
      <c r="D1816" s="73"/>
      <c r="E1816" s="145">
        <v>13591.79</v>
      </c>
    </row>
    <row r="1817" spans="2:5" ht="16.5" x14ac:dyDescent="0.3">
      <c r="B1817" s="236">
        <v>42999</v>
      </c>
      <c r="C1817" s="73"/>
      <c r="D1817" s="73"/>
      <c r="E1817" s="145">
        <v>13806.6</v>
      </c>
    </row>
    <row r="1818" spans="2:5" ht="16.5" x14ac:dyDescent="0.3">
      <c r="B1818" s="236">
        <v>42998</v>
      </c>
      <c r="C1818" s="73"/>
      <c r="D1818" s="73"/>
      <c r="E1818" s="145">
        <v>13832.04</v>
      </c>
    </row>
    <row r="1819" spans="2:5" ht="16.5" x14ac:dyDescent="0.3">
      <c r="B1819" s="236">
        <v>42997</v>
      </c>
      <c r="C1819" s="73"/>
      <c r="D1819" s="73"/>
      <c r="E1819" s="145">
        <v>13840.78</v>
      </c>
    </row>
    <row r="1820" spans="2:5" ht="16.5" x14ac:dyDescent="0.3">
      <c r="B1820" s="236">
        <v>42996</v>
      </c>
      <c r="C1820" s="73"/>
      <c r="D1820" s="73"/>
      <c r="E1820" s="145">
        <v>13848.34</v>
      </c>
    </row>
    <row r="1821" spans="2:5" ht="16.5" x14ac:dyDescent="0.3">
      <c r="B1821" s="236">
        <v>42993</v>
      </c>
      <c r="C1821" s="73"/>
      <c r="D1821" s="73"/>
      <c r="E1821" s="145">
        <v>13754.62</v>
      </c>
    </row>
    <row r="1822" spans="2:5" ht="16.5" x14ac:dyDescent="0.3">
      <c r="B1822" s="236">
        <v>42992</v>
      </c>
      <c r="C1822" s="73"/>
      <c r="D1822" s="73"/>
      <c r="E1822" s="145">
        <v>13756.28</v>
      </c>
    </row>
    <row r="1823" spans="2:5" ht="16.5" x14ac:dyDescent="0.3">
      <c r="B1823" s="236">
        <v>42991</v>
      </c>
      <c r="C1823" s="73"/>
      <c r="D1823" s="73"/>
      <c r="E1823" s="145">
        <v>13746.3</v>
      </c>
    </row>
    <row r="1824" spans="2:5" ht="16.5" x14ac:dyDescent="0.3">
      <c r="B1824" s="236">
        <v>42990</v>
      </c>
      <c r="C1824" s="73"/>
      <c r="D1824" s="73"/>
      <c r="E1824" s="145">
        <v>13765.03</v>
      </c>
    </row>
    <row r="1825" spans="2:5" ht="16.5" x14ac:dyDescent="0.3">
      <c r="B1825" s="236">
        <v>42989</v>
      </c>
      <c r="C1825" s="73"/>
      <c r="D1825" s="73"/>
      <c r="E1825" s="145">
        <v>13646.37</v>
      </c>
    </row>
    <row r="1826" spans="2:5" ht="16.5" x14ac:dyDescent="0.3">
      <c r="B1826" s="236">
        <v>42986</v>
      </c>
      <c r="C1826" s="73"/>
      <c r="D1826" s="73"/>
      <c r="E1826" s="145">
        <v>13546.57</v>
      </c>
    </row>
    <row r="1827" spans="2:5" ht="16.5" x14ac:dyDescent="0.3">
      <c r="B1827" s="236">
        <v>42985</v>
      </c>
      <c r="C1827" s="73"/>
      <c r="D1827" s="73"/>
      <c r="E1827" s="145">
        <v>13539.91</v>
      </c>
    </row>
    <row r="1828" spans="2:5" ht="16.5" x14ac:dyDescent="0.3">
      <c r="B1828" s="236">
        <v>42984</v>
      </c>
      <c r="C1828" s="73"/>
      <c r="D1828" s="73"/>
      <c r="E1828" s="145">
        <v>13519.3</v>
      </c>
    </row>
    <row r="1829" spans="2:5" ht="16.5" x14ac:dyDescent="0.3">
      <c r="B1829" s="236">
        <v>42983</v>
      </c>
      <c r="C1829" s="73"/>
      <c r="D1829" s="73"/>
      <c r="E1829" s="145">
        <v>13568.38</v>
      </c>
    </row>
    <row r="1830" spans="2:5" ht="16.5" x14ac:dyDescent="0.3">
      <c r="B1830" s="236">
        <v>42982</v>
      </c>
      <c r="C1830" s="73"/>
      <c r="D1830" s="73"/>
      <c r="E1830" s="145">
        <v>13514.16</v>
      </c>
    </row>
    <row r="1831" spans="2:5" ht="16.5" x14ac:dyDescent="0.3">
      <c r="B1831" s="236">
        <v>42979</v>
      </c>
      <c r="C1831" s="73"/>
      <c r="D1831" s="73"/>
      <c r="E1831" s="145">
        <v>13598.09</v>
      </c>
    </row>
    <row r="1832" spans="2:5" ht="16.5" x14ac:dyDescent="0.3">
      <c r="B1832" s="236">
        <v>42978</v>
      </c>
      <c r="C1832" s="73"/>
      <c r="D1832" s="73"/>
      <c r="E1832" s="145">
        <v>13521.03</v>
      </c>
    </row>
    <row r="1833" spans="2:5" ht="16.5" x14ac:dyDescent="0.3">
      <c r="B1833" s="236">
        <v>42977</v>
      </c>
      <c r="C1833" s="73"/>
      <c r="D1833" s="73"/>
      <c r="E1833" s="145">
        <v>13474.73</v>
      </c>
    </row>
    <row r="1834" spans="2:5" ht="16.5" x14ac:dyDescent="0.3">
      <c r="B1834" s="236">
        <v>42976</v>
      </c>
      <c r="C1834" s="73"/>
      <c r="D1834" s="73"/>
      <c r="E1834" s="145">
        <v>13354.29</v>
      </c>
    </row>
    <row r="1835" spans="2:5" ht="16.5" x14ac:dyDescent="0.3">
      <c r="B1835" s="236">
        <v>42975</v>
      </c>
      <c r="C1835" s="73"/>
      <c r="D1835" s="73"/>
      <c r="E1835" s="145">
        <v>13513.48</v>
      </c>
    </row>
    <row r="1836" spans="2:5" ht="16.5" x14ac:dyDescent="0.3">
      <c r="B1836" s="236">
        <v>42971</v>
      </c>
      <c r="C1836" s="73"/>
      <c r="D1836" s="73"/>
      <c r="E1836" s="145">
        <v>13437.45</v>
      </c>
    </row>
    <row r="1837" spans="2:5" ht="16.5" x14ac:dyDescent="0.3">
      <c r="B1837" s="236">
        <v>42970</v>
      </c>
      <c r="C1837" s="73"/>
      <c r="D1837" s="73"/>
      <c r="E1837" s="145">
        <v>13427.67</v>
      </c>
    </row>
    <row r="1838" spans="2:5" ht="16.5" x14ac:dyDescent="0.3">
      <c r="B1838" s="236">
        <v>42969</v>
      </c>
      <c r="C1838" s="73"/>
      <c r="D1838" s="73"/>
      <c r="E1838" s="145">
        <v>13309.14</v>
      </c>
    </row>
    <row r="1839" spans="2:5" ht="16.5" x14ac:dyDescent="0.3">
      <c r="B1839" s="236">
        <v>42968</v>
      </c>
      <c r="C1839" s="73"/>
      <c r="D1839" s="73"/>
      <c r="E1839" s="145">
        <v>13293.88</v>
      </c>
    </row>
    <row r="1840" spans="2:5" ht="16.5" x14ac:dyDescent="0.3">
      <c r="B1840" s="236">
        <v>42965</v>
      </c>
      <c r="C1840" s="73"/>
      <c r="D1840" s="73"/>
      <c r="E1840" s="145">
        <v>13407.07</v>
      </c>
    </row>
    <row r="1841" spans="2:5" ht="16.5" x14ac:dyDescent="0.3">
      <c r="B1841" s="236">
        <v>42964</v>
      </c>
      <c r="C1841" s="73"/>
      <c r="D1841" s="73"/>
      <c r="E1841" s="145">
        <v>13497.69</v>
      </c>
    </row>
    <row r="1842" spans="2:5" ht="16.5" x14ac:dyDescent="0.3">
      <c r="B1842" s="236">
        <v>42963</v>
      </c>
      <c r="C1842" s="73"/>
      <c r="D1842" s="73"/>
      <c r="E1842" s="145">
        <v>13488.33</v>
      </c>
    </row>
    <row r="1843" spans="2:5" ht="16.5" x14ac:dyDescent="0.3">
      <c r="B1843" s="236">
        <v>42961</v>
      </c>
      <c r="C1843" s="73"/>
      <c r="D1843" s="73"/>
      <c r="E1843" s="145">
        <v>13347.75</v>
      </c>
    </row>
    <row r="1844" spans="2:5" ht="16.5" x14ac:dyDescent="0.3">
      <c r="B1844" s="236">
        <v>42958</v>
      </c>
      <c r="C1844" s="73"/>
      <c r="D1844" s="73"/>
      <c r="E1844" s="145">
        <v>13234.2</v>
      </c>
    </row>
    <row r="1845" spans="2:5" ht="16.5" x14ac:dyDescent="0.3">
      <c r="B1845" s="236">
        <v>42957</v>
      </c>
      <c r="C1845" s="73"/>
      <c r="D1845" s="73"/>
      <c r="E1845" s="145">
        <v>13377.05</v>
      </c>
    </row>
    <row r="1846" spans="2:5" ht="16.5" x14ac:dyDescent="0.3">
      <c r="B1846" s="236">
        <v>42956</v>
      </c>
      <c r="C1846" s="73"/>
      <c r="D1846" s="73"/>
      <c r="E1846" s="145">
        <v>13495.81</v>
      </c>
    </row>
    <row r="1847" spans="2:5" ht="16.5" x14ac:dyDescent="0.3">
      <c r="B1847" s="236">
        <v>42955</v>
      </c>
      <c r="C1847" s="73"/>
      <c r="D1847" s="73"/>
      <c r="E1847" s="145">
        <v>13591.81</v>
      </c>
    </row>
    <row r="1848" spans="2:5" ht="16.5" x14ac:dyDescent="0.3">
      <c r="B1848" s="236">
        <v>42954</v>
      </c>
      <c r="C1848" s="73"/>
      <c r="D1848" s="73"/>
      <c r="E1848" s="145">
        <v>13699.21</v>
      </c>
    </row>
    <row r="1849" spans="2:5" ht="16.5" x14ac:dyDescent="0.3">
      <c r="B1849" s="236">
        <v>42951</v>
      </c>
      <c r="C1849" s="73"/>
      <c r="D1849" s="73"/>
      <c r="E1849" s="145">
        <v>13711.47</v>
      </c>
    </row>
    <row r="1850" spans="2:5" ht="16.5" x14ac:dyDescent="0.3">
      <c r="B1850" s="236">
        <v>42950</v>
      </c>
      <c r="C1850" s="73"/>
      <c r="D1850" s="73"/>
      <c r="E1850" s="145">
        <v>13639.66</v>
      </c>
    </row>
    <row r="1851" spans="2:5" ht="16.5" x14ac:dyDescent="0.3">
      <c r="B1851" s="236">
        <v>42949</v>
      </c>
      <c r="C1851" s="73"/>
      <c r="D1851" s="73"/>
      <c r="E1851" s="145">
        <v>13731.63</v>
      </c>
    </row>
    <row r="1852" spans="2:5" ht="16.5" x14ac:dyDescent="0.3">
      <c r="B1852" s="236">
        <v>42948</v>
      </c>
      <c r="C1852" s="73"/>
      <c r="D1852" s="73"/>
      <c r="E1852" s="145">
        <v>13775.33</v>
      </c>
    </row>
    <row r="1853" spans="2:5" ht="16.5" x14ac:dyDescent="0.3">
      <c r="B1853" s="236">
        <v>42947</v>
      </c>
      <c r="C1853" s="73"/>
      <c r="D1853" s="73"/>
      <c r="E1853" s="145">
        <v>13724.19</v>
      </c>
    </row>
    <row r="1854" spans="2:5" ht="16.5" x14ac:dyDescent="0.3">
      <c r="B1854" s="236">
        <v>42944</v>
      </c>
      <c r="C1854" s="73"/>
      <c r="D1854" s="73"/>
      <c r="E1854" s="145">
        <v>13638.1</v>
      </c>
    </row>
    <row r="1855" spans="2:5" ht="16.5" x14ac:dyDescent="0.3">
      <c r="B1855" s="236">
        <v>42943</v>
      </c>
      <c r="C1855" s="73"/>
      <c r="D1855" s="73"/>
      <c r="E1855" s="145">
        <v>13646.34</v>
      </c>
    </row>
    <row r="1856" spans="2:5" ht="16.5" x14ac:dyDescent="0.3">
      <c r="B1856" s="236">
        <v>42942</v>
      </c>
      <c r="C1856" s="73"/>
      <c r="D1856" s="73"/>
      <c r="E1856" s="145">
        <v>13644.46</v>
      </c>
    </row>
    <row r="1857" spans="2:5" ht="16.5" x14ac:dyDescent="0.3">
      <c r="B1857" s="236">
        <v>42941</v>
      </c>
      <c r="C1857" s="73"/>
      <c r="D1857" s="73"/>
      <c r="E1857" s="145">
        <v>13567.66</v>
      </c>
    </row>
    <row r="1858" spans="2:5" ht="16.5" x14ac:dyDescent="0.3">
      <c r="B1858" s="236">
        <v>42940</v>
      </c>
      <c r="C1858" s="73"/>
      <c r="D1858" s="73"/>
      <c r="E1858" s="145">
        <v>13569.88</v>
      </c>
    </row>
    <row r="1859" spans="2:5" ht="16.5" x14ac:dyDescent="0.3">
      <c r="B1859" s="236">
        <v>42937</v>
      </c>
      <c r="C1859" s="73"/>
      <c r="D1859" s="73"/>
      <c r="E1859" s="145">
        <v>13498.25</v>
      </c>
    </row>
    <row r="1860" spans="2:5" ht="16.5" x14ac:dyDescent="0.3">
      <c r="B1860" s="236">
        <v>42936</v>
      </c>
      <c r="C1860" s="73"/>
      <c r="D1860" s="73"/>
      <c r="E1860" s="145">
        <v>13441.11</v>
      </c>
    </row>
    <row r="1861" spans="2:5" ht="16.5" x14ac:dyDescent="0.3">
      <c r="B1861" s="236">
        <v>42935</v>
      </c>
      <c r="C1861" s="73"/>
      <c r="D1861" s="73"/>
      <c r="E1861" s="145">
        <v>13473.52</v>
      </c>
    </row>
    <row r="1862" spans="2:5" ht="16.5" x14ac:dyDescent="0.3">
      <c r="B1862" s="236">
        <v>42934</v>
      </c>
      <c r="C1862" s="73"/>
      <c r="D1862" s="73"/>
      <c r="E1862" s="145">
        <v>13374.92</v>
      </c>
    </row>
    <row r="1863" spans="2:5" ht="16.5" x14ac:dyDescent="0.3">
      <c r="B1863" s="236">
        <v>42933</v>
      </c>
      <c r="C1863" s="73"/>
      <c r="D1863" s="73"/>
      <c r="E1863" s="145">
        <v>13494.64</v>
      </c>
    </row>
    <row r="1864" spans="2:5" ht="16.5" x14ac:dyDescent="0.3">
      <c r="B1864" s="236">
        <v>42930</v>
      </c>
      <c r="C1864" s="73"/>
      <c r="D1864" s="73"/>
      <c r="E1864" s="145">
        <v>13453.49</v>
      </c>
    </row>
    <row r="1865" spans="2:5" ht="16.5" x14ac:dyDescent="0.3">
      <c r="B1865" s="236">
        <v>42929</v>
      </c>
      <c r="C1865" s="73"/>
      <c r="D1865" s="73"/>
      <c r="E1865" s="145">
        <v>13452.22</v>
      </c>
    </row>
    <row r="1866" spans="2:5" ht="16.5" x14ac:dyDescent="0.3">
      <c r="B1866" s="236">
        <v>42928</v>
      </c>
      <c r="C1866" s="73"/>
      <c r="D1866" s="73"/>
      <c r="E1866" s="145">
        <v>13340.24</v>
      </c>
    </row>
    <row r="1867" spans="2:5" ht="16.5" x14ac:dyDescent="0.3">
      <c r="B1867" s="236">
        <v>42927</v>
      </c>
      <c r="C1867" s="73"/>
      <c r="D1867" s="73"/>
      <c r="E1867" s="145">
        <v>13299.17</v>
      </c>
    </row>
    <row r="1868" spans="2:5" ht="16.5" x14ac:dyDescent="0.3">
      <c r="B1868" s="236">
        <v>42926</v>
      </c>
      <c r="C1868" s="73"/>
      <c r="D1868" s="73"/>
      <c r="E1868" s="145">
        <v>13278.81</v>
      </c>
    </row>
    <row r="1869" spans="2:5" ht="16.5" x14ac:dyDescent="0.3">
      <c r="B1869" s="236">
        <v>42923</v>
      </c>
      <c r="C1869" s="73"/>
      <c r="D1869" s="73"/>
      <c r="E1869" s="145">
        <v>13135.35</v>
      </c>
    </row>
    <row r="1870" spans="2:5" ht="16.5" x14ac:dyDescent="0.3">
      <c r="B1870" s="236">
        <v>42922</v>
      </c>
      <c r="C1870" s="73"/>
      <c r="D1870" s="73"/>
      <c r="E1870" s="145">
        <v>13147.27</v>
      </c>
    </row>
    <row r="1871" spans="2:5" ht="16.5" x14ac:dyDescent="0.3">
      <c r="B1871" s="236">
        <v>42921</v>
      </c>
      <c r="C1871" s="73"/>
      <c r="D1871" s="73"/>
      <c r="E1871" s="145">
        <v>13091.36</v>
      </c>
    </row>
    <row r="1872" spans="2:5" ht="16.5" x14ac:dyDescent="0.3">
      <c r="B1872" s="236">
        <v>42920</v>
      </c>
      <c r="C1872" s="73"/>
      <c r="D1872" s="73"/>
      <c r="E1872" s="145">
        <v>13057.86</v>
      </c>
    </row>
    <row r="1873" spans="2:5" ht="16.5" x14ac:dyDescent="0.3">
      <c r="B1873" s="236">
        <v>42919</v>
      </c>
      <c r="C1873" s="73"/>
      <c r="D1873" s="73"/>
      <c r="E1873" s="145">
        <v>13060.15</v>
      </c>
    </row>
    <row r="1874" spans="2:5" ht="16.5" x14ac:dyDescent="0.3">
      <c r="B1874" s="236">
        <v>42916</v>
      </c>
      <c r="C1874" s="73"/>
      <c r="D1874" s="73"/>
      <c r="E1874" s="145">
        <v>12932.33</v>
      </c>
    </row>
    <row r="1875" spans="2:5" ht="16.5" x14ac:dyDescent="0.3">
      <c r="B1875" s="236">
        <v>42915</v>
      </c>
      <c r="C1875" s="73"/>
      <c r="D1875" s="73"/>
      <c r="E1875" s="145">
        <v>12908.13</v>
      </c>
    </row>
    <row r="1876" spans="2:5" ht="16.5" x14ac:dyDescent="0.3">
      <c r="B1876" s="236">
        <v>42914</v>
      </c>
      <c r="C1876" s="73"/>
      <c r="D1876" s="73"/>
      <c r="E1876" s="145">
        <v>12882.7</v>
      </c>
    </row>
    <row r="1877" spans="2:5" ht="16.5" x14ac:dyDescent="0.3">
      <c r="B1877" s="236">
        <v>42913</v>
      </c>
      <c r="C1877" s="73"/>
      <c r="D1877" s="73"/>
      <c r="E1877" s="145">
        <v>12910.01</v>
      </c>
    </row>
    <row r="1878" spans="2:5" ht="16.5" x14ac:dyDescent="0.3">
      <c r="B1878" s="236">
        <v>42909</v>
      </c>
      <c r="C1878" s="73"/>
      <c r="D1878" s="73"/>
      <c r="E1878" s="145">
        <v>12996.3</v>
      </c>
    </row>
    <row r="1879" spans="2:5" ht="16.5" x14ac:dyDescent="0.3">
      <c r="B1879" s="236">
        <v>42908</v>
      </c>
      <c r="C1879" s="73"/>
      <c r="D1879" s="73"/>
      <c r="E1879" s="145">
        <v>13070.98</v>
      </c>
    </row>
    <row r="1880" spans="2:5" ht="16.5" x14ac:dyDescent="0.3">
      <c r="B1880" s="236">
        <v>42907</v>
      </c>
      <c r="C1880" s="73"/>
      <c r="D1880" s="73"/>
      <c r="E1880" s="145">
        <v>13072.91</v>
      </c>
    </row>
    <row r="1881" spans="2:5" ht="16.5" x14ac:dyDescent="0.3">
      <c r="B1881" s="236">
        <v>42906</v>
      </c>
      <c r="C1881" s="73"/>
      <c r="D1881" s="73"/>
      <c r="E1881" s="145">
        <v>13099.92</v>
      </c>
    </row>
    <row r="1882" spans="2:5" ht="16.5" x14ac:dyDescent="0.3">
      <c r="B1882" s="236">
        <v>42905</v>
      </c>
      <c r="C1882" s="73"/>
      <c r="D1882" s="73"/>
      <c r="E1882" s="145">
        <v>13100.15</v>
      </c>
    </row>
    <row r="1883" spans="2:5" ht="16.5" x14ac:dyDescent="0.3">
      <c r="B1883" s="236">
        <v>42902</v>
      </c>
      <c r="C1883" s="73"/>
      <c r="D1883" s="73"/>
      <c r="E1883" s="145">
        <v>13005.86</v>
      </c>
    </row>
    <row r="1884" spans="2:5" ht="16.5" x14ac:dyDescent="0.3">
      <c r="B1884" s="236">
        <v>42901</v>
      </c>
      <c r="C1884" s="73"/>
      <c r="D1884" s="73"/>
      <c r="E1884" s="145">
        <v>12992.34</v>
      </c>
    </row>
    <row r="1885" spans="2:5" ht="16.5" x14ac:dyDescent="0.3">
      <c r="B1885" s="236">
        <v>42900</v>
      </c>
      <c r="C1885" s="73"/>
      <c r="D1885" s="73"/>
      <c r="E1885" s="145">
        <v>13045.44</v>
      </c>
    </row>
    <row r="1886" spans="2:5" ht="16.5" x14ac:dyDescent="0.3">
      <c r="B1886" s="236">
        <v>42899</v>
      </c>
      <c r="C1886" s="73"/>
      <c r="D1886" s="73"/>
      <c r="E1886" s="145">
        <v>13030.22</v>
      </c>
    </row>
    <row r="1887" spans="2:5" ht="16.5" x14ac:dyDescent="0.3">
      <c r="B1887" s="236">
        <v>42898</v>
      </c>
      <c r="C1887" s="73"/>
      <c r="D1887" s="73"/>
      <c r="E1887" s="145">
        <v>13037.83</v>
      </c>
    </row>
    <row r="1888" spans="2:5" ht="16.5" x14ac:dyDescent="0.3">
      <c r="B1888" s="236">
        <v>42895</v>
      </c>
      <c r="C1888" s="73"/>
      <c r="D1888" s="73"/>
      <c r="E1888" s="145">
        <v>13108.12</v>
      </c>
    </row>
    <row r="1889" spans="2:5" ht="16.5" x14ac:dyDescent="0.3">
      <c r="B1889" s="236">
        <v>42894</v>
      </c>
      <c r="C1889" s="73"/>
      <c r="D1889" s="73"/>
      <c r="E1889" s="145">
        <v>13079.63</v>
      </c>
    </row>
    <row r="1890" spans="2:5" ht="16.5" x14ac:dyDescent="0.3">
      <c r="B1890" s="236">
        <v>42893</v>
      </c>
      <c r="C1890" s="73"/>
      <c r="D1890" s="73"/>
      <c r="E1890" s="145">
        <v>13101.62</v>
      </c>
    </row>
    <row r="1891" spans="2:5" ht="16.5" x14ac:dyDescent="0.3">
      <c r="B1891" s="236">
        <v>42892</v>
      </c>
      <c r="C1891" s="73"/>
      <c r="D1891" s="73"/>
      <c r="E1891" s="145">
        <v>13065.33</v>
      </c>
    </row>
    <row r="1892" spans="2:5" ht="16.5" x14ac:dyDescent="0.3">
      <c r="B1892" s="236">
        <v>42891</v>
      </c>
      <c r="C1892" s="73"/>
      <c r="D1892" s="73"/>
      <c r="E1892" s="145">
        <v>13116.78</v>
      </c>
    </row>
    <row r="1893" spans="2:5" ht="16.5" x14ac:dyDescent="0.3">
      <c r="B1893" s="236">
        <v>42888</v>
      </c>
      <c r="C1893" s="73"/>
      <c r="D1893" s="73"/>
      <c r="E1893" s="145">
        <v>13072.98</v>
      </c>
    </row>
    <row r="1894" spans="2:5" ht="16.5" x14ac:dyDescent="0.3">
      <c r="B1894" s="236">
        <v>42887</v>
      </c>
      <c r="C1894" s="73"/>
      <c r="D1894" s="73"/>
      <c r="E1894" s="145">
        <v>13022.35</v>
      </c>
    </row>
    <row r="1895" spans="2:5" ht="16.5" x14ac:dyDescent="0.3">
      <c r="B1895" s="236">
        <v>42886</v>
      </c>
      <c r="C1895" s="73"/>
      <c r="D1895" s="73"/>
      <c r="E1895" s="145">
        <v>13018.69</v>
      </c>
    </row>
    <row r="1896" spans="2:5" ht="16.5" x14ac:dyDescent="0.3">
      <c r="B1896" s="236">
        <v>42885</v>
      </c>
      <c r="C1896" s="73"/>
      <c r="D1896" s="73"/>
      <c r="E1896" s="145">
        <v>13023.19</v>
      </c>
    </row>
    <row r="1897" spans="2:5" ht="16.5" x14ac:dyDescent="0.3">
      <c r="B1897" s="236">
        <v>42884</v>
      </c>
      <c r="C1897" s="73"/>
      <c r="D1897" s="73"/>
      <c r="E1897" s="145">
        <v>12996.61</v>
      </c>
    </row>
    <row r="1898" spans="2:5" ht="16.5" x14ac:dyDescent="0.3">
      <c r="B1898" s="236">
        <v>42881</v>
      </c>
      <c r="C1898" s="73"/>
      <c r="D1898" s="73"/>
      <c r="E1898" s="145">
        <v>12981.79</v>
      </c>
    </row>
    <row r="1899" spans="2:5" ht="16.5" x14ac:dyDescent="0.3">
      <c r="B1899" s="236">
        <v>42880</v>
      </c>
      <c r="C1899" s="73"/>
      <c r="D1899" s="73"/>
      <c r="E1899" s="145">
        <v>12863.38</v>
      </c>
    </row>
    <row r="1900" spans="2:5" ht="16.5" x14ac:dyDescent="0.3">
      <c r="B1900" s="236">
        <v>42879</v>
      </c>
      <c r="C1900" s="73"/>
      <c r="D1900" s="73"/>
      <c r="E1900" s="145">
        <v>12661.62</v>
      </c>
    </row>
    <row r="1901" spans="2:5" ht="16.5" x14ac:dyDescent="0.3">
      <c r="B1901" s="236">
        <v>42878</v>
      </c>
      <c r="C1901" s="73"/>
      <c r="D1901" s="73"/>
      <c r="E1901" s="145">
        <v>12695.02</v>
      </c>
    </row>
    <row r="1902" spans="2:5" ht="16.5" x14ac:dyDescent="0.3">
      <c r="B1902" s="236">
        <v>42877</v>
      </c>
      <c r="C1902" s="73"/>
      <c r="D1902" s="73"/>
      <c r="E1902" s="145">
        <v>12765.48</v>
      </c>
    </row>
    <row r="1903" spans="2:5" ht="16.5" x14ac:dyDescent="0.3">
      <c r="B1903" s="236">
        <v>42874</v>
      </c>
      <c r="C1903" s="73"/>
      <c r="D1903" s="73"/>
      <c r="E1903" s="145">
        <v>12751.43</v>
      </c>
    </row>
    <row r="1904" spans="2:5" ht="16.5" x14ac:dyDescent="0.3">
      <c r="B1904" s="236">
        <v>42873</v>
      </c>
      <c r="C1904" s="73"/>
      <c r="D1904" s="73"/>
      <c r="E1904" s="145">
        <v>12753.55</v>
      </c>
    </row>
    <row r="1905" spans="2:5" ht="16.5" x14ac:dyDescent="0.3">
      <c r="B1905" s="236">
        <v>42872</v>
      </c>
      <c r="C1905" s="73"/>
      <c r="D1905" s="73"/>
      <c r="E1905" s="145">
        <v>12883.83</v>
      </c>
    </row>
    <row r="1906" spans="2:5" ht="16.5" x14ac:dyDescent="0.3">
      <c r="B1906" s="236">
        <v>42871</v>
      </c>
      <c r="C1906" s="73"/>
      <c r="D1906" s="73"/>
      <c r="E1906" s="145">
        <v>12865.56</v>
      </c>
    </row>
    <row r="1907" spans="2:5" ht="16.5" x14ac:dyDescent="0.3">
      <c r="B1907" s="236">
        <v>42870</v>
      </c>
      <c r="C1907" s="73"/>
      <c r="D1907" s="73"/>
      <c r="E1907" s="145">
        <v>12775.11</v>
      </c>
    </row>
    <row r="1908" spans="2:5" ht="16.5" x14ac:dyDescent="0.3">
      <c r="B1908" s="236">
        <v>42867</v>
      </c>
      <c r="C1908" s="73"/>
      <c r="D1908" s="73"/>
      <c r="E1908" s="145">
        <v>12714.97</v>
      </c>
    </row>
    <row r="1909" spans="2:5" ht="16.5" x14ac:dyDescent="0.3">
      <c r="B1909" s="236">
        <v>42866</v>
      </c>
      <c r="C1909" s="73"/>
      <c r="D1909" s="73"/>
      <c r="E1909" s="145">
        <v>12743.99</v>
      </c>
    </row>
    <row r="1910" spans="2:5" ht="16.5" x14ac:dyDescent="0.3">
      <c r="B1910" s="236">
        <v>42865</v>
      </c>
      <c r="C1910" s="73"/>
      <c r="D1910" s="73"/>
      <c r="E1910" s="145">
        <v>12723.6</v>
      </c>
    </row>
    <row r="1911" spans="2:5" ht="16.5" x14ac:dyDescent="0.3">
      <c r="B1911" s="236">
        <v>42864</v>
      </c>
      <c r="C1911" s="73"/>
      <c r="D1911" s="73"/>
      <c r="E1911" s="145">
        <v>12601.23</v>
      </c>
    </row>
    <row r="1912" spans="2:5" ht="16.5" x14ac:dyDescent="0.3">
      <c r="B1912" s="236">
        <v>42863</v>
      </c>
      <c r="C1912" s="73"/>
      <c r="D1912" s="73"/>
      <c r="E1912" s="145">
        <v>12597.5</v>
      </c>
    </row>
    <row r="1913" spans="2:5" ht="16.5" x14ac:dyDescent="0.3">
      <c r="B1913" s="236">
        <v>42860</v>
      </c>
      <c r="C1913" s="73"/>
      <c r="D1913" s="73"/>
      <c r="E1913" s="145">
        <v>12558.6</v>
      </c>
    </row>
    <row r="1914" spans="2:5" ht="16.5" x14ac:dyDescent="0.3">
      <c r="B1914" s="236">
        <v>42859</v>
      </c>
      <c r="C1914" s="73"/>
      <c r="D1914" s="73"/>
      <c r="E1914" s="145">
        <v>12659.51</v>
      </c>
    </row>
    <row r="1915" spans="2:5" ht="16.5" x14ac:dyDescent="0.3">
      <c r="B1915" s="236">
        <v>42858</v>
      </c>
      <c r="C1915" s="73"/>
      <c r="D1915" s="73"/>
      <c r="E1915" s="145">
        <v>12593.58</v>
      </c>
    </row>
    <row r="1916" spans="2:5" ht="16.5" x14ac:dyDescent="0.3">
      <c r="B1916" s="236">
        <v>42857</v>
      </c>
      <c r="C1916" s="73"/>
      <c r="D1916" s="73"/>
      <c r="E1916" s="145">
        <v>12596.08</v>
      </c>
    </row>
    <row r="1917" spans="2:5" ht="16.5" x14ac:dyDescent="0.3">
      <c r="B1917" s="236">
        <v>42853</v>
      </c>
      <c r="C1917" s="73"/>
      <c r="D1917" s="73"/>
      <c r="E1917" s="145">
        <v>12582.88</v>
      </c>
    </row>
    <row r="1918" spans="2:5" ht="16.5" x14ac:dyDescent="0.3">
      <c r="B1918" s="236">
        <v>42852</v>
      </c>
      <c r="C1918" s="73"/>
      <c r="D1918" s="73"/>
      <c r="E1918" s="145">
        <v>12634.41</v>
      </c>
    </row>
    <row r="1919" spans="2:5" ht="16.5" x14ac:dyDescent="0.3">
      <c r="B1919" s="236">
        <v>42851</v>
      </c>
      <c r="C1919" s="73"/>
      <c r="D1919" s="73"/>
      <c r="E1919" s="145">
        <v>12647.53</v>
      </c>
    </row>
    <row r="1920" spans="2:5" ht="16.5" x14ac:dyDescent="0.3">
      <c r="B1920" s="236">
        <v>42850</v>
      </c>
      <c r="C1920" s="73"/>
      <c r="D1920" s="73"/>
      <c r="E1920" s="145">
        <v>12586.34</v>
      </c>
    </row>
    <row r="1921" spans="2:5" ht="16.5" x14ac:dyDescent="0.3">
      <c r="B1921" s="236">
        <v>42849</v>
      </c>
      <c r="C1921" s="73"/>
      <c r="D1921" s="73"/>
      <c r="E1921" s="145">
        <v>12466.46</v>
      </c>
    </row>
    <row r="1922" spans="2:5" ht="16.5" x14ac:dyDescent="0.3">
      <c r="B1922" s="236">
        <v>42846</v>
      </c>
      <c r="C1922" s="73"/>
      <c r="D1922" s="73"/>
      <c r="E1922" s="145">
        <v>12333.17</v>
      </c>
    </row>
    <row r="1923" spans="2:5" ht="16.5" x14ac:dyDescent="0.3">
      <c r="B1923" s="236">
        <v>42845</v>
      </c>
      <c r="C1923" s="73"/>
      <c r="D1923" s="73"/>
      <c r="E1923" s="145">
        <v>12356.2</v>
      </c>
    </row>
    <row r="1924" spans="2:5" ht="16.5" x14ac:dyDescent="0.3">
      <c r="B1924" s="236">
        <v>42844</v>
      </c>
      <c r="C1924" s="73"/>
      <c r="D1924" s="73"/>
      <c r="E1924" s="145">
        <v>12311.67</v>
      </c>
    </row>
    <row r="1925" spans="2:5" ht="16.5" x14ac:dyDescent="0.3">
      <c r="B1925" s="236">
        <v>42843</v>
      </c>
      <c r="C1925" s="73"/>
      <c r="D1925" s="73"/>
      <c r="E1925" s="145">
        <v>12313.9</v>
      </c>
    </row>
    <row r="1926" spans="2:5" ht="16.5" x14ac:dyDescent="0.3">
      <c r="B1926" s="236">
        <v>42842</v>
      </c>
      <c r="C1926" s="73"/>
      <c r="D1926" s="73"/>
      <c r="E1926" s="145">
        <v>12360.11</v>
      </c>
    </row>
    <row r="1927" spans="2:5" ht="16.5" x14ac:dyDescent="0.3">
      <c r="B1927" s="236">
        <v>42838</v>
      </c>
      <c r="C1927" s="73"/>
      <c r="D1927" s="73"/>
      <c r="E1927" s="145">
        <v>12375.68</v>
      </c>
    </row>
    <row r="1928" spans="2:5" ht="16.5" x14ac:dyDescent="0.3">
      <c r="B1928" s="236">
        <v>42837</v>
      </c>
      <c r="C1928" s="73"/>
      <c r="D1928" s="73"/>
      <c r="E1928" s="145">
        <v>12446.84</v>
      </c>
    </row>
    <row r="1929" spans="2:5" ht="16.5" x14ac:dyDescent="0.3">
      <c r="B1929" s="236">
        <v>42836</v>
      </c>
      <c r="C1929" s="73"/>
      <c r="D1929" s="73"/>
      <c r="E1929" s="145">
        <v>12492.24</v>
      </c>
    </row>
    <row r="1930" spans="2:5" ht="16.5" x14ac:dyDescent="0.3">
      <c r="B1930" s="236">
        <v>42835</v>
      </c>
      <c r="C1930" s="73"/>
      <c r="D1930" s="73"/>
      <c r="E1930" s="145">
        <v>12417.07</v>
      </c>
    </row>
    <row r="1931" spans="2:5" ht="16.5" x14ac:dyDescent="0.3">
      <c r="B1931" s="236">
        <v>42832</v>
      </c>
      <c r="C1931" s="73"/>
      <c r="D1931" s="73"/>
      <c r="E1931" s="145">
        <v>12439.9</v>
      </c>
    </row>
    <row r="1932" spans="2:5" ht="16.5" x14ac:dyDescent="0.3">
      <c r="B1932" s="236">
        <v>42831</v>
      </c>
      <c r="C1932" s="73"/>
      <c r="D1932" s="73"/>
      <c r="E1932" s="145">
        <v>12525.97</v>
      </c>
    </row>
    <row r="1933" spans="2:5" ht="16.5" x14ac:dyDescent="0.3">
      <c r="B1933" s="236">
        <v>42830</v>
      </c>
      <c r="C1933" s="73"/>
      <c r="D1933" s="73"/>
      <c r="E1933" s="145">
        <v>12530.31</v>
      </c>
    </row>
    <row r="1934" spans="2:5" ht="16.5" x14ac:dyDescent="0.3">
      <c r="B1934" s="236">
        <v>42828</v>
      </c>
      <c r="C1934" s="73"/>
      <c r="D1934" s="73"/>
      <c r="E1934" s="145">
        <v>12493.39</v>
      </c>
    </row>
    <row r="1935" spans="2:5" ht="16.5" x14ac:dyDescent="0.3">
      <c r="B1935" s="236">
        <v>42825</v>
      </c>
      <c r="C1935" s="73"/>
      <c r="D1935" s="73"/>
      <c r="E1935" s="145">
        <v>12406.69</v>
      </c>
    </row>
    <row r="1936" spans="2:5" ht="16.5" x14ac:dyDescent="0.3">
      <c r="B1936" s="236">
        <v>42824</v>
      </c>
      <c r="C1936" s="73"/>
      <c r="D1936" s="73"/>
      <c r="E1936" s="145">
        <v>12404.41</v>
      </c>
    </row>
    <row r="1937" spans="2:5" ht="16.5" x14ac:dyDescent="0.3">
      <c r="B1937" s="236">
        <v>42823</v>
      </c>
      <c r="C1937" s="73"/>
      <c r="D1937" s="73"/>
      <c r="E1937" s="145">
        <v>12363.95</v>
      </c>
    </row>
    <row r="1938" spans="2:5" ht="16.5" x14ac:dyDescent="0.3">
      <c r="B1938" s="236">
        <v>42822</v>
      </c>
      <c r="C1938" s="73"/>
      <c r="D1938" s="73"/>
      <c r="E1938" s="145">
        <v>12305.77</v>
      </c>
    </row>
    <row r="1939" spans="2:5" ht="16.5" x14ac:dyDescent="0.3">
      <c r="B1939" s="236">
        <v>42821</v>
      </c>
      <c r="C1939" s="73"/>
      <c r="D1939" s="73"/>
      <c r="E1939" s="145">
        <v>12230.63</v>
      </c>
    </row>
    <row r="1940" spans="2:5" ht="16.5" x14ac:dyDescent="0.3">
      <c r="B1940" s="236">
        <v>42818</v>
      </c>
      <c r="C1940" s="73"/>
      <c r="D1940" s="73"/>
      <c r="E1940" s="145">
        <v>12314.98</v>
      </c>
    </row>
    <row r="1941" spans="2:5" ht="16.5" x14ac:dyDescent="0.3">
      <c r="B1941" s="236">
        <v>42817</v>
      </c>
      <c r="C1941" s="73"/>
      <c r="D1941" s="73"/>
      <c r="E1941" s="145">
        <v>12283.35</v>
      </c>
    </row>
    <row r="1942" spans="2:5" ht="16.5" x14ac:dyDescent="0.3">
      <c r="B1942" s="236">
        <v>42816</v>
      </c>
      <c r="C1942" s="73"/>
      <c r="D1942" s="73"/>
      <c r="E1942" s="145">
        <v>12207.85</v>
      </c>
    </row>
    <row r="1943" spans="2:5" ht="16.5" x14ac:dyDescent="0.3">
      <c r="B1943" s="236">
        <v>42815</v>
      </c>
      <c r="C1943" s="73"/>
      <c r="D1943" s="73"/>
      <c r="E1943" s="145">
        <v>12330.92</v>
      </c>
    </row>
    <row r="1944" spans="2:5" ht="16.5" x14ac:dyDescent="0.3">
      <c r="B1944" s="236">
        <v>42814</v>
      </c>
      <c r="C1944" s="73"/>
      <c r="D1944" s="73"/>
      <c r="E1944" s="145">
        <v>12338.14</v>
      </c>
    </row>
    <row r="1945" spans="2:5" ht="16.5" x14ac:dyDescent="0.3">
      <c r="B1945" s="236">
        <v>42811</v>
      </c>
      <c r="C1945" s="73"/>
      <c r="D1945" s="73"/>
      <c r="E1945" s="145">
        <v>12383.04</v>
      </c>
    </row>
    <row r="1946" spans="2:5" ht="16.5" x14ac:dyDescent="0.3">
      <c r="B1946" s="236">
        <v>42810</v>
      </c>
      <c r="C1946" s="73"/>
      <c r="D1946" s="73"/>
      <c r="E1946" s="145">
        <v>12374.48</v>
      </c>
    </row>
    <row r="1947" spans="2:5" ht="16.5" x14ac:dyDescent="0.3">
      <c r="B1947" s="236">
        <v>42809</v>
      </c>
      <c r="C1947" s="73"/>
      <c r="D1947" s="73"/>
      <c r="E1947" s="145">
        <v>12278.23</v>
      </c>
    </row>
    <row r="1948" spans="2:5" ht="16.5" x14ac:dyDescent="0.3">
      <c r="B1948" s="236">
        <v>42808</v>
      </c>
      <c r="C1948" s="73"/>
      <c r="D1948" s="73"/>
      <c r="E1948" s="145">
        <v>12281.22</v>
      </c>
    </row>
    <row r="1949" spans="2:5" ht="16.5" x14ac:dyDescent="0.3">
      <c r="B1949" s="236">
        <v>42804</v>
      </c>
      <c r="C1949" s="73"/>
      <c r="D1949" s="73"/>
      <c r="E1949" s="145">
        <v>12066.4</v>
      </c>
    </row>
    <row r="1950" spans="2:5" ht="16.5" x14ac:dyDescent="0.3">
      <c r="B1950" s="236">
        <v>42803</v>
      </c>
      <c r="C1950" s="73"/>
      <c r="D1950" s="73"/>
      <c r="E1950" s="145">
        <v>12056.17</v>
      </c>
    </row>
    <row r="1951" spans="2:5" ht="16.5" x14ac:dyDescent="0.3">
      <c r="B1951" s="236">
        <v>42802</v>
      </c>
      <c r="C1951" s="73"/>
      <c r="D1951" s="73"/>
      <c r="E1951" s="145">
        <v>12050.77</v>
      </c>
    </row>
    <row r="1952" spans="2:5" ht="16.5" x14ac:dyDescent="0.3">
      <c r="B1952" s="236">
        <v>42801</v>
      </c>
      <c r="C1952" s="73"/>
      <c r="D1952" s="73"/>
      <c r="E1952" s="145">
        <v>12081.34</v>
      </c>
    </row>
    <row r="1953" spans="2:5" ht="16.5" x14ac:dyDescent="0.3">
      <c r="B1953" s="236">
        <v>42800</v>
      </c>
      <c r="C1953" s="73"/>
      <c r="D1953" s="73"/>
      <c r="E1953" s="145">
        <v>12103.68</v>
      </c>
    </row>
    <row r="1954" spans="2:5" ht="16.5" x14ac:dyDescent="0.3">
      <c r="B1954" s="236">
        <v>42797</v>
      </c>
      <c r="C1954" s="73"/>
      <c r="D1954" s="73"/>
      <c r="E1954" s="145">
        <v>12014.7</v>
      </c>
    </row>
    <row r="1955" spans="2:5" ht="16.5" x14ac:dyDescent="0.3">
      <c r="B1955" s="236">
        <v>42796</v>
      </c>
      <c r="C1955" s="73"/>
      <c r="D1955" s="73"/>
      <c r="E1955" s="145">
        <v>12017.63</v>
      </c>
    </row>
    <row r="1956" spans="2:5" ht="16.5" x14ac:dyDescent="0.3">
      <c r="B1956" s="236">
        <v>42795</v>
      </c>
      <c r="C1956" s="73"/>
      <c r="D1956" s="73"/>
      <c r="E1956" s="145">
        <v>12079.8</v>
      </c>
    </row>
    <row r="1957" spans="2:5" ht="16.5" x14ac:dyDescent="0.3">
      <c r="B1957" s="236">
        <v>42794</v>
      </c>
      <c r="C1957" s="73"/>
      <c r="D1957" s="73"/>
      <c r="E1957" s="145">
        <v>11990.44</v>
      </c>
    </row>
    <row r="1958" spans="2:5" ht="16.5" x14ac:dyDescent="0.3">
      <c r="B1958" s="236">
        <v>42793</v>
      </c>
      <c r="C1958" s="73"/>
      <c r="D1958" s="73"/>
      <c r="E1958" s="145">
        <v>12009.8</v>
      </c>
    </row>
    <row r="1959" spans="2:5" ht="16.5" x14ac:dyDescent="0.3">
      <c r="B1959" s="236">
        <v>42789</v>
      </c>
      <c r="C1959" s="73"/>
      <c r="D1959" s="73"/>
      <c r="E1959" s="145">
        <v>12067.61</v>
      </c>
    </row>
    <row r="1960" spans="2:5" ht="16.5" x14ac:dyDescent="0.3">
      <c r="B1960" s="236">
        <v>42788</v>
      </c>
      <c r="C1960" s="73"/>
      <c r="D1960" s="73"/>
      <c r="E1960" s="145">
        <v>12050.54</v>
      </c>
    </row>
    <row r="1961" spans="2:5" ht="16.5" x14ac:dyDescent="0.3">
      <c r="B1961" s="236">
        <v>42787</v>
      </c>
      <c r="C1961" s="73"/>
      <c r="D1961" s="73"/>
      <c r="E1961" s="145">
        <v>12024.88</v>
      </c>
    </row>
    <row r="1962" spans="2:5" ht="16.5" x14ac:dyDescent="0.3">
      <c r="B1962" s="236">
        <v>42786</v>
      </c>
      <c r="C1962" s="73"/>
      <c r="D1962" s="73"/>
      <c r="E1962" s="145">
        <v>11986.21</v>
      </c>
    </row>
    <row r="1963" spans="2:5" ht="16.5" x14ac:dyDescent="0.3">
      <c r="B1963" s="236">
        <v>42783</v>
      </c>
      <c r="C1963" s="73"/>
      <c r="D1963" s="73"/>
      <c r="E1963" s="145">
        <v>11908.56</v>
      </c>
    </row>
    <row r="1964" spans="2:5" ht="16.5" x14ac:dyDescent="0.3">
      <c r="B1964" s="236">
        <v>42782</v>
      </c>
      <c r="C1964" s="73"/>
      <c r="D1964" s="73"/>
      <c r="E1964" s="145">
        <v>11849.55</v>
      </c>
    </row>
    <row r="1965" spans="2:5" ht="16.5" x14ac:dyDescent="0.3">
      <c r="B1965" s="236">
        <v>42781</v>
      </c>
      <c r="C1965" s="73"/>
      <c r="D1965" s="73"/>
      <c r="E1965" s="145">
        <v>11776.57</v>
      </c>
    </row>
    <row r="1966" spans="2:5" ht="16.5" x14ac:dyDescent="0.3">
      <c r="B1966" s="236">
        <v>42780</v>
      </c>
      <c r="C1966" s="73"/>
      <c r="D1966" s="73"/>
      <c r="E1966" s="145">
        <v>11865.43</v>
      </c>
    </row>
    <row r="1967" spans="2:5" ht="16.5" x14ac:dyDescent="0.3">
      <c r="B1967" s="236">
        <v>42779</v>
      </c>
      <c r="C1967" s="73"/>
      <c r="D1967" s="73"/>
      <c r="E1967" s="145">
        <v>11882.38</v>
      </c>
    </row>
    <row r="1968" spans="2:5" ht="16.5" x14ac:dyDescent="0.3">
      <c r="B1968" s="236">
        <v>42776</v>
      </c>
      <c r="C1968" s="73"/>
      <c r="D1968" s="73"/>
      <c r="E1968" s="145">
        <v>11866.82</v>
      </c>
    </row>
    <row r="1969" spans="2:5" ht="16.5" x14ac:dyDescent="0.3">
      <c r="B1969" s="236">
        <v>42775</v>
      </c>
      <c r="C1969" s="73"/>
      <c r="D1969" s="73"/>
      <c r="E1969" s="145">
        <v>11846.42</v>
      </c>
    </row>
    <row r="1970" spans="2:5" ht="16.5" x14ac:dyDescent="0.3">
      <c r="B1970" s="236">
        <v>42774</v>
      </c>
      <c r="C1970" s="73"/>
      <c r="D1970" s="73"/>
      <c r="E1970" s="145">
        <v>11833.8</v>
      </c>
    </row>
    <row r="1971" spans="2:5" ht="16.5" x14ac:dyDescent="0.3">
      <c r="B1971" s="236">
        <v>42773</v>
      </c>
      <c r="C1971" s="73"/>
      <c r="D1971" s="73"/>
      <c r="E1971" s="145">
        <v>11832.78</v>
      </c>
    </row>
    <row r="1972" spans="2:5" ht="16.5" x14ac:dyDescent="0.3">
      <c r="B1972" s="236">
        <v>42772</v>
      </c>
      <c r="C1972" s="73"/>
      <c r="D1972" s="73"/>
      <c r="E1972" s="145">
        <v>11874.73</v>
      </c>
    </row>
    <row r="1973" spans="2:5" ht="16.5" x14ac:dyDescent="0.3">
      <c r="B1973" s="236">
        <v>42769</v>
      </c>
      <c r="C1973" s="73"/>
      <c r="D1973" s="73"/>
      <c r="E1973" s="145">
        <v>11793.62</v>
      </c>
    </row>
    <row r="1974" spans="2:5" ht="16.5" x14ac:dyDescent="0.3">
      <c r="B1974" s="236">
        <v>42768</v>
      </c>
      <c r="C1974" s="73"/>
      <c r="D1974" s="73"/>
      <c r="E1974" s="145">
        <v>11784.61</v>
      </c>
    </row>
    <row r="1975" spans="2:5" ht="16.5" x14ac:dyDescent="0.3">
      <c r="B1975" s="236">
        <v>42767</v>
      </c>
      <c r="C1975" s="73"/>
      <c r="D1975" s="73"/>
      <c r="E1975" s="145">
        <v>11758.63</v>
      </c>
    </row>
    <row r="1976" spans="2:5" ht="16.5" x14ac:dyDescent="0.3">
      <c r="B1976" s="236">
        <v>42766</v>
      </c>
      <c r="C1976" s="73"/>
      <c r="D1976" s="73"/>
      <c r="E1976" s="145">
        <v>11548.15</v>
      </c>
    </row>
    <row r="1977" spans="2:5" ht="16.5" x14ac:dyDescent="0.3">
      <c r="B1977" s="236">
        <v>42765</v>
      </c>
      <c r="C1977" s="73"/>
      <c r="D1977" s="73"/>
      <c r="E1977" s="145">
        <v>11644.53</v>
      </c>
    </row>
    <row r="1978" spans="2:5" ht="16.5" x14ac:dyDescent="0.3">
      <c r="B1978" s="236">
        <v>42762</v>
      </c>
      <c r="C1978" s="73"/>
      <c r="D1978" s="73"/>
      <c r="E1978" s="145">
        <v>11656</v>
      </c>
    </row>
    <row r="1979" spans="2:5" ht="16.5" x14ac:dyDescent="0.3">
      <c r="B1979" s="236">
        <v>42760</v>
      </c>
      <c r="C1979" s="73"/>
      <c r="D1979" s="73"/>
      <c r="E1979" s="145">
        <v>11604.09</v>
      </c>
    </row>
    <row r="1980" spans="2:5" ht="16.5" x14ac:dyDescent="0.3">
      <c r="B1980" s="236">
        <v>42759</v>
      </c>
      <c r="C1980" s="73"/>
      <c r="D1980" s="73"/>
      <c r="E1980" s="145">
        <v>11432.83</v>
      </c>
    </row>
    <row r="1981" spans="2:5" ht="16.5" x14ac:dyDescent="0.3">
      <c r="B1981" s="236">
        <v>42758</v>
      </c>
      <c r="C1981" s="73"/>
      <c r="D1981" s="73"/>
      <c r="E1981" s="145">
        <v>11319.09</v>
      </c>
    </row>
    <row r="1982" spans="2:5" ht="16.5" x14ac:dyDescent="0.3">
      <c r="B1982" s="236">
        <v>42755</v>
      </c>
      <c r="C1982" s="73"/>
      <c r="D1982" s="73"/>
      <c r="E1982" s="145">
        <v>11260.99</v>
      </c>
    </row>
    <row r="1983" spans="2:5" ht="16.5" x14ac:dyDescent="0.3">
      <c r="B1983" s="236">
        <v>42754</v>
      </c>
      <c r="C1983" s="73"/>
      <c r="D1983" s="73"/>
      <c r="E1983" s="145">
        <v>11376.62</v>
      </c>
    </row>
    <row r="1984" spans="2:5" ht="16.5" x14ac:dyDescent="0.3">
      <c r="B1984" s="236">
        <v>42753</v>
      </c>
      <c r="C1984" s="73"/>
      <c r="D1984" s="73"/>
      <c r="E1984" s="145">
        <v>11352.22</v>
      </c>
    </row>
    <row r="1985" spans="2:5" ht="16.5" x14ac:dyDescent="0.3">
      <c r="B1985" s="236">
        <v>42752</v>
      </c>
      <c r="C1985" s="73"/>
      <c r="D1985" s="73"/>
      <c r="E1985" s="145">
        <v>11326.62</v>
      </c>
    </row>
    <row r="1986" spans="2:5" ht="16.5" x14ac:dyDescent="0.3">
      <c r="B1986" s="236">
        <v>42751</v>
      </c>
      <c r="C1986" s="73"/>
      <c r="D1986" s="73"/>
      <c r="E1986" s="145">
        <v>11346.57</v>
      </c>
    </row>
    <row r="1987" spans="2:5" ht="16.5" x14ac:dyDescent="0.3">
      <c r="B1987" s="236">
        <v>42748</v>
      </c>
      <c r="C1987" s="73"/>
      <c r="D1987" s="73"/>
      <c r="E1987" s="145">
        <v>11329.78</v>
      </c>
    </row>
    <row r="1988" spans="2:5" ht="16.5" x14ac:dyDescent="0.3">
      <c r="B1988" s="236">
        <v>42747</v>
      </c>
      <c r="C1988" s="73"/>
      <c r="D1988" s="73"/>
      <c r="E1988" s="145">
        <v>11339.04</v>
      </c>
    </row>
    <row r="1989" spans="2:5" ht="16.5" x14ac:dyDescent="0.3">
      <c r="B1989" s="236">
        <v>42746</v>
      </c>
      <c r="C1989" s="73"/>
      <c r="D1989" s="73"/>
      <c r="E1989" s="145">
        <v>11303.19</v>
      </c>
    </row>
    <row r="1990" spans="2:5" ht="16.5" x14ac:dyDescent="0.3">
      <c r="B1990" s="236">
        <v>42745</v>
      </c>
      <c r="C1990" s="73"/>
      <c r="D1990" s="73"/>
      <c r="E1990" s="145">
        <v>11179.04</v>
      </c>
    </row>
    <row r="1991" spans="2:5" ht="16.5" x14ac:dyDescent="0.3">
      <c r="B1991" s="236">
        <v>42744</v>
      </c>
      <c r="C1991" s="73"/>
      <c r="D1991" s="73"/>
      <c r="E1991" s="145">
        <v>11108.2</v>
      </c>
    </row>
    <row r="1992" spans="2:5" ht="16.5" x14ac:dyDescent="0.3">
      <c r="B1992" s="236">
        <v>42741</v>
      </c>
      <c r="C1992" s="73"/>
      <c r="D1992" s="73"/>
      <c r="E1992" s="145">
        <v>11118.62</v>
      </c>
    </row>
    <row r="1993" spans="2:5" ht="16.5" x14ac:dyDescent="0.3">
      <c r="B1993" s="236">
        <v>42740</v>
      </c>
      <c r="C1993" s="73"/>
      <c r="D1993" s="73"/>
      <c r="E1993" s="145">
        <v>11159.12</v>
      </c>
    </row>
    <row r="1994" spans="2:5" ht="16.5" x14ac:dyDescent="0.3">
      <c r="B1994" s="236">
        <v>42739</v>
      </c>
      <c r="C1994" s="73"/>
      <c r="D1994" s="73"/>
      <c r="E1994" s="145">
        <v>11046.76</v>
      </c>
    </row>
    <row r="1995" spans="2:5" ht="16.5" x14ac:dyDescent="0.3">
      <c r="B1995" s="236">
        <v>42738</v>
      </c>
      <c r="C1995" s="73"/>
      <c r="D1995" s="73"/>
      <c r="E1995" s="145">
        <v>11049.08</v>
      </c>
    </row>
    <row r="1996" spans="2:5" ht="16.5" x14ac:dyDescent="0.3">
      <c r="B1996" s="236">
        <v>42737</v>
      </c>
      <c r="C1996" s="73"/>
      <c r="D1996" s="73"/>
      <c r="E1996" s="145">
        <v>11031.91</v>
      </c>
    </row>
    <row r="1997" spans="2:5" ht="16.5" x14ac:dyDescent="0.3">
      <c r="B1997" s="236">
        <v>42734</v>
      </c>
      <c r="C1997" s="73"/>
      <c r="D1997" s="73"/>
      <c r="E1997" s="145">
        <v>11040.41</v>
      </c>
    </row>
    <row r="1998" spans="2:5" ht="16.5" x14ac:dyDescent="0.3">
      <c r="B1998" s="236">
        <v>42733</v>
      </c>
      <c r="C1998" s="73"/>
      <c r="D1998" s="73"/>
      <c r="E1998" s="145">
        <v>10929.53</v>
      </c>
    </row>
    <row r="1999" spans="2:5" ht="16.5" x14ac:dyDescent="0.3">
      <c r="B1999" s="236">
        <v>42732</v>
      </c>
      <c r="C1999" s="73"/>
      <c r="D1999" s="73"/>
      <c r="E1999" s="145">
        <v>10836.85</v>
      </c>
    </row>
    <row r="2000" spans="2:5" ht="16.5" x14ac:dyDescent="0.3">
      <c r="B2000" s="236">
        <v>42731</v>
      </c>
      <c r="C2000" s="73"/>
      <c r="D2000" s="73"/>
      <c r="E2000" s="145">
        <v>10834.12</v>
      </c>
    </row>
    <row r="2001" spans="2:5" ht="16.5" x14ac:dyDescent="0.3">
      <c r="B2001" s="236">
        <v>42730</v>
      </c>
      <c r="C2001" s="73"/>
      <c r="D2001" s="73"/>
      <c r="E2001" s="145">
        <v>10666.06</v>
      </c>
    </row>
    <row r="2002" spans="2:5" ht="16.5" x14ac:dyDescent="0.3">
      <c r="B2002" s="236">
        <v>42727</v>
      </c>
      <c r="C2002" s="73"/>
      <c r="D2002" s="73"/>
      <c r="E2002" s="145">
        <v>10770.6</v>
      </c>
    </row>
    <row r="2003" spans="2:5" ht="16.5" x14ac:dyDescent="0.3">
      <c r="B2003" s="236">
        <v>42726</v>
      </c>
      <c r="C2003" s="73"/>
      <c r="D2003" s="73"/>
      <c r="E2003" s="145">
        <v>10761.65</v>
      </c>
    </row>
    <row r="2004" spans="2:5" ht="16.5" x14ac:dyDescent="0.3">
      <c r="B2004" s="236">
        <v>42725</v>
      </c>
      <c r="C2004" s="73"/>
      <c r="D2004" s="73"/>
      <c r="E2004" s="145">
        <v>10872.49</v>
      </c>
    </row>
    <row r="2005" spans="2:5" ht="16.5" x14ac:dyDescent="0.3">
      <c r="B2005" s="236">
        <v>42724</v>
      </c>
      <c r="C2005" s="73"/>
      <c r="D2005" s="73"/>
      <c r="E2005" s="145">
        <v>10900.96</v>
      </c>
    </row>
    <row r="2006" spans="2:5" ht="16.5" x14ac:dyDescent="0.3">
      <c r="B2006" s="236">
        <v>42723</v>
      </c>
      <c r="C2006" s="73"/>
      <c r="D2006" s="73"/>
      <c r="E2006" s="145">
        <v>10930.55</v>
      </c>
    </row>
    <row r="2007" spans="2:5" ht="16.5" x14ac:dyDescent="0.3">
      <c r="B2007" s="236">
        <v>42720</v>
      </c>
      <c r="C2007" s="73"/>
      <c r="D2007" s="73"/>
      <c r="E2007" s="145">
        <v>10977.91</v>
      </c>
    </row>
    <row r="2008" spans="2:5" ht="16.5" x14ac:dyDescent="0.3">
      <c r="B2008" s="236">
        <v>42719</v>
      </c>
      <c r="C2008" s="73"/>
      <c r="D2008" s="73"/>
      <c r="E2008" s="145">
        <v>10997.01</v>
      </c>
    </row>
    <row r="2009" spans="2:5" ht="16.5" x14ac:dyDescent="0.3">
      <c r="B2009" s="236">
        <v>42718</v>
      </c>
      <c r="C2009" s="73"/>
      <c r="D2009" s="73"/>
      <c r="E2009" s="145">
        <v>11035.88</v>
      </c>
    </row>
    <row r="2010" spans="2:5" ht="16.5" x14ac:dyDescent="0.3">
      <c r="B2010" s="236">
        <v>42717</v>
      </c>
      <c r="C2010" s="73"/>
      <c r="D2010" s="73"/>
      <c r="E2010" s="145">
        <v>11088.99</v>
      </c>
    </row>
    <row r="2011" spans="2:5" ht="16.5" x14ac:dyDescent="0.3">
      <c r="B2011" s="236">
        <v>42716</v>
      </c>
      <c r="C2011" s="73"/>
      <c r="D2011" s="73"/>
      <c r="E2011" s="145">
        <v>11020.15</v>
      </c>
    </row>
    <row r="2012" spans="2:5" ht="16.5" x14ac:dyDescent="0.3">
      <c r="B2012" s="236">
        <v>42713</v>
      </c>
      <c r="C2012" s="73"/>
      <c r="D2012" s="73"/>
      <c r="E2012" s="145">
        <v>11142.82</v>
      </c>
    </row>
    <row r="2013" spans="2:5" ht="16.5" x14ac:dyDescent="0.3">
      <c r="B2013" s="236">
        <v>42712</v>
      </c>
      <c r="C2013" s="73"/>
      <c r="D2013" s="73"/>
      <c r="E2013" s="145">
        <v>11122.75</v>
      </c>
    </row>
    <row r="2014" spans="2:5" ht="16.5" x14ac:dyDescent="0.3">
      <c r="B2014" s="236">
        <v>42711</v>
      </c>
      <c r="C2014" s="73"/>
      <c r="D2014" s="73"/>
      <c r="E2014" s="145">
        <v>10927.43</v>
      </c>
    </row>
    <row r="2015" spans="2:5" ht="16.5" x14ac:dyDescent="0.3">
      <c r="B2015" s="236">
        <v>42710</v>
      </c>
      <c r="C2015" s="73"/>
      <c r="D2015" s="73"/>
      <c r="E2015" s="145">
        <v>10982.89</v>
      </c>
    </row>
    <row r="2016" spans="2:5" ht="16.5" x14ac:dyDescent="0.3">
      <c r="B2016" s="236">
        <v>42709</v>
      </c>
      <c r="C2016" s="73"/>
      <c r="D2016" s="73"/>
      <c r="E2016" s="145">
        <v>10963.49</v>
      </c>
    </row>
    <row r="2017" spans="2:5" ht="16.5" x14ac:dyDescent="0.3">
      <c r="B2017" s="236">
        <v>42706</v>
      </c>
      <c r="C2017" s="73"/>
      <c r="D2017" s="73"/>
      <c r="E2017" s="145">
        <v>10906.86</v>
      </c>
    </row>
    <row r="2018" spans="2:5" ht="16.5" x14ac:dyDescent="0.3">
      <c r="B2018" s="236">
        <v>42705</v>
      </c>
      <c r="C2018" s="73"/>
      <c r="D2018" s="73"/>
      <c r="E2018" s="145">
        <v>11050</v>
      </c>
    </row>
    <row r="2019" spans="2:5" ht="16.5" x14ac:dyDescent="0.3">
      <c r="B2019" s="236">
        <v>42704</v>
      </c>
      <c r="C2019" s="73"/>
      <c r="D2019" s="73"/>
      <c r="E2019" s="145">
        <v>11092.59</v>
      </c>
    </row>
    <row r="2020" spans="2:5" ht="16.5" x14ac:dyDescent="0.3">
      <c r="B2020" s="236">
        <v>42703</v>
      </c>
      <c r="C2020" s="73"/>
      <c r="D2020" s="73"/>
      <c r="E2020" s="145">
        <v>10981.54</v>
      </c>
    </row>
    <row r="2021" spans="2:5" ht="16.5" x14ac:dyDescent="0.3">
      <c r="B2021" s="236">
        <v>42702</v>
      </c>
      <c r="C2021" s="73"/>
      <c r="D2021" s="73"/>
      <c r="E2021" s="145">
        <v>10960.97</v>
      </c>
    </row>
    <row r="2022" spans="2:5" ht="16.5" x14ac:dyDescent="0.3">
      <c r="B2022" s="236">
        <v>42699</v>
      </c>
      <c r="C2022" s="73"/>
      <c r="D2022" s="73"/>
      <c r="E2022" s="145">
        <v>10943.99</v>
      </c>
    </row>
    <row r="2023" spans="2:5" ht="16.5" x14ac:dyDescent="0.3">
      <c r="B2023" s="236">
        <v>42698</v>
      </c>
      <c r="C2023" s="73"/>
      <c r="D2023" s="73"/>
      <c r="E2023" s="145">
        <v>10743.28</v>
      </c>
    </row>
    <row r="2024" spans="2:5" ht="16.5" x14ac:dyDescent="0.3">
      <c r="B2024" s="236">
        <v>42697</v>
      </c>
      <c r="C2024" s="73"/>
      <c r="D2024" s="73"/>
      <c r="E2024" s="145">
        <v>10834.59</v>
      </c>
    </row>
    <row r="2025" spans="2:5" ht="16.5" x14ac:dyDescent="0.3">
      <c r="B2025" s="236">
        <v>42696</v>
      </c>
      <c r="C2025" s="73"/>
      <c r="D2025" s="73"/>
      <c r="E2025" s="145">
        <v>10792.82</v>
      </c>
    </row>
    <row r="2026" spans="2:5" ht="16.5" x14ac:dyDescent="0.3">
      <c r="B2026" s="236">
        <v>42695</v>
      </c>
      <c r="C2026" s="73"/>
      <c r="D2026" s="73"/>
      <c r="E2026" s="145">
        <v>10694.09</v>
      </c>
    </row>
    <row r="2027" spans="2:5" ht="16.5" x14ac:dyDescent="0.3">
      <c r="B2027" s="236">
        <v>42692</v>
      </c>
      <c r="C2027" s="73"/>
      <c r="D2027" s="73"/>
      <c r="E2027" s="145">
        <v>10889.64</v>
      </c>
    </row>
    <row r="2028" spans="2:5" ht="16.5" x14ac:dyDescent="0.3">
      <c r="B2028" s="236">
        <v>42691</v>
      </c>
      <c r="C2028" s="73"/>
      <c r="D2028" s="73"/>
      <c r="E2028" s="145">
        <v>10897.55</v>
      </c>
    </row>
    <row r="2029" spans="2:5" ht="16.5" x14ac:dyDescent="0.3">
      <c r="B2029" s="236">
        <v>42690</v>
      </c>
      <c r="C2029" s="73"/>
      <c r="D2029" s="73"/>
      <c r="E2029" s="145">
        <v>10940.23</v>
      </c>
    </row>
    <row r="2030" spans="2:5" ht="16.5" x14ac:dyDescent="0.3">
      <c r="B2030" s="236">
        <v>42689</v>
      </c>
      <c r="C2030" s="73"/>
      <c r="D2030" s="73"/>
      <c r="E2030" s="145">
        <v>10935.99</v>
      </c>
    </row>
    <row r="2031" spans="2:5" ht="16.5" x14ac:dyDescent="0.3">
      <c r="B2031" s="236">
        <v>42685</v>
      </c>
      <c r="C2031" s="73"/>
      <c r="D2031" s="73"/>
      <c r="E2031" s="145">
        <v>11189.3</v>
      </c>
    </row>
    <row r="2032" spans="2:5" ht="16.5" x14ac:dyDescent="0.3">
      <c r="B2032" s="236">
        <v>42684</v>
      </c>
      <c r="C2032" s="73"/>
      <c r="D2032" s="73"/>
      <c r="E2032" s="145">
        <v>11498.79</v>
      </c>
    </row>
    <row r="2033" spans="2:5" ht="16.5" x14ac:dyDescent="0.3">
      <c r="B2033" s="236">
        <v>42683</v>
      </c>
      <c r="C2033" s="73"/>
      <c r="D2033" s="73"/>
      <c r="E2033" s="145">
        <v>11372.35</v>
      </c>
    </row>
    <row r="2034" spans="2:5" ht="16.5" x14ac:dyDescent="0.3">
      <c r="B2034" s="236">
        <v>42682</v>
      </c>
      <c r="C2034" s="73"/>
      <c r="D2034" s="73"/>
      <c r="E2034" s="145">
        <v>11522.76</v>
      </c>
    </row>
    <row r="2035" spans="2:5" ht="16.5" x14ac:dyDescent="0.3">
      <c r="B2035" s="236">
        <v>42681</v>
      </c>
      <c r="C2035" s="73"/>
      <c r="D2035" s="73"/>
      <c r="E2035" s="145">
        <v>11460.08</v>
      </c>
    </row>
    <row r="2036" spans="2:5" ht="16.5" x14ac:dyDescent="0.3">
      <c r="B2036" s="236">
        <v>42678</v>
      </c>
      <c r="C2036" s="73"/>
      <c r="D2036" s="73"/>
      <c r="E2036" s="145">
        <v>11374.71</v>
      </c>
    </row>
    <row r="2037" spans="2:5" ht="16.5" x14ac:dyDescent="0.3">
      <c r="B2037" s="236">
        <v>42677</v>
      </c>
      <c r="C2037" s="73"/>
      <c r="D2037" s="73"/>
      <c r="E2037" s="145">
        <v>11443.72</v>
      </c>
    </row>
    <row r="2038" spans="2:5" ht="16.5" x14ac:dyDescent="0.3">
      <c r="B2038" s="236">
        <v>42676</v>
      </c>
      <c r="C2038" s="73"/>
      <c r="D2038" s="73"/>
      <c r="E2038" s="145">
        <v>11479.94</v>
      </c>
    </row>
    <row r="2039" spans="2:5" ht="16.5" x14ac:dyDescent="0.3">
      <c r="B2039" s="236">
        <v>42675</v>
      </c>
      <c r="C2039" s="73"/>
      <c r="D2039" s="73"/>
      <c r="E2039" s="145">
        <v>11631.33</v>
      </c>
    </row>
    <row r="2040" spans="2:5" ht="16.5" x14ac:dyDescent="0.3">
      <c r="B2040" s="236">
        <v>42673</v>
      </c>
      <c r="C2040" s="73"/>
      <c r="D2040" s="73"/>
      <c r="E2040" s="145">
        <v>11628.32</v>
      </c>
    </row>
    <row r="2041" spans="2:5" ht="16.5" x14ac:dyDescent="0.3">
      <c r="B2041" s="236">
        <v>42671</v>
      </c>
      <c r="C2041" s="73"/>
      <c r="D2041" s="73"/>
      <c r="E2041" s="145">
        <v>11644.89</v>
      </c>
    </row>
    <row r="2042" spans="2:5" ht="16.5" x14ac:dyDescent="0.3">
      <c r="B2042" s="236">
        <v>42670</v>
      </c>
      <c r="C2042" s="73"/>
      <c r="D2042" s="73"/>
      <c r="E2042" s="145">
        <v>11614.18</v>
      </c>
    </row>
    <row r="2043" spans="2:5" ht="16.5" x14ac:dyDescent="0.3">
      <c r="B2043" s="236">
        <v>42669</v>
      </c>
      <c r="C2043" s="73"/>
      <c r="D2043" s="73"/>
      <c r="E2043" s="145">
        <v>11612.99</v>
      </c>
    </row>
    <row r="2044" spans="2:5" ht="16.5" x14ac:dyDescent="0.3">
      <c r="B2044" s="236">
        <v>42668</v>
      </c>
      <c r="C2044" s="73"/>
      <c r="D2044" s="73"/>
      <c r="E2044" s="145">
        <v>11715.45</v>
      </c>
    </row>
    <row r="2045" spans="2:5" ht="16.5" x14ac:dyDescent="0.3">
      <c r="B2045" s="236">
        <v>42667</v>
      </c>
      <c r="C2045" s="73"/>
      <c r="D2045" s="73"/>
      <c r="E2045" s="145">
        <v>11739.24</v>
      </c>
    </row>
    <row r="2046" spans="2:5" ht="16.5" x14ac:dyDescent="0.3">
      <c r="B2046" s="236">
        <v>42664</v>
      </c>
      <c r="C2046" s="73"/>
      <c r="D2046" s="73"/>
      <c r="E2046" s="145">
        <v>11716.57</v>
      </c>
    </row>
    <row r="2047" spans="2:5" ht="16.5" x14ac:dyDescent="0.3">
      <c r="B2047" s="236">
        <v>42663</v>
      </c>
      <c r="C2047" s="73"/>
      <c r="D2047" s="73"/>
      <c r="E2047" s="145">
        <v>11717.04</v>
      </c>
    </row>
    <row r="2048" spans="2:5" ht="16.5" x14ac:dyDescent="0.3">
      <c r="B2048" s="236">
        <v>42662</v>
      </c>
      <c r="C2048" s="73"/>
      <c r="D2048" s="73"/>
      <c r="E2048" s="145">
        <v>11662.81</v>
      </c>
    </row>
    <row r="2049" spans="2:5" ht="16.5" x14ac:dyDescent="0.3">
      <c r="B2049" s="236">
        <v>42661</v>
      </c>
      <c r="C2049" s="73"/>
      <c r="D2049" s="73"/>
      <c r="E2049" s="145">
        <v>11688.13</v>
      </c>
    </row>
    <row r="2050" spans="2:5" ht="16.5" x14ac:dyDescent="0.3">
      <c r="B2050" s="236">
        <v>42660</v>
      </c>
      <c r="C2050" s="73"/>
      <c r="D2050" s="73"/>
      <c r="E2050" s="145">
        <v>11475.97</v>
      </c>
    </row>
    <row r="2051" spans="2:5" ht="16.5" x14ac:dyDescent="0.3">
      <c r="B2051" s="236">
        <v>42657</v>
      </c>
      <c r="C2051" s="73"/>
      <c r="D2051" s="73"/>
      <c r="E2051" s="145">
        <v>11560.81</v>
      </c>
    </row>
    <row r="2052" spans="2:5" ht="16.5" x14ac:dyDescent="0.3">
      <c r="B2052" s="236">
        <v>42656</v>
      </c>
      <c r="C2052" s="73"/>
      <c r="D2052" s="73"/>
      <c r="E2052" s="145">
        <v>11547.3</v>
      </c>
    </row>
    <row r="2053" spans="2:5" ht="16.5" x14ac:dyDescent="0.3">
      <c r="B2053" s="236">
        <v>42653</v>
      </c>
      <c r="C2053" s="73"/>
      <c r="D2053" s="73"/>
      <c r="E2053" s="145">
        <v>11729.75</v>
      </c>
    </row>
    <row r="2054" spans="2:5" ht="16.5" x14ac:dyDescent="0.3">
      <c r="B2054" s="236">
        <v>42650</v>
      </c>
      <c r="C2054" s="73"/>
      <c r="D2054" s="73"/>
      <c r="E2054" s="145">
        <v>11714.65</v>
      </c>
    </row>
    <row r="2055" spans="2:5" ht="16.5" x14ac:dyDescent="0.3">
      <c r="B2055" s="236">
        <v>42649</v>
      </c>
      <c r="C2055" s="73"/>
      <c r="D2055" s="73"/>
      <c r="E2055" s="145">
        <v>11730.75</v>
      </c>
    </row>
    <row r="2056" spans="2:5" ht="16.5" x14ac:dyDescent="0.3">
      <c r="B2056" s="236">
        <v>42648</v>
      </c>
      <c r="C2056" s="73"/>
      <c r="D2056" s="73"/>
      <c r="E2056" s="145">
        <v>11777.1</v>
      </c>
    </row>
    <row r="2057" spans="2:5" ht="16.5" x14ac:dyDescent="0.3">
      <c r="B2057" s="236">
        <v>42647</v>
      </c>
      <c r="C2057" s="73"/>
      <c r="D2057" s="73"/>
      <c r="E2057" s="145">
        <v>11811.04</v>
      </c>
    </row>
    <row r="2058" spans="2:5" ht="16.5" x14ac:dyDescent="0.3">
      <c r="B2058" s="236">
        <v>42646</v>
      </c>
      <c r="C2058" s="73"/>
      <c r="D2058" s="73"/>
      <c r="E2058" s="145">
        <v>11769.16</v>
      </c>
    </row>
    <row r="2059" spans="2:5" ht="16.5" x14ac:dyDescent="0.3">
      <c r="B2059" s="236">
        <v>42643</v>
      </c>
      <c r="C2059" s="73"/>
      <c r="D2059" s="73"/>
      <c r="E2059" s="145">
        <v>11598.22</v>
      </c>
    </row>
    <row r="2060" spans="2:5" ht="16.5" x14ac:dyDescent="0.3">
      <c r="B2060" s="236">
        <v>42642</v>
      </c>
      <c r="C2060" s="73"/>
      <c r="D2060" s="73"/>
      <c r="E2060" s="145">
        <v>11571.4</v>
      </c>
    </row>
    <row r="2061" spans="2:5" ht="16.5" x14ac:dyDescent="0.3">
      <c r="B2061" s="236">
        <v>42641</v>
      </c>
      <c r="C2061" s="73"/>
      <c r="D2061" s="73"/>
      <c r="E2061" s="145">
        <v>11778.71</v>
      </c>
    </row>
    <row r="2062" spans="2:5" ht="16.5" x14ac:dyDescent="0.3">
      <c r="B2062" s="236">
        <v>42640</v>
      </c>
      <c r="C2062" s="73"/>
      <c r="D2062" s="73"/>
      <c r="E2062" s="145">
        <v>11726.49</v>
      </c>
    </row>
    <row r="2063" spans="2:5" ht="16.5" x14ac:dyDescent="0.3">
      <c r="B2063" s="236">
        <v>42639</v>
      </c>
      <c r="C2063" s="73"/>
      <c r="D2063" s="73"/>
      <c r="E2063" s="145">
        <v>11748.91</v>
      </c>
    </row>
    <row r="2064" spans="2:5" ht="16.5" x14ac:dyDescent="0.3">
      <c r="B2064" s="236">
        <v>42636</v>
      </c>
      <c r="C2064" s="73"/>
      <c r="D2064" s="73"/>
      <c r="E2064" s="145">
        <v>11895.07</v>
      </c>
    </row>
    <row r="2065" spans="2:5" ht="16.5" x14ac:dyDescent="0.3">
      <c r="B2065" s="236">
        <v>42635</v>
      </c>
      <c r="C2065" s="73"/>
      <c r="D2065" s="73"/>
      <c r="E2065" s="145">
        <v>11943.44</v>
      </c>
    </row>
    <row r="2066" spans="2:5" ht="16.5" x14ac:dyDescent="0.3">
      <c r="B2066" s="236">
        <v>42634</v>
      </c>
      <c r="C2066" s="73"/>
      <c r="D2066" s="73"/>
      <c r="E2066" s="145">
        <v>11821.52</v>
      </c>
    </row>
    <row r="2067" spans="2:5" ht="16.5" x14ac:dyDescent="0.3">
      <c r="B2067" s="236">
        <v>42633</v>
      </c>
      <c r="C2067" s="73"/>
      <c r="D2067" s="73"/>
      <c r="E2067" s="145">
        <v>11819.83</v>
      </c>
    </row>
    <row r="2068" spans="2:5" ht="16.5" x14ac:dyDescent="0.3">
      <c r="B2068" s="236">
        <v>42632</v>
      </c>
      <c r="C2068" s="73"/>
      <c r="D2068" s="73"/>
      <c r="E2068" s="145">
        <v>11863.61</v>
      </c>
    </row>
    <row r="2069" spans="2:5" ht="16.5" x14ac:dyDescent="0.3">
      <c r="B2069" s="236">
        <v>42629</v>
      </c>
      <c r="C2069" s="73"/>
      <c r="D2069" s="73"/>
      <c r="E2069" s="145">
        <v>11825.12</v>
      </c>
    </row>
    <row r="2070" spans="2:5" ht="16.5" x14ac:dyDescent="0.3">
      <c r="B2070" s="236">
        <v>42628</v>
      </c>
      <c r="C2070" s="73"/>
      <c r="D2070" s="73"/>
      <c r="E2070" s="145">
        <v>11774.9</v>
      </c>
    </row>
    <row r="2071" spans="2:5" ht="16.5" x14ac:dyDescent="0.3">
      <c r="B2071" s="236">
        <v>42627</v>
      </c>
      <c r="C2071" s="73"/>
      <c r="D2071" s="73"/>
      <c r="E2071" s="145">
        <v>11751.93</v>
      </c>
    </row>
    <row r="2072" spans="2:5" ht="16.5" x14ac:dyDescent="0.3">
      <c r="B2072" s="236">
        <v>42625</v>
      </c>
      <c r="C2072" s="73"/>
      <c r="D2072" s="73"/>
      <c r="E2072" s="145">
        <v>11737</v>
      </c>
    </row>
    <row r="2073" spans="2:5" ht="16.5" x14ac:dyDescent="0.3">
      <c r="B2073" s="236">
        <v>42622</v>
      </c>
      <c r="C2073" s="73"/>
      <c r="D2073" s="73"/>
      <c r="E2073" s="145">
        <v>11940.12</v>
      </c>
    </row>
    <row r="2074" spans="2:5" ht="16.5" x14ac:dyDescent="0.3">
      <c r="B2074" s="236">
        <v>42621</v>
      </c>
      <c r="C2074" s="73"/>
      <c r="D2074" s="73"/>
      <c r="E2074" s="145">
        <v>12055.6</v>
      </c>
    </row>
    <row r="2075" spans="2:5" ht="16.5" x14ac:dyDescent="0.3">
      <c r="B2075" s="236">
        <v>42620</v>
      </c>
      <c r="C2075" s="73"/>
      <c r="D2075" s="73"/>
      <c r="E2075" s="145">
        <v>12005.43</v>
      </c>
    </row>
    <row r="2076" spans="2:5" ht="16.5" x14ac:dyDescent="0.3">
      <c r="B2076" s="236">
        <v>42619</v>
      </c>
      <c r="C2076" s="73"/>
      <c r="D2076" s="73"/>
      <c r="E2076" s="145">
        <v>12037.72</v>
      </c>
    </row>
    <row r="2077" spans="2:5" ht="16.5" x14ac:dyDescent="0.3">
      <c r="B2077" s="236">
        <v>42615</v>
      </c>
      <c r="C2077" s="73"/>
      <c r="D2077" s="73"/>
      <c r="E2077" s="145">
        <v>11857.76</v>
      </c>
    </row>
    <row r="2078" spans="2:5" ht="16.5" x14ac:dyDescent="0.3">
      <c r="B2078" s="236">
        <v>42614</v>
      </c>
      <c r="C2078" s="73"/>
      <c r="D2078" s="73"/>
      <c r="E2078" s="145">
        <v>11810.69</v>
      </c>
    </row>
    <row r="2079" spans="2:5" ht="16.5" x14ac:dyDescent="0.3">
      <c r="B2079" s="236">
        <v>42613</v>
      </c>
      <c r="C2079" s="73"/>
      <c r="D2079" s="73"/>
      <c r="E2079" s="145">
        <v>11826.19</v>
      </c>
    </row>
    <row r="2080" spans="2:5" ht="16.5" x14ac:dyDescent="0.3">
      <c r="B2080" s="236">
        <v>42612</v>
      </c>
      <c r="C2080" s="73"/>
      <c r="D2080" s="73"/>
      <c r="E2080" s="145">
        <v>11766.04</v>
      </c>
    </row>
    <row r="2081" spans="2:5" ht="16.5" x14ac:dyDescent="0.3">
      <c r="B2081" s="236">
        <v>42611</v>
      </c>
      <c r="C2081" s="73"/>
      <c r="D2081" s="73"/>
      <c r="E2081" s="145">
        <v>11581.83</v>
      </c>
    </row>
    <row r="2082" spans="2:5" ht="16.5" x14ac:dyDescent="0.3">
      <c r="B2082" s="236">
        <v>42608</v>
      </c>
      <c r="C2082" s="73"/>
      <c r="D2082" s="73"/>
      <c r="E2082" s="145">
        <v>11534.92</v>
      </c>
    </row>
    <row r="2083" spans="2:5" ht="16.5" x14ac:dyDescent="0.3">
      <c r="B2083" s="236">
        <v>42607</v>
      </c>
      <c r="C2083" s="73"/>
      <c r="D2083" s="73"/>
      <c r="E2083" s="145">
        <v>11561.34</v>
      </c>
    </row>
    <row r="2084" spans="2:5" ht="16.5" x14ac:dyDescent="0.3">
      <c r="B2084" s="236">
        <v>42606</v>
      </c>
      <c r="C2084" s="73"/>
      <c r="D2084" s="73"/>
      <c r="E2084" s="145">
        <v>11639.48</v>
      </c>
    </row>
    <row r="2085" spans="2:5" ht="16.5" x14ac:dyDescent="0.3">
      <c r="B2085" s="236">
        <v>42605</v>
      </c>
      <c r="C2085" s="73"/>
      <c r="D2085" s="73"/>
      <c r="E2085" s="145">
        <v>11615.7</v>
      </c>
    </row>
    <row r="2086" spans="2:5" ht="16.5" x14ac:dyDescent="0.3">
      <c r="B2086" s="236">
        <v>42604</v>
      </c>
      <c r="C2086" s="73"/>
      <c r="D2086" s="73"/>
      <c r="E2086" s="145">
        <v>11611.02</v>
      </c>
    </row>
    <row r="2087" spans="2:5" ht="16.5" x14ac:dyDescent="0.3">
      <c r="B2087" s="236">
        <v>42601</v>
      </c>
      <c r="C2087" s="73"/>
      <c r="D2087" s="73"/>
      <c r="E2087" s="145">
        <v>11661.82</v>
      </c>
    </row>
    <row r="2088" spans="2:5" ht="16.5" x14ac:dyDescent="0.3">
      <c r="B2088" s="236">
        <v>42600</v>
      </c>
      <c r="C2088" s="73"/>
      <c r="D2088" s="73"/>
      <c r="E2088" s="145">
        <v>11670.37</v>
      </c>
    </row>
    <row r="2089" spans="2:5" ht="16.5" x14ac:dyDescent="0.3">
      <c r="B2089" s="236">
        <v>42599</v>
      </c>
      <c r="C2089" s="73"/>
      <c r="D2089" s="73"/>
      <c r="E2089" s="145">
        <v>11598.72</v>
      </c>
    </row>
    <row r="2090" spans="2:5" ht="16.5" x14ac:dyDescent="0.3">
      <c r="B2090" s="236">
        <v>42598</v>
      </c>
      <c r="C2090" s="73"/>
      <c r="D2090" s="73"/>
      <c r="E2090" s="145">
        <v>11623.61</v>
      </c>
    </row>
    <row r="2091" spans="2:5" ht="16.5" x14ac:dyDescent="0.3">
      <c r="B2091" s="236">
        <v>42594</v>
      </c>
      <c r="C2091" s="73"/>
      <c r="D2091" s="73"/>
      <c r="E2091" s="145">
        <v>11663.43</v>
      </c>
    </row>
    <row r="2092" spans="2:5" ht="16.5" x14ac:dyDescent="0.3">
      <c r="B2092" s="236">
        <v>42593</v>
      </c>
      <c r="C2092" s="73"/>
      <c r="D2092" s="73"/>
      <c r="E2092" s="145">
        <v>11555.84</v>
      </c>
    </row>
    <row r="2093" spans="2:5" ht="16.5" x14ac:dyDescent="0.3">
      <c r="B2093" s="236">
        <v>42592</v>
      </c>
      <c r="C2093" s="73"/>
      <c r="D2093" s="73"/>
      <c r="E2093" s="145">
        <v>11532.49</v>
      </c>
    </row>
    <row r="2094" spans="2:5" ht="16.5" x14ac:dyDescent="0.3">
      <c r="B2094" s="236">
        <v>42591</v>
      </c>
      <c r="C2094" s="73"/>
      <c r="D2094" s="73"/>
      <c r="E2094" s="145">
        <v>11669.7</v>
      </c>
    </row>
    <row r="2095" spans="2:5" ht="16.5" x14ac:dyDescent="0.3">
      <c r="B2095" s="236">
        <v>42590</v>
      </c>
      <c r="C2095" s="73"/>
      <c r="D2095" s="73"/>
      <c r="E2095" s="145">
        <v>11713.58</v>
      </c>
    </row>
    <row r="2096" spans="2:5" ht="16.5" x14ac:dyDescent="0.3">
      <c r="B2096" s="236">
        <v>42587</v>
      </c>
      <c r="C2096" s="73"/>
      <c r="D2096" s="73"/>
      <c r="E2096" s="145">
        <v>11675.68</v>
      </c>
    </row>
    <row r="2097" spans="2:5" ht="16.5" x14ac:dyDescent="0.3">
      <c r="B2097" s="236">
        <v>42586</v>
      </c>
      <c r="C2097" s="73"/>
      <c r="D2097" s="73"/>
      <c r="E2097" s="145">
        <v>11498.13</v>
      </c>
    </row>
    <row r="2098" spans="2:5" ht="16.5" x14ac:dyDescent="0.3">
      <c r="B2098" s="236">
        <v>42585</v>
      </c>
      <c r="C2098" s="73"/>
      <c r="D2098" s="73"/>
      <c r="E2098" s="145">
        <v>11489.74</v>
      </c>
    </row>
    <row r="2099" spans="2:5" ht="16.5" x14ac:dyDescent="0.3">
      <c r="B2099" s="236">
        <v>42584</v>
      </c>
      <c r="C2099" s="73"/>
      <c r="D2099" s="73"/>
      <c r="E2099" s="145">
        <v>11594.65</v>
      </c>
    </row>
    <row r="2100" spans="2:5" ht="16.5" x14ac:dyDescent="0.3">
      <c r="B2100" s="236">
        <v>42583</v>
      </c>
      <c r="C2100" s="73"/>
      <c r="D2100" s="73"/>
      <c r="E2100" s="145">
        <v>11612.19</v>
      </c>
    </row>
    <row r="2101" spans="2:5" ht="16.5" x14ac:dyDescent="0.3">
      <c r="B2101" s="236">
        <v>42580</v>
      </c>
      <c r="C2101" s="73"/>
      <c r="D2101" s="73"/>
      <c r="E2101" s="145">
        <v>11614.8</v>
      </c>
    </row>
    <row r="2102" spans="2:5" ht="16.5" x14ac:dyDescent="0.3">
      <c r="B2102" s="236">
        <v>42579</v>
      </c>
      <c r="C2102" s="73"/>
      <c r="D2102" s="73"/>
      <c r="E2102" s="145">
        <v>11652.18</v>
      </c>
    </row>
    <row r="2103" spans="2:5" ht="16.5" x14ac:dyDescent="0.3">
      <c r="B2103" s="236">
        <v>42578</v>
      </c>
      <c r="C2103" s="73"/>
      <c r="D2103" s="73"/>
      <c r="E2103" s="145">
        <v>11579.64</v>
      </c>
    </row>
    <row r="2104" spans="2:5" ht="16.5" x14ac:dyDescent="0.3">
      <c r="B2104" s="236">
        <v>42577</v>
      </c>
      <c r="C2104" s="73"/>
      <c r="D2104" s="73"/>
      <c r="E2104" s="145">
        <v>11545.78</v>
      </c>
    </row>
    <row r="2105" spans="2:5" ht="16.5" x14ac:dyDescent="0.3">
      <c r="B2105" s="236">
        <v>42576</v>
      </c>
      <c r="C2105" s="73"/>
      <c r="D2105" s="73"/>
      <c r="E2105" s="145">
        <v>11606.29</v>
      </c>
    </row>
    <row r="2106" spans="2:5" ht="16.5" x14ac:dyDescent="0.3">
      <c r="B2106" s="236">
        <v>42573</v>
      </c>
      <c r="C2106" s="73"/>
      <c r="D2106" s="73"/>
      <c r="E2106" s="145">
        <v>11477.47</v>
      </c>
    </row>
    <row r="2107" spans="2:5" ht="16.5" x14ac:dyDescent="0.3">
      <c r="B2107" s="236">
        <v>42572</v>
      </c>
      <c r="C2107" s="73"/>
      <c r="D2107" s="73"/>
      <c r="E2107" s="145">
        <v>11435.64</v>
      </c>
    </row>
    <row r="2108" spans="2:5" ht="16.5" x14ac:dyDescent="0.3">
      <c r="B2108" s="236">
        <v>42571</v>
      </c>
      <c r="C2108" s="73"/>
      <c r="D2108" s="73"/>
      <c r="E2108" s="145">
        <v>11508.07</v>
      </c>
    </row>
    <row r="2109" spans="2:5" ht="16.5" x14ac:dyDescent="0.3">
      <c r="B2109" s="236">
        <v>42570</v>
      </c>
      <c r="C2109" s="73"/>
      <c r="D2109" s="73"/>
      <c r="E2109" s="145">
        <v>11457.95</v>
      </c>
    </row>
    <row r="2110" spans="2:5" ht="16.5" x14ac:dyDescent="0.3">
      <c r="B2110" s="236">
        <v>42569</v>
      </c>
      <c r="C2110" s="73"/>
      <c r="D2110" s="73"/>
      <c r="E2110" s="145">
        <v>11431.25</v>
      </c>
    </row>
    <row r="2111" spans="2:5" ht="16.5" x14ac:dyDescent="0.3">
      <c r="B2111" s="236">
        <v>42566</v>
      </c>
      <c r="C2111" s="73"/>
      <c r="D2111" s="73"/>
      <c r="E2111" s="145">
        <v>11474.04</v>
      </c>
    </row>
    <row r="2112" spans="2:5" ht="16.5" x14ac:dyDescent="0.3">
      <c r="B2112" s="236">
        <v>42565</v>
      </c>
      <c r="C2112" s="73"/>
      <c r="D2112" s="73"/>
      <c r="E2112" s="145">
        <v>11497.65</v>
      </c>
    </row>
    <row r="2113" spans="2:5" ht="16.5" x14ac:dyDescent="0.3">
      <c r="B2113" s="236">
        <v>42564</v>
      </c>
      <c r="C2113" s="73"/>
      <c r="D2113" s="73"/>
      <c r="E2113" s="145">
        <v>11436.09</v>
      </c>
    </row>
    <row r="2114" spans="2:5" ht="16.5" x14ac:dyDescent="0.3">
      <c r="B2114" s="236">
        <v>42563</v>
      </c>
      <c r="C2114" s="73"/>
      <c r="D2114" s="73"/>
      <c r="E2114" s="145">
        <v>11438.19</v>
      </c>
    </row>
    <row r="2115" spans="2:5" ht="16.5" x14ac:dyDescent="0.3">
      <c r="B2115" s="236">
        <v>42562</v>
      </c>
      <c r="C2115" s="73"/>
      <c r="D2115" s="73"/>
      <c r="E2115" s="145">
        <v>11366.82</v>
      </c>
    </row>
    <row r="2116" spans="2:5" ht="16.5" x14ac:dyDescent="0.3">
      <c r="B2116" s="236">
        <v>42559</v>
      </c>
      <c r="C2116" s="73"/>
      <c r="D2116" s="73"/>
      <c r="E2116" s="145">
        <v>11172.39</v>
      </c>
    </row>
    <row r="2117" spans="2:5" ht="16.5" x14ac:dyDescent="0.3">
      <c r="B2117" s="236">
        <v>42558</v>
      </c>
      <c r="C2117" s="73"/>
      <c r="D2117" s="73"/>
      <c r="E2117" s="145">
        <v>11192.11</v>
      </c>
    </row>
    <row r="2118" spans="2:5" ht="16.5" x14ac:dyDescent="0.3">
      <c r="B2118" s="236">
        <v>42556</v>
      </c>
      <c r="C2118" s="73"/>
      <c r="D2118" s="73"/>
      <c r="E2118" s="145">
        <v>11186.41</v>
      </c>
    </row>
    <row r="2119" spans="2:5" ht="16.5" x14ac:dyDescent="0.3">
      <c r="B2119" s="236">
        <v>42555</v>
      </c>
      <c r="C2119" s="73"/>
      <c r="D2119" s="73"/>
      <c r="E2119" s="145">
        <v>11233.09</v>
      </c>
    </row>
    <row r="2120" spans="2:5" ht="16.5" x14ac:dyDescent="0.3">
      <c r="B2120" s="236">
        <v>42552</v>
      </c>
      <c r="C2120" s="73"/>
      <c r="D2120" s="73"/>
      <c r="E2120" s="145">
        <v>11175.85</v>
      </c>
    </row>
    <row r="2121" spans="2:5" ht="16.5" x14ac:dyDescent="0.3">
      <c r="B2121" s="236">
        <v>42551</v>
      </c>
      <c r="C2121" s="73"/>
      <c r="D2121" s="73"/>
      <c r="E2121" s="145">
        <v>11121.39</v>
      </c>
    </row>
    <row r="2122" spans="2:5" ht="16.5" x14ac:dyDescent="0.3">
      <c r="B2122" s="236">
        <v>42550</v>
      </c>
      <c r="C2122" s="73"/>
      <c r="D2122" s="73"/>
      <c r="E2122" s="145">
        <v>11009.02</v>
      </c>
    </row>
    <row r="2123" spans="2:5" ht="16.5" x14ac:dyDescent="0.3">
      <c r="B2123" s="236">
        <v>42549</v>
      </c>
      <c r="C2123" s="73"/>
      <c r="D2123" s="73"/>
      <c r="E2123" s="145">
        <v>10899.91</v>
      </c>
    </row>
    <row r="2124" spans="2:5" ht="16.5" x14ac:dyDescent="0.3">
      <c r="B2124" s="236">
        <v>42548</v>
      </c>
      <c r="C2124" s="73"/>
      <c r="D2124" s="73"/>
      <c r="E2124" s="145">
        <v>10855.5</v>
      </c>
    </row>
    <row r="2125" spans="2:5" ht="16.5" x14ac:dyDescent="0.3">
      <c r="B2125" s="236">
        <v>42545</v>
      </c>
      <c r="C2125" s="73"/>
      <c r="D2125" s="73"/>
      <c r="E2125" s="145">
        <v>10847.29</v>
      </c>
    </row>
    <row r="2126" spans="2:5" ht="16.5" x14ac:dyDescent="0.3">
      <c r="B2126" s="236">
        <v>42544</v>
      </c>
      <c r="C2126" s="73"/>
      <c r="D2126" s="73"/>
      <c r="E2126" s="145">
        <v>11091.16</v>
      </c>
    </row>
    <row r="2127" spans="2:5" ht="16.5" x14ac:dyDescent="0.3">
      <c r="B2127" s="236">
        <v>42543</v>
      </c>
      <c r="C2127" s="73"/>
      <c r="D2127" s="73"/>
      <c r="E2127" s="145">
        <v>11000.82</v>
      </c>
    </row>
    <row r="2128" spans="2:5" ht="16.5" x14ac:dyDescent="0.3">
      <c r="B2128" s="236">
        <v>42542</v>
      </c>
      <c r="C2128" s="73"/>
      <c r="D2128" s="73"/>
      <c r="E2128" s="145">
        <v>11020.11</v>
      </c>
    </row>
    <row r="2129" spans="2:5" ht="16.5" x14ac:dyDescent="0.3">
      <c r="B2129" s="236">
        <v>42541</v>
      </c>
      <c r="C2129" s="73"/>
      <c r="D2129" s="73"/>
      <c r="E2129" s="145">
        <v>11045.03</v>
      </c>
    </row>
    <row r="2130" spans="2:5" ht="16.5" x14ac:dyDescent="0.3">
      <c r="B2130" s="236">
        <v>42538</v>
      </c>
      <c r="C2130" s="73"/>
      <c r="D2130" s="73"/>
      <c r="E2130" s="145">
        <v>10953.44</v>
      </c>
    </row>
    <row r="2131" spans="2:5" ht="16.5" x14ac:dyDescent="0.3">
      <c r="B2131" s="236">
        <v>42537</v>
      </c>
      <c r="C2131" s="73"/>
      <c r="D2131" s="73"/>
      <c r="E2131" s="145">
        <v>10913.97</v>
      </c>
    </row>
    <row r="2132" spans="2:5" ht="16.5" x14ac:dyDescent="0.3">
      <c r="B2132" s="236">
        <v>42536</v>
      </c>
      <c r="C2132" s="73"/>
      <c r="D2132" s="73"/>
      <c r="E2132" s="145">
        <v>10990.64</v>
      </c>
    </row>
    <row r="2133" spans="2:5" ht="16.5" x14ac:dyDescent="0.3">
      <c r="B2133" s="236">
        <v>42535</v>
      </c>
      <c r="C2133" s="73"/>
      <c r="D2133" s="73"/>
      <c r="E2133" s="145">
        <v>10859.76</v>
      </c>
    </row>
    <row r="2134" spans="2:5" ht="16.5" x14ac:dyDescent="0.3">
      <c r="B2134" s="236">
        <v>42534</v>
      </c>
      <c r="C2134" s="73"/>
      <c r="D2134" s="73"/>
      <c r="E2134" s="145">
        <v>10862.06</v>
      </c>
    </row>
    <row r="2135" spans="2:5" ht="16.5" x14ac:dyDescent="0.3">
      <c r="B2135" s="236">
        <v>42531</v>
      </c>
      <c r="C2135" s="73"/>
      <c r="D2135" s="73"/>
      <c r="E2135" s="145">
        <v>10941.7</v>
      </c>
    </row>
    <row r="2136" spans="2:5" ht="16.5" x14ac:dyDescent="0.3">
      <c r="B2136" s="236">
        <v>42530</v>
      </c>
      <c r="C2136" s="73"/>
      <c r="D2136" s="73"/>
      <c r="E2136" s="145">
        <v>10986.64</v>
      </c>
    </row>
    <row r="2137" spans="2:5" ht="16.5" x14ac:dyDescent="0.3">
      <c r="B2137" s="236">
        <v>42529</v>
      </c>
      <c r="C2137" s="73"/>
      <c r="D2137" s="73"/>
      <c r="E2137" s="145">
        <v>11068.75</v>
      </c>
    </row>
    <row r="2138" spans="2:5" ht="16.5" x14ac:dyDescent="0.3">
      <c r="B2138" s="236">
        <v>42528</v>
      </c>
      <c r="C2138" s="73"/>
      <c r="D2138" s="73"/>
      <c r="E2138" s="145">
        <v>11059.93</v>
      </c>
    </row>
    <row r="2139" spans="2:5" ht="16.5" x14ac:dyDescent="0.3">
      <c r="B2139" s="236">
        <v>42527</v>
      </c>
      <c r="C2139" s="73"/>
      <c r="D2139" s="73"/>
      <c r="E2139" s="145">
        <v>10972.45</v>
      </c>
    </row>
    <row r="2140" spans="2:5" ht="16.5" x14ac:dyDescent="0.3">
      <c r="B2140" s="236">
        <v>42524</v>
      </c>
      <c r="C2140" s="73"/>
      <c r="D2140" s="73"/>
      <c r="E2140" s="145">
        <v>10992.21</v>
      </c>
    </row>
    <row r="2141" spans="2:5" ht="16.5" x14ac:dyDescent="0.3">
      <c r="B2141" s="236">
        <v>42523</v>
      </c>
      <c r="C2141" s="73"/>
      <c r="D2141" s="73"/>
      <c r="E2141" s="145">
        <v>10986.77</v>
      </c>
    </row>
    <row r="2142" spans="2:5" ht="16.5" x14ac:dyDescent="0.3">
      <c r="B2142" s="236">
        <v>42522</v>
      </c>
      <c r="C2142" s="73"/>
      <c r="D2142" s="73"/>
      <c r="E2142" s="145">
        <v>10934.62</v>
      </c>
    </row>
    <row r="2143" spans="2:5" ht="16.5" x14ac:dyDescent="0.3">
      <c r="B2143" s="236">
        <v>42521</v>
      </c>
      <c r="C2143" s="73"/>
      <c r="D2143" s="73"/>
      <c r="E2143" s="145">
        <v>10908.07</v>
      </c>
    </row>
    <row r="2144" spans="2:5" ht="16.5" x14ac:dyDescent="0.3">
      <c r="B2144" s="236">
        <v>42520</v>
      </c>
      <c r="C2144" s="73"/>
      <c r="D2144" s="73"/>
      <c r="E2144" s="145">
        <v>10932.7</v>
      </c>
    </row>
    <row r="2145" spans="2:5" ht="16.5" x14ac:dyDescent="0.3">
      <c r="B2145" s="236">
        <v>42517</v>
      </c>
      <c r="C2145" s="73"/>
      <c r="D2145" s="73"/>
      <c r="E2145" s="145">
        <v>10884.88</v>
      </c>
    </row>
    <row r="2146" spans="2:5" ht="16.5" x14ac:dyDescent="0.3">
      <c r="B2146" s="236">
        <v>42516</v>
      </c>
      <c r="C2146" s="73"/>
      <c r="D2146" s="73"/>
      <c r="E2146" s="145">
        <v>10768.78</v>
      </c>
    </row>
    <row r="2147" spans="2:5" ht="16.5" x14ac:dyDescent="0.3">
      <c r="B2147" s="236">
        <v>42515</v>
      </c>
      <c r="C2147" s="73"/>
      <c r="D2147" s="73"/>
      <c r="E2147" s="145">
        <v>10588.92</v>
      </c>
    </row>
    <row r="2148" spans="2:5" ht="16.5" x14ac:dyDescent="0.3">
      <c r="B2148" s="236">
        <v>42514</v>
      </c>
      <c r="C2148" s="73"/>
      <c r="D2148" s="73"/>
      <c r="E2148" s="145">
        <v>10340.65</v>
      </c>
    </row>
    <row r="2149" spans="2:5" ht="16.5" x14ac:dyDescent="0.3">
      <c r="B2149" s="236">
        <v>42513</v>
      </c>
      <c r="C2149" s="73"/>
      <c r="D2149" s="73"/>
      <c r="E2149" s="145">
        <v>10316.91</v>
      </c>
    </row>
    <row r="2150" spans="2:5" ht="16.5" x14ac:dyDescent="0.3">
      <c r="B2150" s="236">
        <v>42510</v>
      </c>
      <c r="C2150" s="73"/>
      <c r="D2150" s="73"/>
      <c r="E2150" s="145">
        <v>10341.790000000001</v>
      </c>
    </row>
    <row r="2151" spans="2:5" ht="16.5" x14ac:dyDescent="0.3">
      <c r="B2151" s="236">
        <v>42509</v>
      </c>
      <c r="C2151" s="73"/>
      <c r="D2151" s="73"/>
      <c r="E2151" s="145">
        <v>10386.75</v>
      </c>
    </row>
    <row r="2152" spans="2:5" ht="16.5" x14ac:dyDescent="0.3">
      <c r="B2152" s="236">
        <v>42508</v>
      </c>
      <c r="C2152" s="73"/>
      <c r="D2152" s="73"/>
      <c r="E2152" s="145">
        <v>10502.51</v>
      </c>
    </row>
    <row r="2153" spans="2:5" ht="16.5" x14ac:dyDescent="0.3">
      <c r="B2153" s="236">
        <v>42507</v>
      </c>
      <c r="C2153" s="73"/>
      <c r="D2153" s="73"/>
      <c r="E2153" s="145">
        <v>10530.03</v>
      </c>
    </row>
    <row r="2154" spans="2:5" ht="16.5" x14ac:dyDescent="0.3">
      <c r="B2154" s="236">
        <v>42506</v>
      </c>
      <c r="C2154" s="73"/>
      <c r="D2154" s="73"/>
      <c r="E2154" s="145">
        <v>10489.97</v>
      </c>
    </row>
    <row r="2155" spans="2:5" ht="16.5" x14ac:dyDescent="0.3">
      <c r="B2155" s="236">
        <v>42503</v>
      </c>
      <c r="C2155" s="73"/>
      <c r="D2155" s="73"/>
      <c r="E2155" s="145">
        <v>10428.780000000001</v>
      </c>
    </row>
    <row r="2156" spans="2:5" ht="16.5" x14ac:dyDescent="0.3">
      <c r="B2156" s="236">
        <v>42502</v>
      </c>
      <c r="C2156" s="73"/>
      <c r="D2156" s="73"/>
      <c r="E2156" s="145">
        <v>10542.93</v>
      </c>
    </row>
    <row r="2157" spans="2:5" ht="16.5" x14ac:dyDescent="0.3">
      <c r="B2157" s="236">
        <v>42501</v>
      </c>
      <c r="C2157" s="73"/>
      <c r="D2157" s="73"/>
      <c r="E2157" s="145">
        <v>10474.1</v>
      </c>
    </row>
    <row r="2158" spans="2:5" ht="16.5" x14ac:dyDescent="0.3">
      <c r="B2158" s="236">
        <v>42500</v>
      </c>
      <c r="C2158" s="73"/>
      <c r="D2158" s="73"/>
      <c r="E2158" s="145">
        <v>10526.11</v>
      </c>
    </row>
    <row r="2159" spans="2:5" ht="16.5" x14ac:dyDescent="0.3">
      <c r="B2159" s="236">
        <v>42499</v>
      </c>
      <c r="C2159" s="73"/>
      <c r="D2159" s="73"/>
      <c r="E2159" s="145">
        <v>10497.09</v>
      </c>
    </row>
    <row r="2160" spans="2:5" ht="16.5" x14ac:dyDescent="0.3">
      <c r="B2160" s="236">
        <v>42496</v>
      </c>
      <c r="C2160" s="73"/>
      <c r="D2160" s="73"/>
      <c r="E2160" s="145">
        <v>10320.120000000001</v>
      </c>
    </row>
    <row r="2161" spans="2:5" ht="16.5" x14ac:dyDescent="0.3">
      <c r="B2161" s="236">
        <v>42495</v>
      </c>
      <c r="C2161" s="73"/>
      <c r="D2161" s="73"/>
      <c r="E2161" s="145">
        <v>10322.82</v>
      </c>
    </row>
    <row r="2162" spans="2:5" ht="16.5" x14ac:dyDescent="0.3">
      <c r="B2162" s="236">
        <v>42494</v>
      </c>
      <c r="C2162" s="73"/>
      <c r="D2162" s="73"/>
      <c r="E2162" s="145">
        <v>10283.01</v>
      </c>
    </row>
    <row r="2163" spans="2:5" ht="16.5" x14ac:dyDescent="0.3">
      <c r="B2163" s="236">
        <v>42493</v>
      </c>
      <c r="C2163" s="73"/>
      <c r="D2163" s="73"/>
      <c r="E2163" s="145">
        <v>10336.969999999999</v>
      </c>
    </row>
    <row r="2164" spans="2:5" ht="16.5" x14ac:dyDescent="0.3">
      <c r="B2164" s="236">
        <v>42492</v>
      </c>
      <c r="C2164" s="73"/>
      <c r="D2164" s="73"/>
      <c r="E2164" s="145">
        <v>10415.52</v>
      </c>
    </row>
    <row r="2165" spans="2:5" ht="16.5" x14ac:dyDescent="0.3">
      <c r="B2165" s="236">
        <v>42489</v>
      </c>
      <c r="C2165" s="73"/>
      <c r="D2165" s="73"/>
      <c r="E2165" s="145">
        <v>10474.15</v>
      </c>
    </row>
    <row r="2166" spans="2:5" ht="16.5" x14ac:dyDescent="0.3">
      <c r="B2166" s="236">
        <v>42488</v>
      </c>
      <c r="C2166" s="73"/>
      <c r="D2166" s="73"/>
      <c r="E2166" s="145">
        <v>10470.709999999999</v>
      </c>
    </row>
    <row r="2167" spans="2:5" ht="16.5" x14ac:dyDescent="0.3">
      <c r="B2167" s="236">
        <v>42487</v>
      </c>
      <c r="C2167" s="73"/>
      <c r="D2167" s="73"/>
      <c r="E2167" s="145">
        <v>10647.74</v>
      </c>
    </row>
    <row r="2168" spans="2:5" ht="16.5" x14ac:dyDescent="0.3">
      <c r="B2168" s="236">
        <v>42486</v>
      </c>
      <c r="C2168" s="73"/>
      <c r="D2168" s="73"/>
      <c r="E2168" s="145">
        <v>10624.72</v>
      </c>
    </row>
    <row r="2169" spans="2:5" ht="16.5" x14ac:dyDescent="0.3">
      <c r="B2169" s="236">
        <v>42485</v>
      </c>
      <c r="C2169" s="73"/>
      <c r="D2169" s="73"/>
      <c r="E2169" s="145">
        <v>10481.120000000001</v>
      </c>
    </row>
    <row r="2170" spans="2:5" ht="16.5" x14ac:dyDescent="0.3">
      <c r="B2170" s="236">
        <v>42482</v>
      </c>
      <c r="C2170" s="73"/>
      <c r="D2170" s="73"/>
      <c r="E2170" s="145">
        <v>10540.19</v>
      </c>
    </row>
    <row r="2171" spans="2:5" ht="16.5" x14ac:dyDescent="0.3">
      <c r="B2171" s="236">
        <v>42481</v>
      </c>
      <c r="C2171" s="73"/>
      <c r="D2171" s="73"/>
      <c r="E2171" s="145">
        <v>10557.22</v>
      </c>
    </row>
    <row r="2172" spans="2:5" ht="16.5" x14ac:dyDescent="0.3">
      <c r="B2172" s="236">
        <v>42480</v>
      </c>
      <c r="C2172" s="73"/>
      <c r="D2172" s="73"/>
      <c r="E2172" s="145">
        <v>10560.79</v>
      </c>
    </row>
    <row r="2173" spans="2:5" ht="16.5" x14ac:dyDescent="0.3">
      <c r="B2173" s="236">
        <v>42478</v>
      </c>
      <c r="C2173" s="73"/>
      <c r="D2173" s="73"/>
      <c r="E2173" s="145">
        <v>10560.74</v>
      </c>
    </row>
    <row r="2174" spans="2:5" ht="16.5" x14ac:dyDescent="0.3">
      <c r="B2174" s="236">
        <v>42473</v>
      </c>
      <c r="C2174" s="73"/>
      <c r="D2174" s="73"/>
      <c r="E2174" s="145">
        <v>10475.02</v>
      </c>
    </row>
    <row r="2175" spans="2:5" ht="16.5" x14ac:dyDescent="0.3">
      <c r="B2175" s="236">
        <v>42472</v>
      </c>
      <c r="C2175" s="73"/>
      <c r="D2175" s="73"/>
      <c r="E2175" s="145">
        <v>10286.18</v>
      </c>
    </row>
    <row r="2176" spans="2:5" ht="16.5" x14ac:dyDescent="0.3">
      <c r="B2176" s="236">
        <v>42471</v>
      </c>
      <c r="C2176" s="73"/>
      <c r="D2176" s="73"/>
      <c r="E2176" s="145">
        <v>10236.11</v>
      </c>
    </row>
    <row r="2177" spans="2:5" ht="16.5" x14ac:dyDescent="0.3">
      <c r="B2177" s="236">
        <v>42468</v>
      </c>
      <c r="C2177" s="73"/>
      <c r="D2177" s="73"/>
      <c r="E2177" s="145">
        <v>10081.01</v>
      </c>
    </row>
    <row r="2178" spans="2:5" ht="16.5" x14ac:dyDescent="0.3">
      <c r="B2178" s="236">
        <v>42467</v>
      </c>
      <c r="C2178" s="73"/>
      <c r="D2178" s="73"/>
      <c r="E2178" s="145">
        <v>10069.36</v>
      </c>
    </row>
    <row r="2179" spans="2:5" ht="16.5" x14ac:dyDescent="0.3">
      <c r="B2179" s="236">
        <v>42466</v>
      </c>
      <c r="C2179" s="73"/>
      <c r="D2179" s="73"/>
      <c r="E2179" s="145">
        <v>10159.98</v>
      </c>
    </row>
    <row r="2180" spans="2:5" ht="16.5" x14ac:dyDescent="0.3">
      <c r="B2180" s="236">
        <v>42465</v>
      </c>
      <c r="C2180" s="73"/>
      <c r="D2180" s="73"/>
      <c r="E2180" s="145">
        <v>10145.1</v>
      </c>
    </row>
    <row r="2181" spans="2:5" ht="16.5" x14ac:dyDescent="0.3">
      <c r="B2181" s="236">
        <v>42464</v>
      </c>
      <c r="C2181" s="73"/>
      <c r="D2181" s="73"/>
      <c r="E2181" s="145">
        <v>10352.69</v>
      </c>
    </row>
    <row r="2182" spans="2:5" ht="16.5" x14ac:dyDescent="0.3">
      <c r="B2182" s="236">
        <v>42461</v>
      </c>
      <c r="C2182" s="73"/>
      <c r="D2182" s="73"/>
      <c r="E2182" s="145">
        <v>10291.69</v>
      </c>
    </row>
    <row r="2183" spans="2:5" ht="16.5" x14ac:dyDescent="0.3">
      <c r="B2183" s="236">
        <v>42460</v>
      </c>
      <c r="C2183" s="73"/>
      <c r="D2183" s="73"/>
      <c r="E2183" s="145">
        <v>10325.5</v>
      </c>
    </row>
    <row r="2184" spans="2:5" ht="16.5" x14ac:dyDescent="0.3">
      <c r="B2184" s="236">
        <v>42459</v>
      </c>
      <c r="C2184" s="73"/>
      <c r="D2184" s="73"/>
      <c r="E2184" s="145">
        <v>10321.200000000001</v>
      </c>
    </row>
    <row r="2185" spans="2:5" ht="16.5" x14ac:dyDescent="0.3">
      <c r="B2185" s="236">
        <v>42458</v>
      </c>
      <c r="C2185" s="73"/>
      <c r="D2185" s="73"/>
      <c r="E2185" s="145">
        <v>10135.49</v>
      </c>
    </row>
    <row r="2186" spans="2:5" ht="16.5" x14ac:dyDescent="0.3">
      <c r="B2186" s="236">
        <v>42457</v>
      </c>
      <c r="C2186" s="73"/>
      <c r="D2186" s="73"/>
      <c r="E2186" s="145">
        <v>10159.66</v>
      </c>
    </row>
    <row r="2187" spans="2:5" ht="16.5" x14ac:dyDescent="0.3">
      <c r="B2187" s="236">
        <v>42452</v>
      </c>
      <c r="C2187" s="73"/>
      <c r="D2187" s="73"/>
      <c r="E2187" s="145">
        <v>10294.93</v>
      </c>
    </row>
    <row r="2188" spans="2:5" ht="16.5" x14ac:dyDescent="0.3">
      <c r="B2188" s="236">
        <v>42451</v>
      </c>
      <c r="C2188" s="73"/>
      <c r="D2188" s="73"/>
      <c r="E2188" s="145">
        <v>10292.77</v>
      </c>
    </row>
    <row r="2189" spans="2:5" ht="16.5" x14ac:dyDescent="0.3">
      <c r="B2189" s="236">
        <v>42450</v>
      </c>
      <c r="C2189" s="73"/>
      <c r="D2189" s="73"/>
      <c r="E2189" s="145">
        <v>10278.299999999999</v>
      </c>
    </row>
    <row r="2190" spans="2:5" ht="16.5" x14ac:dyDescent="0.3">
      <c r="B2190" s="236">
        <v>42447</v>
      </c>
      <c r="C2190" s="73"/>
      <c r="D2190" s="73"/>
      <c r="E2190" s="145">
        <v>10143.6</v>
      </c>
    </row>
    <row r="2191" spans="2:5" ht="16.5" x14ac:dyDescent="0.3">
      <c r="B2191" s="236">
        <v>42446</v>
      </c>
      <c r="C2191" s="73"/>
      <c r="D2191" s="73"/>
      <c r="E2191" s="145">
        <v>10021.129999999999</v>
      </c>
    </row>
    <row r="2192" spans="2:5" ht="16.5" x14ac:dyDescent="0.3">
      <c r="B2192" s="236">
        <v>42445</v>
      </c>
      <c r="C2192" s="73"/>
      <c r="D2192" s="73"/>
      <c r="E2192" s="145">
        <v>9997.9</v>
      </c>
    </row>
    <row r="2193" spans="2:5" ht="16.5" x14ac:dyDescent="0.3">
      <c r="B2193" s="236">
        <v>42444</v>
      </c>
      <c r="C2193" s="73"/>
      <c r="D2193" s="73"/>
      <c r="E2193" s="145">
        <v>9944.76</v>
      </c>
    </row>
    <row r="2194" spans="2:5" ht="16.5" x14ac:dyDescent="0.3">
      <c r="B2194" s="236">
        <v>42443</v>
      </c>
      <c r="C2194" s="73"/>
      <c r="D2194" s="73"/>
      <c r="E2194" s="145">
        <v>10048.89</v>
      </c>
    </row>
    <row r="2195" spans="2:5" ht="16.5" x14ac:dyDescent="0.3">
      <c r="B2195" s="236">
        <v>42440</v>
      </c>
      <c r="C2195" s="73"/>
      <c r="D2195" s="73"/>
      <c r="E2195" s="145">
        <v>10001.18</v>
      </c>
    </row>
    <row r="2196" spans="2:5" ht="16.5" x14ac:dyDescent="0.3">
      <c r="B2196" s="236">
        <v>42439</v>
      </c>
      <c r="C2196" s="73"/>
      <c r="D2196" s="73"/>
      <c r="E2196" s="145">
        <v>9969.15</v>
      </c>
    </row>
    <row r="2197" spans="2:5" ht="16.5" x14ac:dyDescent="0.3">
      <c r="B2197" s="236">
        <v>42438</v>
      </c>
      <c r="C2197" s="73"/>
      <c r="D2197" s="73"/>
      <c r="E2197" s="145">
        <v>10029.959999999999</v>
      </c>
    </row>
    <row r="2198" spans="2:5" ht="16.5" x14ac:dyDescent="0.3">
      <c r="B2198" s="236">
        <v>42437</v>
      </c>
      <c r="C2198" s="73"/>
      <c r="D2198" s="73"/>
      <c r="E2198" s="145">
        <v>9967.99</v>
      </c>
    </row>
    <row r="2199" spans="2:5" ht="16.5" x14ac:dyDescent="0.3">
      <c r="B2199" s="236">
        <v>42433</v>
      </c>
      <c r="C2199" s="73"/>
      <c r="D2199" s="73"/>
      <c r="E2199" s="145">
        <v>9968.09</v>
      </c>
    </row>
    <row r="2200" spans="2:5" ht="16.5" x14ac:dyDescent="0.3">
      <c r="B2200" s="236">
        <v>42432</v>
      </c>
      <c r="C2200" s="73"/>
      <c r="D2200" s="73"/>
      <c r="E2200" s="145">
        <v>9955.1</v>
      </c>
    </row>
    <row r="2201" spans="2:5" ht="16.5" x14ac:dyDescent="0.3">
      <c r="B2201" s="236">
        <v>42431</v>
      </c>
      <c r="C2201" s="73"/>
      <c r="D2201" s="73"/>
      <c r="E2201" s="145">
        <v>9812.68</v>
      </c>
    </row>
    <row r="2202" spans="2:5" ht="16.5" x14ac:dyDescent="0.3">
      <c r="B2202" s="236">
        <v>42430</v>
      </c>
      <c r="C2202" s="73"/>
      <c r="D2202" s="73"/>
      <c r="E2202" s="145">
        <v>9617.51</v>
      </c>
    </row>
    <row r="2203" spans="2:5" ht="16.5" x14ac:dyDescent="0.3">
      <c r="B2203" s="236">
        <v>42429</v>
      </c>
      <c r="C2203" s="73"/>
      <c r="D2203" s="73"/>
      <c r="E2203" s="145">
        <v>9304.26</v>
      </c>
    </row>
    <row r="2204" spans="2:5" ht="16.5" x14ac:dyDescent="0.3">
      <c r="B2204" s="236">
        <v>42426</v>
      </c>
      <c r="C2204" s="73"/>
      <c r="D2204" s="73"/>
      <c r="E2204" s="145">
        <v>9361.1</v>
      </c>
    </row>
    <row r="2205" spans="2:5" ht="16.5" x14ac:dyDescent="0.3">
      <c r="B2205" s="236">
        <v>42425</v>
      </c>
      <c r="C2205" s="73"/>
      <c r="D2205" s="73"/>
      <c r="E2205" s="145">
        <v>9282.3799999999992</v>
      </c>
    </row>
    <row r="2206" spans="2:5" ht="16.5" x14ac:dyDescent="0.3">
      <c r="B2206" s="236">
        <v>42424</v>
      </c>
      <c r="C2206" s="73"/>
      <c r="D2206" s="73"/>
      <c r="E2206" s="145">
        <v>9346.39</v>
      </c>
    </row>
    <row r="2207" spans="2:5" ht="16.5" x14ac:dyDescent="0.3">
      <c r="B2207" s="236">
        <v>42423</v>
      </c>
      <c r="C2207" s="73"/>
      <c r="D2207" s="73"/>
      <c r="E2207" s="145">
        <v>9467.41</v>
      </c>
    </row>
    <row r="2208" spans="2:5" ht="16.5" x14ac:dyDescent="0.3">
      <c r="B2208" s="236">
        <v>42422</v>
      </c>
      <c r="C2208" s="73"/>
      <c r="D2208" s="73"/>
      <c r="E2208" s="145">
        <v>9633.83</v>
      </c>
    </row>
    <row r="2209" spans="2:5" ht="16.5" x14ac:dyDescent="0.3">
      <c r="B2209" s="236">
        <v>42419</v>
      </c>
      <c r="C2209" s="73"/>
      <c r="D2209" s="73"/>
      <c r="E2209" s="145">
        <v>9601.77</v>
      </c>
    </row>
    <row r="2210" spans="2:5" ht="16.5" x14ac:dyDescent="0.3">
      <c r="B2210" s="236">
        <v>42418</v>
      </c>
      <c r="C2210" s="73"/>
      <c r="D2210" s="73"/>
      <c r="E2210" s="145">
        <v>9576.4599999999991</v>
      </c>
    </row>
    <row r="2211" spans="2:5" ht="16.5" x14ac:dyDescent="0.3">
      <c r="B2211" s="236">
        <v>42417</v>
      </c>
      <c r="C2211" s="73"/>
      <c r="D2211" s="73"/>
      <c r="E2211" s="145">
        <v>9465.52</v>
      </c>
    </row>
    <row r="2212" spans="2:5" ht="16.5" x14ac:dyDescent="0.3">
      <c r="B2212" s="236">
        <v>42416</v>
      </c>
      <c r="C2212" s="73"/>
      <c r="D2212" s="73"/>
      <c r="E2212" s="145">
        <v>9385.36</v>
      </c>
    </row>
    <row r="2213" spans="2:5" ht="16.5" x14ac:dyDescent="0.3">
      <c r="B2213" s="236">
        <v>42415</v>
      </c>
      <c r="C2213" s="73"/>
      <c r="D2213" s="73"/>
      <c r="E2213" s="145">
        <v>9537.74</v>
      </c>
    </row>
    <row r="2214" spans="2:5" ht="16.5" x14ac:dyDescent="0.3">
      <c r="B2214" s="236">
        <v>42412</v>
      </c>
      <c r="C2214" s="73"/>
      <c r="D2214" s="73"/>
      <c r="E2214" s="145">
        <v>9295.41</v>
      </c>
    </row>
    <row r="2215" spans="2:5" ht="16.5" x14ac:dyDescent="0.3">
      <c r="B2215" s="236">
        <v>42411</v>
      </c>
      <c r="C2215" s="73"/>
      <c r="D2215" s="73"/>
      <c r="E2215" s="145">
        <v>9289.2900000000009</v>
      </c>
    </row>
    <row r="2216" spans="2:5" ht="16.5" x14ac:dyDescent="0.3">
      <c r="B2216" s="236">
        <v>42410</v>
      </c>
      <c r="C2216" s="73"/>
      <c r="D2216" s="73"/>
      <c r="E2216" s="145">
        <v>9607.98</v>
      </c>
    </row>
    <row r="2217" spans="2:5" ht="16.5" x14ac:dyDescent="0.3">
      <c r="B2217" s="236">
        <v>42409</v>
      </c>
      <c r="C2217" s="73"/>
      <c r="D2217" s="73"/>
      <c r="E2217" s="145">
        <v>9717.8700000000008</v>
      </c>
    </row>
    <row r="2218" spans="2:5" ht="16.5" x14ac:dyDescent="0.3">
      <c r="B2218" s="236">
        <v>42408</v>
      </c>
      <c r="C2218" s="73"/>
      <c r="D2218" s="73"/>
      <c r="E2218" s="145">
        <v>9836.41</v>
      </c>
    </row>
    <row r="2219" spans="2:5" ht="16.5" x14ac:dyDescent="0.3">
      <c r="B2219" s="236">
        <v>42405</v>
      </c>
      <c r="C2219" s="73"/>
      <c r="D2219" s="73"/>
      <c r="E2219" s="145">
        <v>9972.0499999999993</v>
      </c>
    </row>
    <row r="2220" spans="2:5" ht="16.5" x14ac:dyDescent="0.3">
      <c r="B2220" s="236">
        <v>42404</v>
      </c>
      <c r="C2220" s="73"/>
      <c r="D2220" s="73"/>
      <c r="E2220" s="145">
        <v>9857.82</v>
      </c>
    </row>
    <row r="2221" spans="2:5" ht="16.5" x14ac:dyDescent="0.3">
      <c r="B2221" s="236">
        <v>42403</v>
      </c>
      <c r="C2221" s="73"/>
      <c r="D2221" s="73"/>
      <c r="E2221" s="145">
        <v>9801.6200000000008</v>
      </c>
    </row>
    <row r="2222" spans="2:5" ht="16.5" x14ac:dyDescent="0.3">
      <c r="B2222" s="236">
        <v>42402</v>
      </c>
      <c r="C2222" s="73"/>
      <c r="D2222" s="73"/>
      <c r="E2222" s="145">
        <v>9925.98</v>
      </c>
    </row>
    <row r="2223" spans="2:5" ht="16.5" x14ac:dyDescent="0.3">
      <c r="B2223" s="236">
        <v>42401</v>
      </c>
      <c r="C2223" s="73"/>
      <c r="D2223" s="73"/>
      <c r="E2223" s="145">
        <v>10058.69</v>
      </c>
    </row>
    <row r="2224" spans="2:5" ht="16.5" x14ac:dyDescent="0.3">
      <c r="B2224" s="236">
        <v>42398</v>
      </c>
      <c r="C2224" s="73"/>
      <c r="D2224" s="73"/>
      <c r="E2224" s="145">
        <v>10068.86</v>
      </c>
    </row>
    <row r="2225" spans="2:5" ht="16.5" x14ac:dyDescent="0.3">
      <c r="B2225" s="236">
        <v>42397</v>
      </c>
      <c r="C2225" s="73"/>
      <c r="D2225" s="73"/>
      <c r="E2225" s="145">
        <v>9883.94</v>
      </c>
    </row>
    <row r="2226" spans="2:5" ht="16.5" x14ac:dyDescent="0.3">
      <c r="B2226" s="236">
        <v>42396</v>
      </c>
      <c r="C2226" s="73"/>
      <c r="D2226" s="73"/>
      <c r="E2226" s="145">
        <v>9901.35</v>
      </c>
    </row>
    <row r="2227" spans="2:5" ht="16.5" x14ac:dyDescent="0.3">
      <c r="B2227" s="236">
        <v>42394</v>
      </c>
      <c r="C2227" s="73"/>
      <c r="D2227" s="73"/>
      <c r="E2227" s="145">
        <v>9898.2800000000007</v>
      </c>
    </row>
    <row r="2228" spans="2:5" ht="16.5" x14ac:dyDescent="0.3">
      <c r="B2228" s="236">
        <v>42391</v>
      </c>
      <c r="C2228" s="73"/>
      <c r="D2228" s="73"/>
      <c r="E2228" s="145">
        <v>9879.1299999999992</v>
      </c>
    </row>
    <row r="2229" spans="2:5" ht="16.5" x14ac:dyDescent="0.3">
      <c r="B2229" s="236">
        <v>42390</v>
      </c>
      <c r="C2229" s="73"/>
      <c r="D2229" s="73"/>
      <c r="E2229" s="145">
        <v>9685.2900000000009</v>
      </c>
    </row>
    <row r="2230" spans="2:5" ht="16.5" x14ac:dyDescent="0.3">
      <c r="B2230" s="236">
        <v>42389</v>
      </c>
      <c r="C2230" s="73"/>
      <c r="D2230" s="73"/>
      <c r="E2230" s="145">
        <v>9727.77</v>
      </c>
    </row>
    <row r="2231" spans="2:5" ht="16.5" x14ac:dyDescent="0.3">
      <c r="B2231" s="236">
        <v>42388</v>
      </c>
      <c r="C2231" s="73"/>
      <c r="D2231" s="73"/>
      <c r="E2231" s="145">
        <v>9895.18</v>
      </c>
    </row>
    <row r="2232" spans="2:5" ht="16.5" x14ac:dyDescent="0.3">
      <c r="B2232" s="236">
        <v>42387</v>
      </c>
      <c r="C2232" s="73"/>
      <c r="D2232" s="73"/>
      <c r="E2232" s="145">
        <v>9783.26</v>
      </c>
    </row>
    <row r="2233" spans="2:5" ht="16.5" x14ac:dyDescent="0.3">
      <c r="B2233" s="236">
        <v>42384</v>
      </c>
      <c r="C2233" s="73"/>
      <c r="D2233" s="73"/>
      <c r="E2233" s="145">
        <v>9898.7999999999993</v>
      </c>
    </row>
    <row r="2234" spans="2:5" ht="16.5" x14ac:dyDescent="0.3">
      <c r="B2234" s="236">
        <v>42383</v>
      </c>
      <c r="C2234" s="73"/>
      <c r="D2234" s="73"/>
      <c r="E2234" s="145">
        <v>10030.530000000001</v>
      </c>
    </row>
    <row r="2235" spans="2:5" ht="16.5" x14ac:dyDescent="0.3">
      <c r="B2235" s="236">
        <v>42382</v>
      </c>
      <c r="C2235" s="73"/>
      <c r="D2235" s="73"/>
      <c r="E2235" s="145">
        <v>10064.620000000001</v>
      </c>
    </row>
    <row r="2236" spans="2:5" ht="16.5" x14ac:dyDescent="0.3">
      <c r="B2236" s="236">
        <v>42381</v>
      </c>
      <c r="C2236" s="73"/>
      <c r="D2236" s="73"/>
      <c r="E2236" s="145">
        <v>9995.25</v>
      </c>
    </row>
    <row r="2237" spans="2:5" ht="16.5" x14ac:dyDescent="0.3">
      <c r="B2237" s="236">
        <v>42380</v>
      </c>
      <c r="C2237" s="73"/>
      <c r="D2237" s="73"/>
      <c r="E2237" s="145">
        <v>10066.57</v>
      </c>
    </row>
    <row r="2238" spans="2:5" ht="16.5" x14ac:dyDescent="0.3">
      <c r="B2238" s="236">
        <v>42377</v>
      </c>
      <c r="C2238" s="73"/>
      <c r="D2238" s="73"/>
      <c r="E2238" s="145">
        <v>10116.450000000001</v>
      </c>
    </row>
    <row r="2239" spans="2:5" ht="16.5" x14ac:dyDescent="0.3">
      <c r="B2239" s="236">
        <v>42376</v>
      </c>
      <c r="C2239" s="73"/>
      <c r="D2239" s="73"/>
      <c r="E2239" s="145">
        <v>10072.450000000001</v>
      </c>
    </row>
    <row r="2240" spans="2:5" ht="16.5" x14ac:dyDescent="0.3">
      <c r="B2240" s="236">
        <v>42375</v>
      </c>
      <c r="C2240" s="73"/>
      <c r="D2240" s="73"/>
      <c r="E2240" s="145">
        <v>10302.32</v>
      </c>
    </row>
    <row r="2241" spans="2:5" ht="16.5" x14ac:dyDescent="0.3">
      <c r="B2241" s="236">
        <v>42374</v>
      </c>
      <c r="C2241" s="73"/>
      <c r="D2241" s="73"/>
      <c r="E2241" s="145">
        <v>10360.42</v>
      </c>
    </row>
    <row r="2242" spans="2:5" ht="16.5" x14ac:dyDescent="0.3">
      <c r="B2242" s="236">
        <v>42373</v>
      </c>
      <c r="C2242" s="73"/>
      <c r="D2242" s="73"/>
      <c r="E2242" s="145">
        <v>10369.24</v>
      </c>
    </row>
    <row r="2243" spans="2:5" ht="16.5" x14ac:dyDescent="0.3">
      <c r="B2243" s="236">
        <v>42370</v>
      </c>
      <c r="C2243" s="73"/>
      <c r="D2243" s="73"/>
      <c r="E2243" s="145">
        <v>10598</v>
      </c>
    </row>
    <row r="2244" spans="2:5" ht="16.5" x14ac:dyDescent="0.3">
      <c r="B2244" s="236">
        <v>42369</v>
      </c>
      <c r="C2244" s="73"/>
      <c r="D2244" s="73"/>
      <c r="E2244" s="145">
        <v>10575.63</v>
      </c>
    </row>
    <row r="2245" spans="2:5" ht="16.5" x14ac:dyDescent="0.3">
      <c r="B2245" s="236">
        <v>42368</v>
      </c>
      <c r="C2245" s="73"/>
      <c r="D2245" s="73"/>
      <c r="E2245" s="145">
        <v>10508.91</v>
      </c>
    </row>
    <row r="2246" spans="2:5" ht="16.5" x14ac:dyDescent="0.3">
      <c r="B2246" s="236">
        <v>42367</v>
      </c>
      <c r="C2246" s="73"/>
      <c r="D2246" s="73"/>
      <c r="E2246" s="145">
        <v>10552.46</v>
      </c>
    </row>
    <row r="2247" spans="2:5" ht="16.5" x14ac:dyDescent="0.3">
      <c r="B2247" s="236">
        <v>42366</v>
      </c>
      <c r="C2247" s="73"/>
      <c r="D2247" s="73"/>
      <c r="E2247" s="145">
        <v>10547.37</v>
      </c>
    </row>
    <row r="2248" spans="2:5" ht="16.5" x14ac:dyDescent="0.3">
      <c r="B2248" s="236">
        <v>42362</v>
      </c>
      <c r="C2248" s="73"/>
      <c r="D2248" s="73"/>
      <c r="E2248" s="145">
        <v>10462.08</v>
      </c>
    </row>
    <row r="2249" spans="2:5" ht="16.5" x14ac:dyDescent="0.3">
      <c r="B2249" s="236">
        <v>42361</v>
      </c>
      <c r="C2249" s="73"/>
      <c r="D2249" s="73"/>
      <c r="E2249" s="145">
        <v>10468.61</v>
      </c>
    </row>
    <row r="2250" spans="2:5" ht="16.5" x14ac:dyDescent="0.3">
      <c r="B2250" s="236">
        <v>42360</v>
      </c>
      <c r="C2250" s="73"/>
      <c r="D2250" s="73"/>
      <c r="E2250" s="145">
        <v>10362.35</v>
      </c>
    </row>
    <row r="2251" spans="2:5" ht="16.5" x14ac:dyDescent="0.3">
      <c r="B2251" s="236">
        <v>42359</v>
      </c>
      <c r="C2251" s="73"/>
      <c r="D2251" s="73"/>
      <c r="E2251" s="145">
        <v>10426.69</v>
      </c>
    </row>
    <row r="2252" spans="2:5" ht="16.5" x14ac:dyDescent="0.3">
      <c r="B2252" s="236">
        <v>42356</v>
      </c>
      <c r="C2252" s="73"/>
      <c r="D2252" s="73"/>
      <c r="E2252" s="145">
        <v>10330.16</v>
      </c>
    </row>
    <row r="2253" spans="2:5" ht="16.5" x14ac:dyDescent="0.3">
      <c r="B2253" s="236">
        <v>42355</v>
      </c>
      <c r="C2253" s="73"/>
      <c r="D2253" s="73"/>
      <c r="E2253" s="145">
        <v>10439.83</v>
      </c>
    </row>
    <row r="2254" spans="2:5" ht="16.5" x14ac:dyDescent="0.3">
      <c r="B2254" s="236">
        <v>42354</v>
      </c>
      <c r="C2254" s="73"/>
      <c r="D2254" s="73"/>
      <c r="E2254" s="145">
        <v>10315.450000000001</v>
      </c>
    </row>
    <row r="2255" spans="2:5" ht="16.5" x14ac:dyDescent="0.3">
      <c r="B2255" s="236">
        <v>42353</v>
      </c>
      <c r="C2255" s="73"/>
      <c r="D2255" s="73"/>
      <c r="E2255" s="145">
        <v>10248.91</v>
      </c>
    </row>
    <row r="2256" spans="2:5" ht="16.5" x14ac:dyDescent="0.3">
      <c r="B2256" s="236">
        <v>42352</v>
      </c>
      <c r="C2256" s="73"/>
      <c r="D2256" s="73"/>
      <c r="E2256" s="145">
        <v>10181.25</v>
      </c>
    </row>
    <row r="2257" spans="2:5" ht="16.5" x14ac:dyDescent="0.3">
      <c r="B2257" s="236">
        <v>42349</v>
      </c>
      <c r="C2257" s="73"/>
      <c r="D2257" s="73"/>
      <c r="E2257" s="145">
        <v>10128.57</v>
      </c>
    </row>
    <row r="2258" spans="2:5" ht="16.5" x14ac:dyDescent="0.3">
      <c r="B2258" s="236">
        <v>42348</v>
      </c>
      <c r="C2258" s="73"/>
      <c r="D2258" s="73"/>
      <c r="E2258" s="145">
        <v>10225.540000000001</v>
      </c>
    </row>
    <row r="2259" spans="2:5" ht="16.5" x14ac:dyDescent="0.3">
      <c r="B2259" s="236">
        <v>42347</v>
      </c>
      <c r="C2259" s="73"/>
      <c r="D2259" s="73"/>
      <c r="E2259" s="145">
        <v>10131.26</v>
      </c>
    </row>
    <row r="2260" spans="2:5" ht="16.5" x14ac:dyDescent="0.3">
      <c r="B2260" s="236">
        <v>42346</v>
      </c>
      <c r="C2260" s="73"/>
      <c r="D2260" s="73"/>
      <c r="E2260" s="145">
        <v>10250.030000000001</v>
      </c>
    </row>
    <row r="2261" spans="2:5" ht="16.5" x14ac:dyDescent="0.3">
      <c r="B2261" s="236">
        <v>42345</v>
      </c>
      <c r="C2261" s="73"/>
      <c r="D2261" s="73"/>
      <c r="E2261" s="145">
        <v>10334.77</v>
      </c>
    </row>
    <row r="2262" spans="2:5" ht="16.5" x14ac:dyDescent="0.3">
      <c r="B2262" s="236">
        <v>42342</v>
      </c>
      <c r="C2262" s="73"/>
      <c r="D2262" s="73"/>
      <c r="E2262" s="145">
        <v>10356.709999999999</v>
      </c>
    </row>
    <row r="2263" spans="2:5" ht="16.5" x14ac:dyDescent="0.3">
      <c r="B2263" s="236">
        <v>42341</v>
      </c>
      <c r="C2263" s="73"/>
      <c r="D2263" s="73"/>
      <c r="E2263" s="145">
        <v>10466.19</v>
      </c>
    </row>
    <row r="2264" spans="2:5" ht="16.5" x14ac:dyDescent="0.3">
      <c r="B2264" s="236">
        <v>42340</v>
      </c>
      <c r="C2264" s="73"/>
      <c r="D2264" s="73"/>
      <c r="E2264" s="145">
        <v>10555.62</v>
      </c>
    </row>
    <row r="2265" spans="2:5" ht="16.5" x14ac:dyDescent="0.3">
      <c r="B2265" s="236">
        <v>42339</v>
      </c>
      <c r="C2265" s="73"/>
      <c r="D2265" s="73"/>
      <c r="E2265" s="145">
        <v>10586.99</v>
      </c>
    </row>
    <row r="2266" spans="2:5" ht="16.5" x14ac:dyDescent="0.3">
      <c r="B2266" s="236">
        <v>42338</v>
      </c>
      <c r="C2266" s="73"/>
      <c r="D2266" s="73"/>
      <c r="E2266" s="145">
        <v>10560.84</v>
      </c>
    </row>
    <row r="2267" spans="2:5" ht="16.5" x14ac:dyDescent="0.3">
      <c r="B2267" s="236">
        <v>42335</v>
      </c>
      <c r="C2267" s="73"/>
      <c r="D2267" s="73"/>
      <c r="E2267" s="145">
        <v>10570.76</v>
      </c>
    </row>
    <row r="2268" spans="2:5" ht="16.5" x14ac:dyDescent="0.3">
      <c r="B2268" s="236">
        <v>42334</v>
      </c>
      <c r="C2268" s="73"/>
      <c r="D2268" s="73"/>
      <c r="E2268" s="145">
        <v>10492.35</v>
      </c>
    </row>
    <row r="2269" spans="2:5" ht="16.5" x14ac:dyDescent="0.3">
      <c r="B2269" s="236">
        <v>42332</v>
      </c>
      <c r="C2269" s="73"/>
      <c r="D2269" s="73"/>
      <c r="E2269" s="145">
        <v>10422.86</v>
      </c>
    </row>
    <row r="2270" spans="2:5" ht="16.5" x14ac:dyDescent="0.3">
      <c r="B2270" s="236">
        <v>42331</v>
      </c>
      <c r="C2270" s="73"/>
      <c r="D2270" s="73"/>
      <c r="E2270" s="145">
        <v>10446.4</v>
      </c>
    </row>
    <row r="2271" spans="2:5" ht="16.5" x14ac:dyDescent="0.3">
      <c r="B2271" s="236">
        <v>42328</v>
      </c>
      <c r="C2271" s="73"/>
      <c r="D2271" s="73"/>
      <c r="E2271" s="145">
        <v>10456.11</v>
      </c>
    </row>
    <row r="2272" spans="2:5" ht="16.5" x14ac:dyDescent="0.3">
      <c r="B2272" s="236">
        <v>42327</v>
      </c>
      <c r="C2272" s="73"/>
      <c r="D2272" s="73"/>
      <c r="E2272" s="145">
        <v>10437.709999999999</v>
      </c>
    </row>
    <row r="2273" spans="2:5" ht="16.5" x14ac:dyDescent="0.3">
      <c r="B2273" s="236">
        <v>42326</v>
      </c>
      <c r="C2273" s="73"/>
      <c r="D2273" s="73"/>
      <c r="E2273" s="145">
        <v>10290.030000000001</v>
      </c>
    </row>
    <row r="2274" spans="2:5" ht="16.5" x14ac:dyDescent="0.3">
      <c r="B2274" s="236">
        <v>42325</v>
      </c>
      <c r="C2274" s="73"/>
      <c r="D2274" s="73"/>
      <c r="E2274" s="145">
        <v>10430.780000000001</v>
      </c>
    </row>
    <row r="2275" spans="2:5" ht="16.5" x14ac:dyDescent="0.3">
      <c r="B2275" s="236">
        <v>42324</v>
      </c>
      <c r="C2275" s="73"/>
      <c r="D2275" s="73"/>
      <c r="E2275" s="145">
        <v>10389.64</v>
      </c>
    </row>
    <row r="2276" spans="2:5" ht="16.5" x14ac:dyDescent="0.3">
      <c r="B2276" s="236">
        <v>42321</v>
      </c>
      <c r="C2276" s="73"/>
      <c r="D2276" s="73"/>
      <c r="E2276" s="145">
        <v>10330.6</v>
      </c>
    </row>
    <row r="2277" spans="2:5" ht="16.5" x14ac:dyDescent="0.3">
      <c r="B2277" s="236">
        <v>42319</v>
      </c>
      <c r="C2277" s="73"/>
      <c r="D2277" s="73"/>
      <c r="E2277" s="145">
        <v>10414.07</v>
      </c>
    </row>
    <row r="2278" spans="2:5" ht="16.5" x14ac:dyDescent="0.3">
      <c r="B2278" s="236">
        <v>42318</v>
      </c>
      <c r="C2278" s="73"/>
      <c r="D2278" s="73"/>
      <c r="E2278" s="145">
        <v>10358.65</v>
      </c>
    </row>
    <row r="2279" spans="2:5" ht="16.5" x14ac:dyDescent="0.3">
      <c r="B2279" s="236">
        <v>42317</v>
      </c>
      <c r="C2279" s="73"/>
      <c r="D2279" s="73"/>
      <c r="E2279" s="145">
        <v>10531.91</v>
      </c>
    </row>
    <row r="2280" spans="2:5" ht="16.5" x14ac:dyDescent="0.3">
      <c r="B2280" s="236">
        <v>42314</v>
      </c>
      <c r="C2280" s="73"/>
      <c r="D2280" s="73"/>
      <c r="E2280" s="145">
        <v>10583.88</v>
      </c>
    </row>
    <row r="2281" spans="2:5" ht="16.5" x14ac:dyDescent="0.3">
      <c r="B2281" s="236">
        <v>42313</v>
      </c>
      <c r="C2281" s="73"/>
      <c r="D2281" s="73"/>
      <c r="E2281" s="145">
        <v>10585.41</v>
      </c>
    </row>
    <row r="2282" spans="2:5" ht="16.5" x14ac:dyDescent="0.3">
      <c r="B2282" s="236">
        <v>42312</v>
      </c>
      <c r="C2282" s="73"/>
      <c r="D2282" s="73"/>
      <c r="E2282" s="145">
        <v>10698.19</v>
      </c>
    </row>
    <row r="2283" spans="2:5" ht="16.5" x14ac:dyDescent="0.3">
      <c r="B2283" s="236">
        <v>42311</v>
      </c>
      <c r="C2283" s="73"/>
      <c r="D2283" s="73"/>
      <c r="E2283" s="145">
        <v>10725.48</v>
      </c>
    </row>
    <row r="2284" spans="2:5" ht="16.5" x14ac:dyDescent="0.3">
      <c r="B2284" s="236">
        <v>42310</v>
      </c>
      <c r="C2284" s="73"/>
      <c r="D2284" s="73"/>
      <c r="E2284" s="145">
        <v>10712.32</v>
      </c>
    </row>
    <row r="2285" spans="2:5" ht="16.5" x14ac:dyDescent="0.3">
      <c r="B2285" s="236">
        <v>42307</v>
      </c>
      <c r="C2285" s="73"/>
      <c r="D2285" s="73"/>
      <c r="E2285" s="145">
        <v>10732.25</v>
      </c>
    </row>
    <row r="2286" spans="2:5" ht="16.5" x14ac:dyDescent="0.3">
      <c r="B2286" s="236">
        <v>42306</v>
      </c>
      <c r="C2286" s="73"/>
      <c r="D2286" s="73"/>
      <c r="E2286" s="145">
        <v>10792.35</v>
      </c>
    </row>
    <row r="2287" spans="2:5" ht="16.5" x14ac:dyDescent="0.3">
      <c r="B2287" s="236">
        <v>42305</v>
      </c>
      <c r="C2287" s="73"/>
      <c r="D2287" s="73"/>
      <c r="E2287" s="145">
        <v>10871.42</v>
      </c>
    </row>
    <row r="2288" spans="2:5" ht="16.5" x14ac:dyDescent="0.3">
      <c r="B2288" s="236">
        <v>42304</v>
      </c>
      <c r="C2288" s="73"/>
      <c r="D2288" s="73"/>
      <c r="E2288" s="145">
        <v>10953.26</v>
      </c>
    </row>
    <row r="2289" spans="2:5" ht="16.5" x14ac:dyDescent="0.3">
      <c r="B2289" s="236">
        <v>42303</v>
      </c>
      <c r="C2289" s="73"/>
      <c r="D2289" s="73"/>
      <c r="E2289" s="145">
        <v>10990.02</v>
      </c>
    </row>
    <row r="2290" spans="2:5" ht="16.5" x14ac:dyDescent="0.3">
      <c r="B2290" s="236">
        <v>42300</v>
      </c>
      <c r="C2290" s="73"/>
      <c r="D2290" s="73"/>
      <c r="E2290" s="145">
        <v>11036.44</v>
      </c>
    </row>
    <row r="2291" spans="2:5" ht="16.5" x14ac:dyDescent="0.3">
      <c r="B2291" s="236">
        <v>42298</v>
      </c>
      <c r="C2291" s="73"/>
      <c r="D2291" s="73"/>
      <c r="E2291" s="145">
        <v>10976.65</v>
      </c>
    </row>
    <row r="2292" spans="2:5" ht="16.5" x14ac:dyDescent="0.3">
      <c r="B2292" s="236">
        <v>42297</v>
      </c>
      <c r="C2292" s="73"/>
      <c r="D2292" s="73"/>
      <c r="E2292" s="145">
        <v>10989</v>
      </c>
    </row>
    <row r="2293" spans="2:5" ht="16.5" x14ac:dyDescent="0.3">
      <c r="B2293" s="236">
        <v>42296</v>
      </c>
      <c r="C2293" s="73"/>
      <c r="D2293" s="73"/>
      <c r="E2293" s="145">
        <v>11006.79</v>
      </c>
    </row>
    <row r="2294" spans="2:5" ht="16.5" x14ac:dyDescent="0.3">
      <c r="B2294" s="236">
        <v>42293</v>
      </c>
      <c r="C2294" s="73"/>
      <c r="D2294" s="73"/>
      <c r="E2294" s="145">
        <v>10956.47</v>
      </c>
    </row>
    <row r="2295" spans="2:5" ht="16.5" x14ac:dyDescent="0.3">
      <c r="B2295" s="236">
        <v>42292</v>
      </c>
      <c r="C2295" s="73"/>
      <c r="D2295" s="73"/>
      <c r="E2295" s="145">
        <v>10872.82</v>
      </c>
    </row>
    <row r="2296" spans="2:5" ht="16.5" x14ac:dyDescent="0.3">
      <c r="B2296" s="236">
        <v>42291</v>
      </c>
      <c r="C2296" s="73"/>
      <c r="D2296" s="73"/>
      <c r="E2296" s="145">
        <v>10777.67</v>
      </c>
    </row>
    <row r="2297" spans="2:5" ht="16.5" x14ac:dyDescent="0.3">
      <c r="B2297" s="236">
        <v>42290</v>
      </c>
      <c r="C2297" s="73"/>
      <c r="D2297" s="73"/>
      <c r="E2297" s="145">
        <v>10809.32</v>
      </c>
    </row>
    <row r="2298" spans="2:5" ht="16.5" x14ac:dyDescent="0.3">
      <c r="B2298" s="236">
        <v>42289</v>
      </c>
      <c r="C2298" s="73"/>
      <c r="D2298" s="73"/>
      <c r="E2298" s="145">
        <v>10825.14</v>
      </c>
    </row>
    <row r="2299" spans="2:5" ht="16.5" x14ac:dyDescent="0.3">
      <c r="B2299" s="236">
        <v>42286</v>
      </c>
      <c r="C2299" s="73"/>
      <c r="D2299" s="73"/>
      <c r="E2299" s="145">
        <v>10886.38</v>
      </c>
    </row>
    <row r="2300" spans="2:5" ht="16.5" x14ac:dyDescent="0.3">
      <c r="B2300" s="236">
        <v>42285</v>
      </c>
      <c r="C2300" s="73"/>
      <c r="D2300" s="73"/>
      <c r="E2300" s="145">
        <v>10806.18</v>
      </c>
    </row>
    <row r="2301" spans="2:5" ht="16.5" x14ac:dyDescent="0.3">
      <c r="B2301" s="236">
        <v>42284</v>
      </c>
      <c r="C2301" s="73"/>
      <c r="D2301" s="73"/>
      <c r="E2301" s="145">
        <v>10870.04</v>
      </c>
    </row>
    <row r="2302" spans="2:5" ht="16.5" x14ac:dyDescent="0.3">
      <c r="B2302" s="236">
        <v>42283</v>
      </c>
      <c r="C2302" s="73"/>
      <c r="D2302" s="73"/>
      <c r="E2302" s="145">
        <v>10837.5</v>
      </c>
    </row>
    <row r="2303" spans="2:5" ht="16.5" x14ac:dyDescent="0.3">
      <c r="B2303" s="236">
        <v>42282</v>
      </c>
      <c r="C2303" s="73"/>
      <c r="D2303" s="73"/>
      <c r="E2303" s="145">
        <v>10792.79</v>
      </c>
    </row>
    <row r="2304" spans="2:5" ht="16.5" x14ac:dyDescent="0.3">
      <c r="B2304" s="236">
        <v>42278</v>
      </c>
      <c r="C2304" s="73"/>
      <c r="D2304" s="73"/>
      <c r="E2304" s="145">
        <v>10568.94</v>
      </c>
    </row>
    <row r="2305" spans="2:5" ht="16.5" x14ac:dyDescent="0.3">
      <c r="B2305" s="236">
        <v>42277</v>
      </c>
      <c r="C2305" s="73"/>
      <c r="D2305" s="73"/>
      <c r="E2305" s="145">
        <v>10566.29</v>
      </c>
    </row>
    <row r="2306" spans="2:5" ht="16.5" x14ac:dyDescent="0.3">
      <c r="B2306" s="236">
        <v>42276</v>
      </c>
      <c r="C2306" s="73"/>
      <c r="D2306" s="73"/>
      <c r="E2306" s="145">
        <v>10425.93</v>
      </c>
    </row>
    <row r="2307" spans="2:5" ht="16.5" x14ac:dyDescent="0.3">
      <c r="B2307" s="236">
        <v>42275</v>
      </c>
      <c r="C2307" s="73"/>
      <c r="D2307" s="73"/>
      <c r="E2307" s="145">
        <v>10362.68</v>
      </c>
    </row>
    <row r="2308" spans="2:5" ht="16.5" x14ac:dyDescent="0.3">
      <c r="B2308" s="236">
        <v>42271</v>
      </c>
      <c r="C2308" s="73"/>
      <c r="D2308" s="73"/>
      <c r="E2308" s="145">
        <v>10459.44</v>
      </c>
    </row>
    <row r="2309" spans="2:5" ht="16.5" x14ac:dyDescent="0.3">
      <c r="B2309" s="236">
        <v>42270</v>
      </c>
      <c r="C2309" s="73"/>
      <c r="D2309" s="73"/>
      <c r="E2309" s="145">
        <v>10429.44</v>
      </c>
    </row>
    <row r="2310" spans="2:5" ht="16.5" x14ac:dyDescent="0.3">
      <c r="B2310" s="236">
        <v>42269</v>
      </c>
      <c r="C2310" s="73"/>
      <c r="D2310" s="73"/>
      <c r="E2310" s="145">
        <v>10384.35</v>
      </c>
    </row>
    <row r="2311" spans="2:5" ht="16.5" x14ac:dyDescent="0.3">
      <c r="B2311" s="236">
        <v>42268</v>
      </c>
      <c r="C2311" s="73"/>
      <c r="D2311" s="73"/>
      <c r="E2311" s="145">
        <v>10603.8</v>
      </c>
    </row>
    <row r="2312" spans="2:5" ht="16.5" x14ac:dyDescent="0.3">
      <c r="B2312" s="236">
        <v>42265</v>
      </c>
      <c r="C2312" s="73"/>
      <c r="D2312" s="73"/>
      <c r="E2312" s="145">
        <v>10609.87</v>
      </c>
    </row>
    <row r="2313" spans="2:5" ht="16.5" x14ac:dyDescent="0.3">
      <c r="B2313" s="236">
        <v>42263</v>
      </c>
      <c r="C2313" s="73"/>
      <c r="D2313" s="73"/>
      <c r="E2313" s="145">
        <v>10499.73</v>
      </c>
    </row>
    <row r="2314" spans="2:5" ht="16.5" x14ac:dyDescent="0.3">
      <c r="B2314" s="236">
        <v>42262</v>
      </c>
      <c r="C2314" s="73"/>
      <c r="D2314" s="73"/>
      <c r="E2314" s="145">
        <v>10406.56</v>
      </c>
    </row>
    <row r="2315" spans="2:5" ht="16.5" x14ac:dyDescent="0.3">
      <c r="B2315" s="236">
        <v>42261</v>
      </c>
      <c r="C2315" s="73"/>
      <c r="D2315" s="73"/>
      <c r="E2315" s="145">
        <v>10463.93</v>
      </c>
    </row>
    <row r="2316" spans="2:5" ht="16.5" x14ac:dyDescent="0.3">
      <c r="B2316" s="236">
        <v>42258</v>
      </c>
      <c r="C2316" s="73"/>
      <c r="D2316" s="73"/>
      <c r="E2316" s="145">
        <v>10353.540000000001</v>
      </c>
    </row>
    <row r="2317" spans="2:5" ht="16.5" x14ac:dyDescent="0.3">
      <c r="B2317" s="236">
        <v>42257</v>
      </c>
      <c r="C2317" s="73"/>
      <c r="D2317" s="73"/>
      <c r="E2317" s="145">
        <v>10351.93</v>
      </c>
    </row>
    <row r="2318" spans="2:5" ht="16.5" x14ac:dyDescent="0.3">
      <c r="B2318" s="236">
        <v>42256</v>
      </c>
      <c r="C2318" s="73"/>
      <c r="D2318" s="73"/>
      <c r="E2318" s="145">
        <v>10392.450000000001</v>
      </c>
    </row>
    <row r="2319" spans="2:5" ht="16.5" x14ac:dyDescent="0.3">
      <c r="B2319" s="236">
        <v>42255</v>
      </c>
      <c r="C2319" s="73"/>
      <c r="D2319" s="73"/>
      <c r="E2319" s="145">
        <v>10219.209999999999</v>
      </c>
    </row>
    <row r="2320" spans="2:5" ht="16.5" x14ac:dyDescent="0.3">
      <c r="B2320" s="236">
        <v>42254</v>
      </c>
      <c r="C2320" s="73"/>
      <c r="D2320" s="73"/>
      <c r="E2320" s="145">
        <v>10047.15</v>
      </c>
    </row>
    <row r="2321" spans="2:5" ht="16.5" x14ac:dyDescent="0.3">
      <c r="B2321" s="236">
        <v>42251</v>
      </c>
      <c r="C2321" s="73"/>
      <c r="D2321" s="73"/>
      <c r="E2321" s="145">
        <v>10173.65</v>
      </c>
    </row>
    <row r="2322" spans="2:5" ht="16.5" x14ac:dyDescent="0.3">
      <c r="B2322" s="236">
        <v>42250</v>
      </c>
      <c r="C2322" s="73"/>
      <c r="D2322" s="73"/>
      <c r="E2322" s="145">
        <v>10396.83</v>
      </c>
    </row>
    <row r="2323" spans="2:5" ht="16.5" x14ac:dyDescent="0.3">
      <c r="B2323" s="236">
        <v>42249</v>
      </c>
      <c r="C2323" s="73"/>
      <c r="D2323" s="73"/>
      <c r="E2323" s="145">
        <v>10254.61</v>
      </c>
    </row>
    <row r="2324" spans="2:5" ht="16.5" x14ac:dyDescent="0.3">
      <c r="B2324" s="236">
        <v>42248</v>
      </c>
      <c r="C2324" s="73"/>
      <c r="D2324" s="73"/>
      <c r="E2324" s="145">
        <v>10346.16</v>
      </c>
    </row>
    <row r="2325" spans="2:5" ht="16.5" x14ac:dyDescent="0.3">
      <c r="B2325" s="236">
        <v>42247</v>
      </c>
      <c r="C2325" s="73"/>
      <c r="D2325" s="73"/>
      <c r="E2325" s="145">
        <v>10588.8</v>
      </c>
    </row>
    <row r="2326" spans="2:5" ht="16.5" x14ac:dyDescent="0.3">
      <c r="B2326" s="236">
        <v>42244</v>
      </c>
      <c r="C2326" s="73"/>
      <c r="D2326" s="73"/>
      <c r="E2326" s="145">
        <v>10629.49</v>
      </c>
    </row>
    <row r="2327" spans="2:5" ht="16.5" x14ac:dyDescent="0.3">
      <c r="B2327" s="236">
        <v>42243</v>
      </c>
      <c r="C2327" s="73"/>
      <c r="D2327" s="73"/>
      <c r="E2327" s="145">
        <v>10557.5</v>
      </c>
    </row>
    <row r="2328" spans="2:5" ht="16.5" x14ac:dyDescent="0.3">
      <c r="B2328" s="236">
        <v>42242</v>
      </c>
      <c r="C2328" s="73"/>
      <c r="D2328" s="73"/>
      <c r="E2328" s="145">
        <v>10348.4</v>
      </c>
    </row>
    <row r="2329" spans="2:5" ht="16.5" x14ac:dyDescent="0.3">
      <c r="B2329" s="236">
        <v>42241</v>
      </c>
      <c r="C2329" s="73"/>
      <c r="D2329" s="73"/>
      <c r="E2329" s="145">
        <v>10465.459999999999</v>
      </c>
    </row>
    <row r="2330" spans="2:5" ht="16.5" x14ac:dyDescent="0.3">
      <c r="B2330" s="236">
        <v>42240</v>
      </c>
      <c r="C2330" s="73"/>
      <c r="D2330" s="73"/>
      <c r="E2330" s="145">
        <v>10370.27</v>
      </c>
    </row>
    <row r="2331" spans="2:5" ht="16.5" x14ac:dyDescent="0.3">
      <c r="B2331" s="236">
        <v>42237</v>
      </c>
      <c r="C2331" s="73"/>
      <c r="D2331" s="73"/>
      <c r="E2331" s="145">
        <v>11022.22</v>
      </c>
    </row>
    <row r="2332" spans="2:5" ht="16.5" x14ac:dyDescent="0.3">
      <c r="B2332" s="236">
        <v>42236</v>
      </c>
      <c r="C2332" s="73"/>
      <c r="D2332" s="73"/>
      <c r="E2332" s="145">
        <v>11118.95</v>
      </c>
    </row>
    <row r="2333" spans="2:5" ht="16.5" x14ac:dyDescent="0.3">
      <c r="B2333" s="236">
        <v>42235</v>
      </c>
      <c r="C2333" s="73"/>
      <c r="D2333" s="73"/>
      <c r="E2333" s="145">
        <v>11281.26</v>
      </c>
    </row>
    <row r="2334" spans="2:5" ht="16.5" x14ac:dyDescent="0.3">
      <c r="B2334" s="236">
        <v>42234</v>
      </c>
      <c r="C2334" s="73"/>
      <c r="D2334" s="73"/>
      <c r="E2334" s="145">
        <v>11243.28</v>
      </c>
    </row>
    <row r="2335" spans="2:5" ht="16.5" x14ac:dyDescent="0.3">
      <c r="B2335" s="236">
        <v>42233</v>
      </c>
      <c r="C2335" s="73"/>
      <c r="D2335" s="73"/>
      <c r="E2335" s="145">
        <v>11257.56</v>
      </c>
    </row>
    <row r="2336" spans="2:5" ht="16.5" x14ac:dyDescent="0.3">
      <c r="B2336" s="236">
        <v>42230</v>
      </c>
      <c r="C2336" s="73"/>
      <c r="D2336" s="73"/>
      <c r="E2336" s="145">
        <v>11312.32</v>
      </c>
    </row>
    <row r="2337" spans="2:5" ht="16.5" x14ac:dyDescent="0.3">
      <c r="B2337" s="236">
        <v>42229</v>
      </c>
      <c r="C2337" s="73"/>
      <c r="D2337" s="73"/>
      <c r="E2337" s="145">
        <v>11095.98</v>
      </c>
    </row>
    <row r="2338" spans="2:5" ht="16.5" x14ac:dyDescent="0.3">
      <c r="B2338" s="236">
        <v>42228</v>
      </c>
      <c r="C2338" s="73"/>
      <c r="D2338" s="73"/>
      <c r="E2338" s="145">
        <v>11086.67</v>
      </c>
    </row>
    <row r="2339" spans="2:5" ht="16.5" x14ac:dyDescent="0.3">
      <c r="B2339" s="236">
        <v>42227</v>
      </c>
      <c r="C2339" s="73"/>
      <c r="D2339" s="73"/>
      <c r="E2339" s="145">
        <v>11236.57</v>
      </c>
    </row>
    <row r="2340" spans="2:5" ht="16.5" x14ac:dyDescent="0.3">
      <c r="B2340" s="236">
        <v>42226</v>
      </c>
      <c r="C2340" s="73"/>
      <c r="D2340" s="73"/>
      <c r="E2340" s="145">
        <v>11320.25</v>
      </c>
    </row>
    <row r="2341" spans="2:5" ht="16.5" x14ac:dyDescent="0.3">
      <c r="B2341" s="236">
        <v>42223</v>
      </c>
      <c r="C2341" s="73"/>
      <c r="D2341" s="73"/>
      <c r="E2341" s="145">
        <v>11372.02</v>
      </c>
    </row>
    <row r="2342" spans="2:5" ht="16.5" x14ac:dyDescent="0.3">
      <c r="B2342" s="236">
        <v>42222</v>
      </c>
      <c r="C2342" s="73"/>
      <c r="D2342" s="73"/>
      <c r="E2342" s="145">
        <v>11402.67</v>
      </c>
    </row>
    <row r="2343" spans="2:5" ht="16.5" x14ac:dyDescent="0.3">
      <c r="B2343" s="236">
        <v>42221</v>
      </c>
      <c r="C2343" s="73"/>
      <c r="D2343" s="73"/>
      <c r="E2343" s="145">
        <v>11375.18</v>
      </c>
    </row>
    <row r="2344" spans="2:5" ht="16.5" x14ac:dyDescent="0.3">
      <c r="B2344" s="236">
        <v>42220</v>
      </c>
      <c r="C2344" s="73"/>
      <c r="D2344" s="73"/>
      <c r="E2344" s="145">
        <v>11307.41</v>
      </c>
    </row>
    <row r="2345" spans="2:5" ht="16.5" x14ac:dyDescent="0.3">
      <c r="B2345" s="236">
        <v>42219</v>
      </c>
      <c r="C2345" s="73"/>
      <c r="D2345" s="73"/>
      <c r="E2345" s="145">
        <v>11342.11</v>
      </c>
    </row>
    <row r="2346" spans="2:5" ht="16.5" x14ac:dyDescent="0.3">
      <c r="B2346" s="236">
        <v>42216</v>
      </c>
      <c r="C2346" s="73"/>
      <c r="D2346" s="73"/>
      <c r="E2346" s="145">
        <v>11328.56</v>
      </c>
    </row>
    <row r="2347" spans="2:5" ht="16.5" x14ac:dyDescent="0.3">
      <c r="B2347" s="236">
        <v>42215</v>
      </c>
      <c r="C2347" s="73"/>
      <c r="D2347" s="73"/>
      <c r="E2347" s="145">
        <v>11180.79</v>
      </c>
    </row>
    <row r="2348" spans="2:5" ht="16.5" x14ac:dyDescent="0.3">
      <c r="B2348" s="236">
        <v>42214</v>
      </c>
      <c r="C2348" s="73"/>
      <c r="D2348" s="73"/>
      <c r="E2348" s="145">
        <v>11118.71</v>
      </c>
    </row>
    <row r="2349" spans="2:5" ht="16.5" x14ac:dyDescent="0.3">
      <c r="B2349" s="236">
        <v>42213</v>
      </c>
      <c r="C2349" s="73"/>
      <c r="D2349" s="73"/>
      <c r="E2349" s="145">
        <v>11068.18</v>
      </c>
    </row>
    <row r="2350" spans="2:5" ht="16.5" x14ac:dyDescent="0.3">
      <c r="B2350" s="236">
        <v>42212</v>
      </c>
      <c r="C2350" s="73"/>
      <c r="D2350" s="73"/>
      <c r="E2350" s="145">
        <v>11100.03</v>
      </c>
    </row>
    <row r="2351" spans="2:5" ht="16.5" x14ac:dyDescent="0.3">
      <c r="B2351" s="236">
        <v>42209</v>
      </c>
      <c r="C2351" s="73"/>
      <c r="D2351" s="73"/>
      <c r="E2351" s="145">
        <v>11313.22</v>
      </c>
    </row>
    <row r="2352" spans="2:5" ht="16.5" x14ac:dyDescent="0.3">
      <c r="B2352" s="236">
        <v>42208</v>
      </c>
      <c r="C2352" s="73"/>
      <c r="D2352" s="73"/>
      <c r="E2352" s="145">
        <v>11403.83</v>
      </c>
    </row>
    <row r="2353" spans="2:5" ht="16.5" x14ac:dyDescent="0.3">
      <c r="B2353" s="236">
        <v>42207</v>
      </c>
      <c r="C2353" s="73"/>
      <c r="D2353" s="73"/>
      <c r="E2353" s="145">
        <v>11459.27</v>
      </c>
    </row>
    <row r="2354" spans="2:5" ht="16.5" x14ac:dyDescent="0.3">
      <c r="B2354" s="236">
        <v>42206</v>
      </c>
      <c r="C2354" s="73"/>
      <c r="D2354" s="73"/>
      <c r="E2354" s="145">
        <v>11320.88</v>
      </c>
    </row>
    <row r="2355" spans="2:5" ht="16.5" x14ac:dyDescent="0.3">
      <c r="B2355" s="236">
        <v>42205</v>
      </c>
      <c r="C2355" s="73"/>
      <c r="D2355" s="73"/>
      <c r="E2355" s="145">
        <v>11419.13</v>
      </c>
    </row>
    <row r="2356" spans="2:5" ht="16.5" x14ac:dyDescent="0.3">
      <c r="B2356" s="236">
        <v>42202</v>
      </c>
      <c r="C2356" s="73"/>
      <c r="D2356" s="73"/>
      <c r="E2356" s="145">
        <v>11424.87</v>
      </c>
    </row>
    <row r="2357" spans="2:5" ht="16.5" x14ac:dyDescent="0.3">
      <c r="B2357" s="236">
        <v>42201</v>
      </c>
      <c r="C2357" s="73"/>
      <c r="D2357" s="73"/>
      <c r="E2357" s="145">
        <v>11422.48</v>
      </c>
    </row>
    <row r="2358" spans="2:5" ht="16.5" x14ac:dyDescent="0.3">
      <c r="B2358" s="236">
        <v>42200</v>
      </c>
      <c r="C2358" s="73"/>
      <c r="D2358" s="73"/>
      <c r="E2358" s="145">
        <v>11309.1</v>
      </c>
    </row>
    <row r="2359" spans="2:5" ht="16.5" x14ac:dyDescent="0.3">
      <c r="B2359" s="236">
        <v>42199</v>
      </c>
      <c r="C2359" s="73"/>
      <c r="D2359" s="73"/>
      <c r="E2359" s="145">
        <v>11210.85</v>
      </c>
    </row>
    <row r="2360" spans="2:5" ht="16.5" x14ac:dyDescent="0.3">
      <c r="B2360" s="236">
        <v>42198</v>
      </c>
      <c r="C2360" s="73"/>
      <c r="D2360" s="73"/>
      <c r="E2360" s="145">
        <v>11217.67</v>
      </c>
    </row>
    <row r="2361" spans="2:5" ht="16.5" x14ac:dyDescent="0.3">
      <c r="B2361" s="236">
        <v>42195</v>
      </c>
      <c r="C2361" s="73"/>
      <c r="D2361" s="73"/>
      <c r="E2361" s="145">
        <v>11086.29</v>
      </c>
    </row>
    <row r="2362" spans="2:5" ht="16.5" x14ac:dyDescent="0.3">
      <c r="B2362" s="236">
        <v>42194</v>
      </c>
      <c r="C2362" s="73"/>
      <c r="D2362" s="73"/>
      <c r="E2362" s="145">
        <v>11043.14</v>
      </c>
    </row>
    <row r="2363" spans="2:5" ht="16.5" x14ac:dyDescent="0.3">
      <c r="B2363" s="236">
        <v>42193</v>
      </c>
      <c r="C2363" s="73"/>
      <c r="D2363" s="73"/>
      <c r="E2363" s="145">
        <v>11084.34</v>
      </c>
    </row>
    <row r="2364" spans="2:5" ht="16.5" x14ac:dyDescent="0.3">
      <c r="B2364" s="236">
        <v>42192</v>
      </c>
      <c r="C2364" s="73"/>
      <c r="D2364" s="73"/>
      <c r="E2364" s="145">
        <v>11279.56</v>
      </c>
    </row>
    <row r="2365" spans="2:5" ht="16.5" x14ac:dyDescent="0.3">
      <c r="B2365" s="236">
        <v>42191</v>
      </c>
      <c r="C2365" s="73"/>
      <c r="D2365" s="73"/>
      <c r="E2365" s="145">
        <v>11294.6</v>
      </c>
    </row>
    <row r="2366" spans="2:5" ht="16.5" x14ac:dyDescent="0.3">
      <c r="B2366" s="236">
        <v>42188</v>
      </c>
      <c r="C2366" s="73"/>
      <c r="D2366" s="73"/>
      <c r="E2366" s="145">
        <v>11244.49</v>
      </c>
    </row>
    <row r="2367" spans="2:5" ht="16.5" x14ac:dyDescent="0.3">
      <c r="B2367" s="236">
        <v>42187</v>
      </c>
      <c r="C2367" s="73"/>
      <c r="D2367" s="73"/>
      <c r="E2367" s="145">
        <v>11191.5</v>
      </c>
    </row>
    <row r="2368" spans="2:5" ht="16.5" x14ac:dyDescent="0.3">
      <c r="B2368" s="236">
        <v>42186</v>
      </c>
      <c r="C2368" s="73"/>
      <c r="D2368" s="73"/>
      <c r="E2368" s="145">
        <v>11197.83</v>
      </c>
    </row>
    <row r="2369" spans="2:5" ht="16.5" x14ac:dyDescent="0.3">
      <c r="B2369" s="236">
        <v>42185</v>
      </c>
      <c r="C2369" s="73"/>
      <c r="D2369" s="73"/>
      <c r="E2369" s="145">
        <v>11085.87</v>
      </c>
    </row>
    <row r="2370" spans="2:5" ht="16.5" x14ac:dyDescent="0.3">
      <c r="B2370" s="236">
        <v>42184</v>
      </c>
      <c r="C2370" s="73"/>
      <c r="D2370" s="73"/>
      <c r="E2370" s="145">
        <v>11019.47</v>
      </c>
    </row>
    <row r="2371" spans="2:5" ht="16.5" x14ac:dyDescent="0.3">
      <c r="B2371" s="236">
        <v>42181</v>
      </c>
      <c r="C2371" s="73"/>
      <c r="D2371" s="73"/>
      <c r="E2371" s="145">
        <v>11102.52</v>
      </c>
    </row>
    <row r="2372" spans="2:5" ht="16.5" x14ac:dyDescent="0.3">
      <c r="B2372" s="236">
        <v>42180</v>
      </c>
      <c r="C2372" s="73"/>
      <c r="D2372" s="73"/>
      <c r="E2372" s="145">
        <v>11124.95</v>
      </c>
    </row>
    <row r="2373" spans="2:5" ht="16.5" x14ac:dyDescent="0.3">
      <c r="B2373" s="236">
        <v>42179</v>
      </c>
      <c r="C2373" s="73"/>
      <c r="D2373" s="73"/>
      <c r="E2373" s="145">
        <v>11075.71</v>
      </c>
    </row>
    <row r="2374" spans="2:5" ht="16.5" x14ac:dyDescent="0.3">
      <c r="B2374" s="236">
        <v>42178</v>
      </c>
      <c r="C2374" s="73"/>
      <c r="D2374" s="73"/>
      <c r="E2374" s="145">
        <v>11102.6</v>
      </c>
    </row>
    <row r="2375" spans="2:5" ht="16.5" x14ac:dyDescent="0.3">
      <c r="B2375" s="236">
        <v>42177</v>
      </c>
      <c r="C2375" s="73"/>
      <c r="D2375" s="73"/>
      <c r="E2375" s="145">
        <v>11064.89</v>
      </c>
    </row>
    <row r="2376" spans="2:5" ht="16.5" x14ac:dyDescent="0.3">
      <c r="B2376" s="236">
        <v>42174</v>
      </c>
      <c r="C2376" s="73"/>
      <c r="D2376" s="73"/>
      <c r="E2376" s="145">
        <v>10894.44</v>
      </c>
    </row>
    <row r="2377" spans="2:5" ht="16.5" x14ac:dyDescent="0.3">
      <c r="B2377" s="236">
        <v>42173</v>
      </c>
      <c r="C2377" s="73"/>
      <c r="D2377" s="73"/>
      <c r="E2377" s="145">
        <v>10825.96</v>
      </c>
    </row>
    <row r="2378" spans="2:5" ht="16.5" x14ac:dyDescent="0.3">
      <c r="B2378" s="236">
        <v>42172</v>
      </c>
      <c r="C2378" s="73"/>
      <c r="D2378" s="73"/>
      <c r="E2378" s="145">
        <v>10715.85</v>
      </c>
    </row>
    <row r="2379" spans="2:5" ht="16.5" x14ac:dyDescent="0.3">
      <c r="B2379" s="236">
        <v>42171</v>
      </c>
      <c r="C2379" s="73"/>
      <c r="D2379" s="73"/>
      <c r="E2379" s="145">
        <v>10657.23</v>
      </c>
    </row>
    <row r="2380" spans="2:5" ht="16.5" x14ac:dyDescent="0.3">
      <c r="B2380" s="236">
        <v>42170</v>
      </c>
      <c r="C2380" s="73"/>
      <c r="D2380" s="73"/>
      <c r="E2380" s="145">
        <v>10612.12</v>
      </c>
    </row>
    <row r="2381" spans="2:5" ht="16.5" x14ac:dyDescent="0.3">
      <c r="B2381" s="236">
        <v>42167</v>
      </c>
      <c r="C2381" s="73"/>
      <c r="D2381" s="73"/>
      <c r="E2381" s="145">
        <v>10562.76</v>
      </c>
    </row>
    <row r="2382" spans="2:5" ht="16.5" x14ac:dyDescent="0.3">
      <c r="B2382" s="236">
        <v>42166</v>
      </c>
      <c r="C2382" s="73"/>
      <c r="D2382" s="73"/>
      <c r="E2382" s="145">
        <v>10539.53</v>
      </c>
    </row>
    <row r="2383" spans="2:5" ht="16.5" x14ac:dyDescent="0.3">
      <c r="B2383" s="236">
        <v>42165</v>
      </c>
      <c r="C2383" s="73"/>
      <c r="D2383" s="73"/>
      <c r="E2383" s="145">
        <v>10750.07</v>
      </c>
    </row>
    <row r="2384" spans="2:5" ht="16.5" x14ac:dyDescent="0.3">
      <c r="B2384" s="236">
        <v>42164</v>
      </c>
      <c r="C2384" s="73"/>
      <c r="D2384" s="73"/>
      <c r="E2384" s="145">
        <v>10615.01</v>
      </c>
    </row>
    <row r="2385" spans="2:5" ht="16.5" x14ac:dyDescent="0.3">
      <c r="B2385" s="236">
        <v>42163</v>
      </c>
      <c r="C2385" s="73"/>
      <c r="D2385" s="73"/>
      <c r="E2385" s="145">
        <v>10643.82</v>
      </c>
    </row>
    <row r="2386" spans="2:5" ht="16.5" x14ac:dyDescent="0.3">
      <c r="B2386" s="236">
        <v>42160</v>
      </c>
      <c r="C2386" s="73"/>
      <c r="D2386" s="73"/>
      <c r="E2386" s="145">
        <v>10737.17</v>
      </c>
    </row>
    <row r="2387" spans="2:5" ht="16.5" x14ac:dyDescent="0.3">
      <c r="B2387" s="236">
        <v>42159</v>
      </c>
      <c r="C2387" s="73"/>
      <c r="D2387" s="73"/>
      <c r="E2387" s="145">
        <v>10754.83</v>
      </c>
    </row>
    <row r="2388" spans="2:5" ht="16.5" x14ac:dyDescent="0.3">
      <c r="B2388" s="236">
        <v>42158</v>
      </c>
      <c r="C2388" s="73"/>
      <c r="D2388" s="73"/>
      <c r="E2388" s="145">
        <v>10752.52</v>
      </c>
    </row>
    <row r="2389" spans="2:5" ht="16.5" x14ac:dyDescent="0.3">
      <c r="B2389" s="236">
        <v>42157</v>
      </c>
      <c r="C2389" s="73"/>
      <c r="D2389" s="73"/>
      <c r="E2389" s="145">
        <v>10876.52</v>
      </c>
    </row>
    <row r="2390" spans="2:5" ht="16.5" x14ac:dyDescent="0.3">
      <c r="B2390" s="236">
        <v>42156</v>
      </c>
      <c r="C2390" s="73"/>
      <c r="D2390" s="73"/>
      <c r="E2390" s="145">
        <v>11136.64</v>
      </c>
    </row>
    <row r="2391" spans="2:5" ht="16.5" x14ac:dyDescent="0.3">
      <c r="B2391" s="236">
        <v>42153</v>
      </c>
      <c r="C2391" s="73"/>
      <c r="D2391" s="73"/>
      <c r="E2391" s="145">
        <v>11135.85</v>
      </c>
    </row>
    <row r="2392" spans="2:5" ht="16.5" x14ac:dyDescent="0.3">
      <c r="B2392" s="236">
        <v>42152</v>
      </c>
      <c r="C2392" s="73"/>
      <c r="D2392" s="73"/>
      <c r="E2392" s="145">
        <v>10984.45</v>
      </c>
    </row>
    <row r="2393" spans="2:5" ht="16.5" x14ac:dyDescent="0.3">
      <c r="B2393" s="236">
        <v>42151</v>
      </c>
      <c r="C2393" s="73"/>
      <c r="D2393" s="73"/>
      <c r="E2393" s="145">
        <v>11001.96</v>
      </c>
    </row>
    <row r="2394" spans="2:5" ht="16.5" x14ac:dyDescent="0.3">
      <c r="B2394" s="236">
        <v>42150</v>
      </c>
      <c r="C2394" s="73"/>
      <c r="D2394" s="73"/>
      <c r="E2394" s="145">
        <v>11008.25</v>
      </c>
    </row>
    <row r="2395" spans="2:5" ht="16.5" x14ac:dyDescent="0.3">
      <c r="B2395" s="236">
        <v>42149</v>
      </c>
      <c r="C2395" s="73"/>
      <c r="D2395" s="73"/>
      <c r="E2395" s="145">
        <v>11049</v>
      </c>
    </row>
    <row r="2396" spans="2:5" ht="16.5" x14ac:dyDescent="0.3">
      <c r="B2396" s="236">
        <v>42146</v>
      </c>
      <c r="C2396" s="73"/>
      <c r="D2396" s="73"/>
      <c r="E2396" s="145">
        <v>11166.12</v>
      </c>
    </row>
    <row r="2397" spans="2:5" ht="16.5" x14ac:dyDescent="0.3">
      <c r="B2397" s="236">
        <v>42145</v>
      </c>
      <c r="C2397" s="73"/>
      <c r="D2397" s="73"/>
      <c r="E2397" s="145">
        <v>11116</v>
      </c>
    </row>
    <row r="2398" spans="2:5" ht="16.5" x14ac:dyDescent="0.3">
      <c r="B2398" s="236">
        <v>42144</v>
      </c>
      <c r="C2398" s="73"/>
      <c r="D2398" s="73"/>
      <c r="E2398" s="145">
        <v>11118.14</v>
      </c>
    </row>
    <row r="2399" spans="2:5" ht="16.5" x14ac:dyDescent="0.3">
      <c r="B2399" s="236">
        <v>42143</v>
      </c>
      <c r="C2399" s="73"/>
      <c r="D2399" s="73"/>
      <c r="E2399" s="145">
        <v>11042.12</v>
      </c>
    </row>
    <row r="2400" spans="2:5" ht="16.5" x14ac:dyDescent="0.3">
      <c r="B2400" s="236">
        <v>42142</v>
      </c>
      <c r="C2400" s="73"/>
      <c r="D2400" s="73"/>
      <c r="E2400" s="145">
        <v>11052.7</v>
      </c>
    </row>
    <row r="2401" spans="2:5" ht="16.5" x14ac:dyDescent="0.3">
      <c r="B2401" s="236">
        <v>42139</v>
      </c>
      <c r="C2401" s="73"/>
      <c r="D2401" s="73"/>
      <c r="E2401" s="145">
        <v>10905.75</v>
      </c>
    </row>
    <row r="2402" spans="2:5" ht="16.5" x14ac:dyDescent="0.3">
      <c r="B2402" s="236">
        <v>42138</v>
      </c>
      <c r="C2402" s="73"/>
      <c r="D2402" s="73"/>
      <c r="E2402" s="145">
        <v>10855.42</v>
      </c>
    </row>
    <row r="2403" spans="2:5" ht="16.5" x14ac:dyDescent="0.3">
      <c r="B2403" s="236">
        <v>42137</v>
      </c>
      <c r="C2403" s="73"/>
      <c r="D2403" s="73"/>
      <c r="E2403" s="145">
        <v>10870.3</v>
      </c>
    </row>
    <row r="2404" spans="2:5" ht="16.5" x14ac:dyDescent="0.3">
      <c r="B2404" s="236">
        <v>42136</v>
      </c>
      <c r="C2404" s="73"/>
      <c r="D2404" s="73"/>
      <c r="E2404" s="145">
        <v>10727.03</v>
      </c>
    </row>
    <row r="2405" spans="2:5" ht="16.5" x14ac:dyDescent="0.3">
      <c r="B2405" s="236">
        <v>42135</v>
      </c>
      <c r="C2405" s="73"/>
      <c r="D2405" s="73"/>
      <c r="E2405" s="145">
        <v>10988.82</v>
      </c>
    </row>
    <row r="2406" spans="2:5" ht="16.5" x14ac:dyDescent="0.3">
      <c r="B2406" s="236">
        <v>42132</v>
      </c>
      <c r="C2406" s="73"/>
      <c r="D2406" s="73"/>
      <c r="E2406" s="145">
        <v>10812.25</v>
      </c>
    </row>
    <row r="2407" spans="2:5" ht="16.5" x14ac:dyDescent="0.3">
      <c r="B2407" s="236">
        <v>42131</v>
      </c>
      <c r="C2407" s="73"/>
      <c r="D2407" s="73"/>
      <c r="E2407" s="145">
        <v>10630.43</v>
      </c>
    </row>
    <row r="2408" spans="2:5" ht="16.5" x14ac:dyDescent="0.3">
      <c r="B2408" s="236">
        <v>42130</v>
      </c>
      <c r="C2408" s="73"/>
      <c r="D2408" s="73"/>
      <c r="E2408" s="145">
        <v>10682.81</v>
      </c>
    </row>
    <row r="2409" spans="2:5" ht="16.5" x14ac:dyDescent="0.3">
      <c r="B2409" s="236">
        <v>42129</v>
      </c>
      <c r="C2409" s="73"/>
      <c r="D2409" s="73"/>
      <c r="E2409" s="145">
        <v>10983.33</v>
      </c>
    </row>
    <row r="2410" spans="2:5" ht="16.5" x14ac:dyDescent="0.3">
      <c r="B2410" s="236">
        <v>42128</v>
      </c>
      <c r="C2410" s="73"/>
      <c r="D2410" s="73"/>
      <c r="E2410" s="145">
        <v>10992.81</v>
      </c>
    </row>
    <row r="2411" spans="2:5" ht="16.5" x14ac:dyDescent="0.3">
      <c r="B2411" s="236">
        <v>42124</v>
      </c>
      <c r="C2411" s="73"/>
      <c r="D2411" s="73"/>
      <c r="E2411" s="145">
        <v>10794.27</v>
      </c>
    </row>
    <row r="2412" spans="2:5" ht="16.5" x14ac:dyDescent="0.3">
      <c r="B2412" s="236">
        <v>42123</v>
      </c>
      <c r="C2412" s="73"/>
      <c r="D2412" s="73"/>
      <c r="E2412" s="145">
        <v>10871.15</v>
      </c>
    </row>
    <row r="2413" spans="2:5" ht="16.5" x14ac:dyDescent="0.3">
      <c r="B2413" s="236">
        <v>42122</v>
      </c>
      <c r="C2413" s="73"/>
      <c r="D2413" s="73"/>
      <c r="E2413" s="145">
        <v>10931.63</v>
      </c>
    </row>
    <row r="2414" spans="2:5" ht="16.5" x14ac:dyDescent="0.3">
      <c r="B2414" s="236">
        <v>42121</v>
      </c>
      <c r="C2414" s="73"/>
      <c r="D2414" s="73"/>
      <c r="E2414" s="145">
        <v>10836.88</v>
      </c>
    </row>
    <row r="2415" spans="2:5" ht="16.5" x14ac:dyDescent="0.3">
      <c r="B2415" s="236">
        <v>42118</v>
      </c>
      <c r="C2415" s="73"/>
      <c r="D2415" s="73"/>
      <c r="E2415" s="145">
        <v>10957.58</v>
      </c>
    </row>
    <row r="2416" spans="2:5" ht="16.5" x14ac:dyDescent="0.3">
      <c r="B2416" s="236">
        <v>42117</v>
      </c>
      <c r="C2416" s="73"/>
      <c r="D2416" s="73"/>
      <c r="E2416" s="145">
        <v>11079.67</v>
      </c>
    </row>
    <row r="2417" spans="2:5" ht="16.5" x14ac:dyDescent="0.3">
      <c r="B2417" s="236">
        <v>42116</v>
      </c>
      <c r="C2417" s="73"/>
      <c r="D2417" s="73"/>
      <c r="E2417" s="145">
        <v>11121.12</v>
      </c>
    </row>
    <row r="2418" spans="2:5" ht="16.5" x14ac:dyDescent="0.3">
      <c r="B2418" s="236">
        <v>42115</v>
      </c>
      <c r="C2418" s="73"/>
      <c r="D2418" s="73"/>
      <c r="E2418" s="145">
        <v>11052.56</v>
      </c>
    </row>
    <row r="2419" spans="2:5" ht="16.5" x14ac:dyDescent="0.3">
      <c r="B2419" s="236">
        <v>42114</v>
      </c>
      <c r="C2419" s="73"/>
      <c r="D2419" s="73"/>
      <c r="E2419" s="145">
        <v>11145.37</v>
      </c>
    </row>
    <row r="2420" spans="2:5" ht="16.5" x14ac:dyDescent="0.3">
      <c r="B2420" s="236">
        <v>42111</v>
      </c>
      <c r="C2420" s="73"/>
      <c r="D2420" s="73"/>
      <c r="E2420" s="145">
        <v>11353.68</v>
      </c>
    </row>
    <row r="2421" spans="2:5" ht="16.5" x14ac:dyDescent="0.3">
      <c r="B2421" s="236">
        <v>42110</v>
      </c>
      <c r="C2421" s="73"/>
      <c r="D2421" s="73"/>
      <c r="E2421" s="145">
        <v>11486.56</v>
      </c>
    </row>
    <row r="2422" spans="2:5" ht="16.5" x14ac:dyDescent="0.3">
      <c r="B2422" s="236">
        <v>42109</v>
      </c>
      <c r="C2422" s="73"/>
      <c r="D2422" s="73"/>
      <c r="E2422" s="145">
        <v>11543.96</v>
      </c>
    </row>
    <row r="2423" spans="2:5" ht="16.5" x14ac:dyDescent="0.3">
      <c r="B2423" s="236">
        <v>42107</v>
      </c>
      <c r="C2423" s="73"/>
      <c r="D2423" s="73"/>
      <c r="E2423" s="145">
        <v>11654.49</v>
      </c>
    </row>
    <row r="2424" spans="2:5" ht="16.5" x14ac:dyDescent="0.3">
      <c r="B2424" s="236">
        <v>42104</v>
      </c>
      <c r="C2424" s="73"/>
      <c r="D2424" s="73"/>
      <c r="E2424" s="145">
        <v>11583.75</v>
      </c>
    </row>
    <row r="2425" spans="2:5" ht="16.5" x14ac:dyDescent="0.3">
      <c r="B2425" s="236">
        <v>42103</v>
      </c>
      <c r="C2425" s="73"/>
      <c r="D2425" s="73"/>
      <c r="E2425" s="145">
        <v>11581.01</v>
      </c>
    </row>
    <row r="2426" spans="2:5" ht="16.5" x14ac:dyDescent="0.3">
      <c r="B2426" s="236">
        <v>42102</v>
      </c>
      <c r="C2426" s="73"/>
      <c r="D2426" s="73"/>
      <c r="E2426" s="145">
        <v>11496.74</v>
      </c>
    </row>
    <row r="2427" spans="2:5" ht="16.5" x14ac:dyDescent="0.3">
      <c r="B2427" s="236">
        <v>42101</v>
      </c>
      <c r="C2427" s="73"/>
      <c r="D2427" s="73"/>
      <c r="E2427" s="145">
        <v>11425.33</v>
      </c>
    </row>
    <row r="2428" spans="2:5" ht="16.5" x14ac:dyDescent="0.3">
      <c r="B2428" s="236">
        <v>42100</v>
      </c>
      <c r="C2428" s="73"/>
      <c r="D2428" s="73"/>
      <c r="E2428" s="145">
        <v>11424.83</v>
      </c>
    </row>
    <row r="2429" spans="2:5" ht="16.5" x14ac:dyDescent="0.3">
      <c r="B2429" s="236">
        <v>42095</v>
      </c>
      <c r="C2429" s="73"/>
      <c r="D2429" s="73"/>
      <c r="E2429" s="145">
        <v>11327.63</v>
      </c>
    </row>
    <row r="2430" spans="2:5" ht="16.5" x14ac:dyDescent="0.3">
      <c r="B2430" s="236">
        <v>42094</v>
      </c>
      <c r="C2430" s="73"/>
      <c r="D2430" s="73"/>
      <c r="E2430" s="145">
        <v>11201.99</v>
      </c>
    </row>
    <row r="2431" spans="2:5" ht="16.5" x14ac:dyDescent="0.3">
      <c r="B2431" s="236">
        <v>42093</v>
      </c>
      <c r="C2431" s="73"/>
      <c r="D2431" s="73"/>
      <c r="E2431" s="145">
        <v>11203.71</v>
      </c>
    </row>
    <row r="2432" spans="2:5" ht="16.5" x14ac:dyDescent="0.3">
      <c r="B2432" s="236">
        <v>42090</v>
      </c>
      <c r="C2432" s="73"/>
      <c r="D2432" s="73"/>
      <c r="E2432" s="145">
        <v>11004.63</v>
      </c>
    </row>
    <row r="2433" spans="2:5" ht="16.5" x14ac:dyDescent="0.3">
      <c r="B2433" s="236">
        <v>42089</v>
      </c>
      <c r="C2433" s="73"/>
      <c r="D2433" s="73"/>
      <c r="E2433" s="145">
        <v>11005.59</v>
      </c>
    </row>
    <row r="2434" spans="2:5" ht="16.5" x14ac:dyDescent="0.3">
      <c r="B2434" s="236">
        <v>42088</v>
      </c>
      <c r="C2434" s="73"/>
      <c r="D2434" s="73"/>
      <c r="E2434" s="145">
        <v>11254.51</v>
      </c>
    </row>
    <row r="2435" spans="2:5" ht="16.5" x14ac:dyDescent="0.3">
      <c r="B2435" s="236">
        <v>42087</v>
      </c>
      <c r="C2435" s="73"/>
      <c r="D2435" s="73"/>
      <c r="E2435" s="145">
        <v>11269.62</v>
      </c>
    </row>
    <row r="2436" spans="2:5" ht="16.5" x14ac:dyDescent="0.3">
      <c r="B2436" s="236">
        <v>42086</v>
      </c>
      <c r="C2436" s="73"/>
      <c r="D2436" s="73"/>
      <c r="E2436" s="145">
        <v>11277.98</v>
      </c>
    </row>
    <row r="2437" spans="2:5" ht="16.5" x14ac:dyDescent="0.3">
      <c r="B2437" s="236">
        <v>42083</v>
      </c>
      <c r="C2437" s="73"/>
      <c r="D2437" s="73"/>
      <c r="E2437" s="145">
        <v>11304.37</v>
      </c>
    </row>
    <row r="2438" spans="2:5" ht="16.5" x14ac:dyDescent="0.3">
      <c r="B2438" s="236">
        <v>42082</v>
      </c>
      <c r="C2438" s="73"/>
      <c r="D2438" s="73"/>
      <c r="E2438" s="145">
        <v>11380.91</v>
      </c>
    </row>
    <row r="2439" spans="2:5" ht="16.5" x14ac:dyDescent="0.3">
      <c r="B2439" s="236">
        <v>42081</v>
      </c>
      <c r="C2439" s="73"/>
      <c r="D2439" s="73"/>
      <c r="E2439" s="145">
        <v>11448.46</v>
      </c>
    </row>
    <row r="2440" spans="2:5" ht="16.5" x14ac:dyDescent="0.3">
      <c r="B2440" s="236">
        <v>42080</v>
      </c>
      <c r="C2440" s="73"/>
      <c r="D2440" s="73"/>
      <c r="E2440" s="145">
        <v>11497.78</v>
      </c>
    </row>
    <row r="2441" spans="2:5" ht="16.5" x14ac:dyDescent="0.3">
      <c r="B2441" s="236">
        <v>42079</v>
      </c>
      <c r="C2441" s="73"/>
      <c r="D2441" s="73"/>
      <c r="E2441" s="145">
        <v>11378.97</v>
      </c>
    </row>
    <row r="2442" spans="2:5" ht="16.5" x14ac:dyDescent="0.3">
      <c r="B2442" s="236">
        <v>42076</v>
      </c>
      <c r="C2442" s="73"/>
      <c r="D2442" s="73"/>
      <c r="E2442" s="145">
        <v>11398.21</v>
      </c>
    </row>
    <row r="2443" spans="2:5" ht="16.5" x14ac:dyDescent="0.3">
      <c r="B2443" s="236">
        <v>42075</v>
      </c>
      <c r="C2443" s="73"/>
      <c r="D2443" s="73"/>
      <c r="E2443" s="145">
        <v>11567.25</v>
      </c>
    </row>
    <row r="2444" spans="2:5" ht="16.5" x14ac:dyDescent="0.3">
      <c r="B2444" s="236">
        <v>42074</v>
      </c>
      <c r="C2444" s="73"/>
      <c r="D2444" s="73"/>
      <c r="E2444" s="145">
        <v>11466.5</v>
      </c>
    </row>
    <row r="2445" spans="2:5" ht="16.5" x14ac:dyDescent="0.3">
      <c r="B2445" s="236">
        <v>42073</v>
      </c>
      <c r="C2445" s="73"/>
      <c r="D2445" s="73"/>
      <c r="E2445" s="145">
        <v>11482.4</v>
      </c>
    </row>
    <row r="2446" spans="2:5" ht="16.5" x14ac:dyDescent="0.3">
      <c r="B2446" s="236">
        <v>42072</v>
      </c>
      <c r="C2446" s="73"/>
      <c r="D2446" s="73"/>
      <c r="E2446" s="145">
        <v>11541.34</v>
      </c>
    </row>
    <row r="2447" spans="2:5" ht="16.5" x14ac:dyDescent="0.3">
      <c r="B2447" s="236">
        <v>42068</v>
      </c>
      <c r="C2447" s="73"/>
      <c r="D2447" s="73"/>
      <c r="E2447" s="145">
        <v>11779.43</v>
      </c>
    </row>
    <row r="2448" spans="2:5" ht="16.5" x14ac:dyDescent="0.3">
      <c r="B2448" s="236">
        <v>42067</v>
      </c>
      <c r="C2448" s="73"/>
      <c r="D2448" s="73"/>
      <c r="E2448" s="145">
        <v>11759.58</v>
      </c>
    </row>
    <row r="2449" spans="2:5" ht="16.5" x14ac:dyDescent="0.3">
      <c r="B2449" s="236">
        <v>42066</v>
      </c>
      <c r="C2449" s="73"/>
      <c r="D2449" s="73"/>
      <c r="E2449" s="145">
        <v>11856.58</v>
      </c>
    </row>
    <row r="2450" spans="2:5" ht="16.5" x14ac:dyDescent="0.3">
      <c r="B2450" s="236">
        <v>42065</v>
      </c>
      <c r="C2450" s="73"/>
      <c r="D2450" s="73"/>
      <c r="E2450" s="145">
        <v>11796.73</v>
      </c>
    </row>
    <row r="2451" spans="2:5" ht="16.5" x14ac:dyDescent="0.3">
      <c r="B2451" s="236">
        <v>42063</v>
      </c>
      <c r="C2451" s="73"/>
      <c r="D2451" s="73"/>
      <c r="E2451" s="145">
        <v>11723.28</v>
      </c>
    </row>
    <row r="2452" spans="2:5" ht="16.5" x14ac:dyDescent="0.3">
      <c r="B2452" s="236">
        <v>42062</v>
      </c>
      <c r="C2452" s="73"/>
      <c r="D2452" s="73"/>
      <c r="E2452" s="145">
        <v>11647.9</v>
      </c>
    </row>
    <row r="2453" spans="2:5" ht="16.5" x14ac:dyDescent="0.3">
      <c r="B2453" s="236">
        <v>42061</v>
      </c>
      <c r="C2453" s="73"/>
      <c r="D2453" s="73"/>
      <c r="E2453" s="145">
        <v>11436.2</v>
      </c>
    </row>
    <row r="2454" spans="2:5" ht="16.5" x14ac:dyDescent="0.3">
      <c r="B2454" s="236">
        <v>42060</v>
      </c>
      <c r="C2454" s="73"/>
      <c r="D2454" s="73"/>
      <c r="E2454" s="145">
        <v>11546.02</v>
      </c>
    </row>
    <row r="2455" spans="2:5" ht="16.5" x14ac:dyDescent="0.3">
      <c r="B2455" s="236">
        <v>42059</v>
      </c>
      <c r="C2455" s="73"/>
      <c r="D2455" s="73"/>
      <c r="E2455" s="145">
        <v>11539.22</v>
      </c>
    </row>
    <row r="2456" spans="2:5" ht="16.5" x14ac:dyDescent="0.3">
      <c r="B2456" s="236">
        <v>42058</v>
      </c>
      <c r="C2456" s="73"/>
      <c r="D2456" s="73"/>
      <c r="E2456" s="145">
        <v>11529.79</v>
      </c>
    </row>
    <row r="2457" spans="2:5" ht="16.5" x14ac:dyDescent="0.3">
      <c r="B2457" s="236">
        <v>42055</v>
      </c>
      <c r="C2457" s="73"/>
      <c r="D2457" s="73"/>
      <c r="E2457" s="145">
        <v>11633.41</v>
      </c>
    </row>
    <row r="2458" spans="2:5" ht="16.5" x14ac:dyDescent="0.3">
      <c r="B2458" s="236">
        <v>42054</v>
      </c>
      <c r="C2458" s="73"/>
      <c r="D2458" s="73"/>
      <c r="E2458" s="145">
        <v>11714.65</v>
      </c>
    </row>
    <row r="2459" spans="2:5" ht="16.5" x14ac:dyDescent="0.3">
      <c r="B2459" s="236">
        <v>42053</v>
      </c>
      <c r="C2459" s="73"/>
      <c r="D2459" s="73"/>
      <c r="E2459" s="145">
        <v>11680.18</v>
      </c>
    </row>
    <row r="2460" spans="2:5" ht="16.5" x14ac:dyDescent="0.3">
      <c r="B2460" s="236">
        <v>42051</v>
      </c>
      <c r="C2460" s="73"/>
      <c r="D2460" s="73"/>
      <c r="E2460" s="145">
        <v>11600.46</v>
      </c>
    </row>
    <row r="2461" spans="2:5" ht="16.5" x14ac:dyDescent="0.3">
      <c r="B2461" s="236">
        <v>42048</v>
      </c>
      <c r="C2461" s="73"/>
      <c r="D2461" s="73"/>
      <c r="E2461" s="145">
        <v>11595.25</v>
      </c>
    </row>
    <row r="2462" spans="2:5" ht="16.5" x14ac:dyDescent="0.3">
      <c r="B2462" s="236">
        <v>42047</v>
      </c>
      <c r="C2462" s="73"/>
      <c r="D2462" s="73"/>
      <c r="E2462" s="145">
        <v>11471.52</v>
      </c>
    </row>
    <row r="2463" spans="2:5" ht="16.5" x14ac:dyDescent="0.3">
      <c r="B2463" s="236">
        <v>42046</v>
      </c>
      <c r="C2463" s="73"/>
      <c r="D2463" s="73"/>
      <c r="E2463" s="145">
        <v>11360.75</v>
      </c>
    </row>
    <row r="2464" spans="2:5" ht="16.5" x14ac:dyDescent="0.3">
      <c r="B2464" s="236">
        <v>42045</v>
      </c>
      <c r="C2464" s="73"/>
      <c r="D2464" s="73"/>
      <c r="E2464" s="145">
        <v>11279.29</v>
      </c>
    </row>
    <row r="2465" spans="2:5" ht="16.5" x14ac:dyDescent="0.3">
      <c r="B2465" s="236">
        <v>42044</v>
      </c>
      <c r="C2465" s="73"/>
      <c r="D2465" s="73"/>
      <c r="E2465" s="145">
        <v>11227.7</v>
      </c>
    </row>
    <row r="2466" spans="2:5" ht="16.5" x14ac:dyDescent="0.3">
      <c r="B2466" s="236">
        <v>42041</v>
      </c>
      <c r="C2466" s="73"/>
      <c r="D2466" s="73"/>
      <c r="E2466" s="145">
        <v>11405.06</v>
      </c>
    </row>
    <row r="2467" spans="2:5" ht="16.5" x14ac:dyDescent="0.3">
      <c r="B2467" s="236">
        <v>42040</v>
      </c>
      <c r="C2467" s="73"/>
      <c r="D2467" s="73"/>
      <c r="E2467" s="145">
        <v>11471.77</v>
      </c>
    </row>
    <row r="2468" spans="2:5" ht="16.5" x14ac:dyDescent="0.3">
      <c r="B2468" s="236">
        <v>42039</v>
      </c>
      <c r="C2468" s="73"/>
      <c r="D2468" s="73"/>
      <c r="E2468" s="145">
        <v>11487.57</v>
      </c>
    </row>
    <row r="2469" spans="2:5" ht="16.5" x14ac:dyDescent="0.3">
      <c r="B2469" s="236">
        <v>42038</v>
      </c>
      <c r="C2469" s="73"/>
      <c r="D2469" s="73"/>
      <c r="E2469" s="145">
        <v>11529.72</v>
      </c>
    </row>
    <row r="2470" spans="2:5" ht="16.5" x14ac:dyDescent="0.3">
      <c r="B2470" s="236">
        <v>42037</v>
      </c>
      <c r="C2470" s="73"/>
      <c r="D2470" s="73"/>
      <c r="E2470" s="145">
        <v>11583.49</v>
      </c>
    </row>
    <row r="2471" spans="2:5" ht="16.5" x14ac:dyDescent="0.3">
      <c r="B2471" s="236">
        <v>42034</v>
      </c>
      <c r="C2471" s="73"/>
      <c r="D2471" s="73"/>
      <c r="E2471" s="145">
        <v>11598.64</v>
      </c>
    </row>
    <row r="2472" spans="2:5" ht="16.5" x14ac:dyDescent="0.3">
      <c r="B2472" s="236">
        <v>42033</v>
      </c>
      <c r="C2472" s="73"/>
      <c r="D2472" s="73"/>
      <c r="E2472" s="145">
        <v>11787.53</v>
      </c>
    </row>
    <row r="2473" spans="2:5" ht="16.5" x14ac:dyDescent="0.3">
      <c r="B2473" s="236">
        <v>42032</v>
      </c>
      <c r="C2473" s="73"/>
      <c r="D2473" s="73"/>
      <c r="E2473" s="145">
        <v>11737.42</v>
      </c>
    </row>
    <row r="2474" spans="2:5" ht="16.5" x14ac:dyDescent="0.3">
      <c r="B2474" s="236">
        <v>42031</v>
      </c>
      <c r="C2474" s="73"/>
      <c r="D2474" s="73"/>
      <c r="E2474" s="145">
        <v>11732.39</v>
      </c>
    </row>
    <row r="2475" spans="2:5" ht="16.5" x14ac:dyDescent="0.3">
      <c r="B2475" s="236">
        <v>42027</v>
      </c>
      <c r="C2475" s="73"/>
      <c r="D2475" s="73"/>
      <c r="E2475" s="145">
        <v>11633.06</v>
      </c>
    </row>
    <row r="2476" spans="2:5" ht="16.5" x14ac:dyDescent="0.3">
      <c r="B2476" s="236">
        <v>42026</v>
      </c>
      <c r="C2476" s="73"/>
      <c r="D2476" s="73"/>
      <c r="E2476" s="145">
        <v>11535.32</v>
      </c>
    </row>
    <row r="2477" spans="2:5" ht="16.5" x14ac:dyDescent="0.3">
      <c r="B2477" s="236">
        <v>42025</v>
      </c>
      <c r="C2477" s="73"/>
      <c r="D2477" s="73"/>
      <c r="E2477" s="145">
        <v>11492.4</v>
      </c>
    </row>
    <row r="2478" spans="2:5" ht="16.5" x14ac:dyDescent="0.3">
      <c r="B2478" s="236">
        <v>42024</v>
      </c>
      <c r="C2478" s="73"/>
      <c r="D2478" s="73"/>
      <c r="E2478" s="145">
        <v>11447.77</v>
      </c>
    </row>
    <row r="2479" spans="2:5" ht="16.5" x14ac:dyDescent="0.3">
      <c r="B2479" s="236">
        <v>42023</v>
      </c>
      <c r="C2479" s="73"/>
      <c r="D2479" s="73"/>
      <c r="E2479" s="145">
        <v>11257.01</v>
      </c>
    </row>
    <row r="2480" spans="2:5" ht="16.5" x14ac:dyDescent="0.3">
      <c r="B2480" s="236">
        <v>42020</v>
      </c>
      <c r="C2480" s="73"/>
      <c r="D2480" s="73"/>
      <c r="E2480" s="145">
        <v>11208.42</v>
      </c>
    </row>
    <row r="2481" spans="2:5" ht="16.5" x14ac:dyDescent="0.3">
      <c r="B2481" s="236">
        <v>42019</v>
      </c>
      <c r="C2481" s="73"/>
      <c r="D2481" s="73"/>
      <c r="E2481" s="145">
        <v>11182.52</v>
      </c>
    </row>
    <row r="2482" spans="2:5" ht="16.5" x14ac:dyDescent="0.3">
      <c r="B2482" s="236">
        <v>42018</v>
      </c>
      <c r="C2482" s="73"/>
      <c r="D2482" s="73"/>
      <c r="E2482" s="145">
        <v>10897.36</v>
      </c>
    </row>
    <row r="2483" spans="2:5" ht="16.5" x14ac:dyDescent="0.3">
      <c r="B2483" s="236">
        <v>42017</v>
      </c>
      <c r="C2483" s="73"/>
      <c r="D2483" s="73"/>
      <c r="E2483" s="145">
        <v>10926.16</v>
      </c>
    </row>
    <row r="2484" spans="2:5" ht="16.5" x14ac:dyDescent="0.3">
      <c r="B2484" s="236">
        <v>42016</v>
      </c>
      <c r="C2484" s="73"/>
      <c r="D2484" s="73"/>
      <c r="E2484" s="145">
        <v>10957.22</v>
      </c>
    </row>
    <row r="2485" spans="2:5" ht="16.5" x14ac:dyDescent="0.3">
      <c r="B2485" s="236">
        <v>42013</v>
      </c>
      <c r="C2485" s="73"/>
      <c r="D2485" s="73"/>
      <c r="E2485" s="145">
        <v>10906.56</v>
      </c>
    </row>
    <row r="2486" spans="2:5" ht="16.5" x14ac:dyDescent="0.3">
      <c r="B2486" s="236">
        <v>42012</v>
      </c>
      <c r="C2486" s="73"/>
      <c r="D2486" s="73"/>
      <c r="E2486" s="145">
        <v>10840.84</v>
      </c>
    </row>
    <row r="2487" spans="2:5" ht="16.5" x14ac:dyDescent="0.3">
      <c r="B2487" s="236">
        <v>42011</v>
      </c>
      <c r="C2487" s="73"/>
      <c r="D2487" s="73"/>
      <c r="E2487" s="145">
        <v>10666.38</v>
      </c>
    </row>
    <row r="2488" spans="2:5" ht="16.5" x14ac:dyDescent="0.3">
      <c r="B2488" s="236">
        <v>42010</v>
      </c>
      <c r="C2488" s="73"/>
      <c r="D2488" s="73"/>
      <c r="E2488" s="145">
        <v>10699.62</v>
      </c>
    </row>
    <row r="2489" spans="2:5" ht="16.5" x14ac:dyDescent="0.3">
      <c r="B2489" s="236">
        <v>42009</v>
      </c>
      <c r="C2489" s="73"/>
      <c r="D2489" s="73"/>
      <c r="E2489" s="145">
        <v>11030.18</v>
      </c>
    </row>
    <row r="2490" spans="2:5" ht="16.5" x14ac:dyDescent="0.3">
      <c r="B2490" s="236">
        <v>42006</v>
      </c>
      <c r="C2490" s="73"/>
      <c r="D2490" s="73"/>
      <c r="E2490" s="145">
        <v>11052.57</v>
      </c>
    </row>
    <row r="2491" spans="2:5" ht="16.5" x14ac:dyDescent="0.3">
      <c r="B2491" s="236">
        <v>42005</v>
      </c>
      <c r="C2491" s="73"/>
      <c r="D2491" s="73"/>
      <c r="E2491" s="145">
        <v>10905.87</v>
      </c>
    </row>
    <row r="2492" spans="2:5" ht="16.5" x14ac:dyDescent="0.3">
      <c r="B2492" s="236">
        <v>42004</v>
      </c>
      <c r="C2492" s="73"/>
      <c r="D2492" s="73"/>
      <c r="E2492" s="145">
        <v>10904.18</v>
      </c>
    </row>
    <row r="2493" spans="2:5" ht="16.5" x14ac:dyDescent="0.3">
      <c r="B2493" s="236">
        <v>42003</v>
      </c>
      <c r="C2493" s="73"/>
      <c r="D2493" s="73"/>
      <c r="E2493" s="145">
        <v>10858.82</v>
      </c>
    </row>
    <row r="2494" spans="2:5" ht="16.5" x14ac:dyDescent="0.3">
      <c r="B2494" s="236">
        <v>42002</v>
      </c>
      <c r="C2494" s="73"/>
      <c r="D2494" s="73"/>
      <c r="E2494" s="145">
        <v>10856.23</v>
      </c>
    </row>
    <row r="2495" spans="2:5" ht="16.5" x14ac:dyDescent="0.3">
      <c r="B2495" s="236">
        <v>41999</v>
      </c>
      <c r="C2495" s="73"/>
      <c r="D2495" s="73"/>
      <c r="E2495" s="145">
        <v>10796.22</v>
      </c>
    </row>
    <row r="2496" spans="2:5" ht="16.5" x14ac:dyDescent="0.3">
      <c r="B2496" s="236">
        <v>41997</v>
      </c>
      <c r="C2496" s="73"/>
      <c r="D2496" s="73"/>
      <c r="E2496" s="145">
        <v>10761.16</v>
      </c>
    </row>
    <row r="2497" spans="2:5" ht="16.5" x14ac:dyDescent="0.3">
      <c r="B2497" s="236">
        <v>41996</v>
      </c>
      <c r="C2497" s="73"/>
      <c r="D2497" s="73"/>
      <c r="E2497" s="145">
        <v>10883.52</v>
      </c>
    </row>
    <row r="2498" spans="2:5" ht="16.5" x14ac:dyDescent="0.3">
      <c r="B2498" s="236">
        <v>41995</v>
      </c>
      <c r="C2498" s="73"/>
      <c r="D2498" s="73"/>
      <c r="E2498" s="145">
        <v>10958.56</v>
      </c>
    </row>
    <row r="2499" spans="2:5" ht="16.5" x14ac:dyDescent="0.3">
      <c r="B2499" s="236">
        <v>41992</v>
      </c>
      <c r="C2499" s="73"/>
      <c r="D2499" s="73"/>
      <c r="E2499" s="145">
        <v>10828.45</v>
      </c>
    </row>
    <row r="2500" spans="2:5" ht="16.5" x14ac:dyDescent="0.3">
      <c r="B2500" s="236">
        <v>41991</v>
      </c>
      <c r="C2500" s="73"/>
      <c r="D2500" s="73"/>
      <c r="E2500" s="145">
        <v>10741.73</v>
      </c>
    </row>
    <row r="2501" spans="2:5" ht="16.5" x14ac:dyDescent="0.3">
      <c r="B2501" s="236">
        <v>41990</v>
      </c>
      <c r="C2501" s="73"/>
      <c r="D2501" s="73"/>
      <c r="E2501" s="145">
        <v>10571.25</v>
      </c>
    </row>
    <row r="2502" spans="2:5" ht="16.5" x14ac:dyDescent="0.3">
      <c r="B2502" s="236">
        <v>41989</v>
      </c>
      <c r="C2502" s="73"/>
      <c r="D2502" s="73"/>
      <c r="E2502" s="145">
        <v>10620.96</v>
      </c>
    </row>
    <row r="2503" spans="2:5" ht="16.5" x14ac:dyDescent="0.3">
      <c r="B2503" s="236">
        <v>41988</v>
      </c>
      <c r="C2503" s="73"/>
      <c r="D2503" s="73"/>
      <c r="E2503" s="145">
        <v>10818.45</v>
      </c>
    </row>
    <row r="2504" spans="2:5" ht="16.5" x14ac:dyDescent="0.3">
      <c r="B2504" s="236">
        <v>41985</v>
      </c>
      <c r="C2504" s="73"/>
      <c r="D2504" s="73"/>
      <c r="E2504" s="145">
        <v>10824.36</v>
      </c>
    </row>
    <row r="2505" spans="2:5" ht="16.5" x14ac:dyDescent="0.3">
      <c r="B2505" s="236">
        <v>41984</v>
      </c>
      <c r="C2505" s="73"/>
      <c r="D2505" s="73"/>
      <c r="E2505" s="145">
        <v>10914.91</v>
      </c>
    </row>
    <row r="2506" spans="2:5" ht="16.5" x14ac:dyDescent="0.3">
      <c r="B2506" s="236">
        <v>41983</v>
      </c>
      <c r="C2506" s="73"/>
      <c r="D2506" s="73"/>
      <c r="E2506" s="145">
        <v>10997.53</v>
      </c>
    </row>
    <row r="2507" spans="2:5" ht="16.5" x14ac:dyDescent="0.3">
      <c r="B2507" s="236">
        <v>41982</v>
      </c>
      <c r="C2507" s="73"/>
      <c r="D2507" s="73"/>
      <c r="E2507" s="145">
        <v>10977.83</v>
      </c>
    </row>
    <row r="2508" spans="2:5" ht="16.5" x14ac:dyDescent="0.3">
      <c r="B2508" s="236">
        <v>41981</v>
      </c>
      <c r="C2508" s="73"/>
      <c r="D2508" s="73"/>
      <c r="E2508" s="145">
        <v>11106.22</v>
      </c>
    </row>
    <row r="2509" spans="2:5" ht="16.5" x14ac:dyDescent="0.3">
      <c r="B2509" s="236">
        <v>41978</v>
      </c>
      <c r="C2509" s="73"/>
      <c r="D2509" s="73"/>
      <c r="E2509" s="145">
        <v>11237.89</v>
      </c>
    </row>
    <row r="2510" spans="2:5" ht="16.5" x14ac:dyDescent="0.3">
      <c r="B2510" s="236">
        <v>41977</v>
      </c>
      <c r="C2510" s="73"/>
      <c r="D2510" s="73"/>
      <c r="E2510" s="145">
        <v>11272.28</v>
      </c>
    </row>
    <row r="2511" spans="2:5" ht="16.5" x14ac:dyDescent="0.3">
      <c r="B2511" s="236">
        <v>41976</v>
      </c>
      <c r="C2511" s="73"/>
      <c r="D2511" s="73"/>
      <c r="E2511" s="145">
        <v>11237.05</v>
      </c>
    </row>
    <row r="2512" spans="2:5" ht="16.5" x14ac:dyDescent="0.3">
      <c r="B2512" s="236">
        <v>41975</v>
      </c>
      <c r="C2512" s="73"/>
      <c r="D2512" s="73"/>
      <c r="E2512" s="145">
        <v>11219.98</v>
      </c>
    </row>
    <row r="2513" spans="2:5" ht="16.5" x14ac:dyDescent="0.3">
      <c r="B2513" s="236">
        <v>41974</v>
      </c>
      <c r="C2513" s="73"/>
      <c r="D2513" s="73"/>
      <c r="E2513" s="145">
        <v>11261.08</v>
      </c>
    </row>
    <row r="2514" spans="2:5" ht="16.5" x14ac:dyDescent="0.3">
      <c r="B2514" s="236">
        <v>41971</v>
      </c>
      <c r="C2514" s="73"/>
      <c r="D2514" s="73"/>
      <c r="E2514" s="145">
        <v>11303.65</v>
      </c>
    </row>
    <row r="2515" spans="2:5" ht="16.5" x14ac:dyDescent="0.3">
      <c r="B2515" s="236">
        <v>41970</v>
      </c>
      <c r="C2515" s="73"/>
      <c r="D2515" s="73"/>
      <c r="E2515" s="145">
        <v>11179.89</v>
      </c>
    </row>
    <row r="2516" spans="2:5" ht="16.5" x14ac:dyDescent="0.3">
      <c r="B2516" s="236">
        <v>41969</v>
      </c>
      <c r="C2516" s="73"/>
      <c r="D2516" s="73"/>
      <c r="E2516" s="145">
        <v>11155.59</v>
      </c>
    </row>
    <row r="2517" spans="2:5" ht="16.5" x14ac:dyDescent="0.3">
      <c r="B2517" s="236">
        <v>41968</v>
      </c>
      <c r="C2517" s="73"/>
      <c r="D2517" s="73"/>
      <c r="E2517" s="145">
        <v>11138.95</v>
      </c>
    </row>
    <row r="2518" spans="2:5" ht="16.5" x14ac:dyDescent="0.3">
      <c r="B2518" s="236">
        <v>41967</v>
      </c>
      <c r="C2518" s="73"/>
      <c r="D2518" s="73"/>
      <c r="E2518" s="145">
        <v>11227.19</v>
      </c>
    </row>
    <row r="2519" spans="2:5" ht="16.5" x14ac:dyDescent="0.3">
      <c r="B2519" s="236">
        <v>41964</v>
      </c>
      <c r="C2519" s="73"/>
      <c r="D2519" s="73"/>
      <c r="E2519" s="145">
        <v>11157.68</v>
      </c>
    </row>
    <row r="2520" spans="2:5" ht="16.5" x14ac:dyDescent="0.3">
      <c r="B2520" s="236">
        <v>41963</v>
      </c>
      <c r="C2520" s="73"/>
      <c r="D2520" s="73"/>
      <c r="E2520" s="145">
        <v>11058.39</v>
      </c>
    </row>
    <row r="2521" spans="2:5" ht="16.5" x14ac:dyDescent="0.3">
      <c r="B2521" s="236">
        <v>41962</v>
      </c>
      <c r="C2521" s="73"/>
      <c r="D2521" s="73"/>
      <c r="E2521" s="145">
        <v>11032.59</v>
      </c>
    </row>
    <row r="2522" spans="2:5" ht="16.5" x14ac:dyDescent="0.3">
      <c r="B2522" s="236">
        <v>41961</v>
      </c>
      <c r="C2522" s="73"/>
      <c r="D2522" s="73"/>
      <c r="E2522" s="145">
        <v>11089.98</v>
      </c>
    </row>
    <row r="2523" spans="2:5" ht="16.5" x14ac:dyDescent="0.3">
      <c r="B2523" s="236">
        <v>41960</v>
      </c>
      <c r="C2523" s="73"/>
      <c r="D2523" s="73"/>
      <c r="E2523" s="145">
        <v>11096.32</v>
      </c>
    </row>
    <row r="2524" spans="2:5" ht="16.5" x14ac:dyDescent="0.3">
      <c r="B2524" s="236">
        <v>41957</v>
      </c>
      <c r="C2524" s="73"/>
      <c r="D2524" s="73"/>
      <c r="E2524" s="145">
        <v>11042.61</v>
      </c>
    </row>
    <row r="2525" spans="2:5" ht="16.5" x14ac:dyDescent="0.3">
      <c r="B2525" s="236">
        <v>41956</v>
      </c>
      <c r="C2525" s="73"/>
      <c r="D2525" s="73"/>
      <c r="E2525" s="145">
        <v>11000.37</v>
      </c>
    </row>
    <row r="2526" spans="2:5" ht="16.5" x14ac:dyDescent="0.3">
      <c r="B2526" s="236">
        <v>41955</v>
      </c>
      <c r="C2526" s="73"/>
      <c r="D2526" s="73"/>
      <c r="E2526" s="145">
        <v>11033.19</v>
      </c>
    </row>
    <row r="2527" spans="2:5" ht="16.5" x14ac:dyDescent="0.3">
      <c r="B2527" s="236">
        <v>41954</v>
      </c>
      <c r="C2527" s="73"/>
      <c r="D2527" s="73"/>
      <c r="E2527" s="145">
        <v>11006.04</v>
      </c>
    </row>
    <row r="2528" spans="2:5" ht="16.5" x14ac:dyDescent="0.3">
      <c r="B2528" s="236">
        <v>41953</v>
      </c>
      <c r="C2528" s="73"/>
      <c r="D2528" s="73"/>
      <c r="E2528" s="145">
        <v>10981.77</v>
      </c>
    </row>
    <row r="2529" spans="2:5" ht="16.5" x14ac:dyDescent="0.3">
      <c r="B2529" s="236">
        <v>41950</v>
      </c>
      <c r="C2529" s="73"/>
      <c r="D2529" s="73"/>
      <c r="E2529" s="145">
        <v>10972.24</v>
      </c>
    </row>
    <row r="2530" spans="2:5" ht="16.5" x14ac:dyDescent="0.3">
      <c r="B2530" s="236">
        <v>41948</v>
      </c>
      <c r="C2530" s="73"/>
      <c r="D2530" s="73"/>
      <c r="E2530" s="145">
        <v>10973.95</v>
      </c>
    </row>
    <row r="2531" spans="2:5" ht="16.5" x14ac:dyDescent="0.3">
      <c r="B2531" s="236">
        <v>41946</v>
      </c>
      <c r="C2531" s="73"/>
      <c r="D2531" s="73"/>
      <c r="E2531" s="145">
        <v>10955.32</v>
      </c>
    </row>
    <row r="2532" spans="2:5" ht="16.5" x14ac:dyDescent="0.3">
      <c r="B2532" s="236">
        <v>41943</v>
      </c>
      <c r="C2532" s="73"/>
      <c r="D2532" s="73"/>
      <c r="E2532" s="145">
        <v>10952.14</v>
      </c>
    </row>
    <row r="2533" spans="2:5" ht="16.5" x14ac:dyDescent="0.3">
      <c r="B2533" s="236">
        <v>41942</v>
      </c>
      <c r="C2533" s="73"/>
      <c r="D2533" s="73"/>
      <c r="E2533" s="145">
        <v>10749.57</v>
      </c>
    </row>
    <row r="2534" spans="2:5" ht="16.5" x14ac:dyDescent="0.3">
      <c r="B2534" s="236">
        <v>41941</v>
      </c>
      <c r="C2534" s="73"/>
      <c r="D2534" s="73"/>
      <c r="E2534" s="145">
        <v>10645.96</v>
      </c>
    </row>
    <row r="2535" spans="2:5" ht="16.5" x14ac:dyDescent="0.3">
      <c r="B2535" s="236">
        <v>41940</v>
      </c>
      <c r="C2535" s="73"/>
      <c r="D2535" s="73"/>
      <c r="E2535" s="145">
        <v>10562.48</v>
      </c>
    </row>
    <row r="2536" spans="2:5" ht="16.5" x14ac:dyDescent="0.3">
      <c r="B2536" s="236">
        <v>41939</v>
      </c>
      <c r="C2536" s="73"/>
      <c r="D2536" s="73"/>
      <c r="E2536" s="145">
        <v>10515.22</v>
      </c>
    </row>
    <row r="2537" spans="2:5" ht="16.5" x14ac:dyDescent="0.3">
      <c r="B2537" s="236">
        <v>41935</v>
      </c>
      <c r="C2537" s="73"/>
      <c r="D2537" s="73"/>
      <c r="E2537" s="145">
        <v>10545.31</v>
      </c>
    </row>
    <row r="2538" spans="2:5" ht="16.5" x14ac:dyDescent="0.3">
      <c r="B2538" s="236">
        <v>41934</v>
      </c>
      <c r="C2538" s="73"/>
      <c r="D2538" s="73"/>
      <c r="E2538" s="145">
        <v>10520.79</v>
      </c>
    </row>
    <row r="2539" spans="2:5" ht="16.5" x14ac:dyDescent="0.3">
      <c r="B2539" s="236">
        <v>41933</v>
      </c>
      <c r="C2539" s="73"/>
      <c r="D2539" s="73"/>
      <c r="E2539" s="145">
        <v>10431.1</v>
      </c>
    </row>
    <row r="2540" spans="2:5" ht="16.5" x14ac:dyDescent="0.3">
      <c r="B2540" s="236">
        <v>41932</v>
      </c>
      <c r="C2540" s="73"/>
      <c r="D2540" s="73"/>
      <c r="E2540" s="145">
        <v>10367.030000000001</v>
      </c>
    </row>
    <row r="2541" spans="2:5" ht="16.5" x14ac:dyDescent="0.3">
      <c r="B2541" s="236">
        <v>41929</v>
      </c>
      <c r="C2541" s="73"/>
      <c r="D2541" s="73"/>
      <c r="E2541" s="145">
        <v>10235.83</v>
      </c>
    </row>
    <row r="2542" spans="2:5" ht="16.5" x14ac:dyDescent="0.3">
      <c r="B2542" s="236">
        <v>41928</v>
      </c>
      <c r="C2542" s="73"/>
      <c r="D2542" s="73"/>
      <c r="E2542" s="145">
        <v>10194.41</v>
      </c>
    </row>
    <row r="2543" spans="2:5" ht="16.5" x14ac:dyDescent="0.3">
      <c r="B2543" s="236">
        <v>41926</v>
      </c>
      <c r="C2543" s="73"/>
      <c r="D2543" s="73"/>
      <c r="E2543" s="145">
        <v>10342.43</v>
      </c>
    </row>
    <row r="2544" spans="2:5" ht="16.5" x14ac:dyDescent="0.3">
      <c r="B2544" s="236">
        <v>41925</v>
      </c>
      <c r="C2544" s="73"/>
      <c r="D2544" s="73"/>
      <c r="E2544" s="145">
        <v>10369.11</v>
      </c>
    </row>
    <row r="2545" spans="2:5" ht="16.5" x14ac:dyDescent="0.3">
      <c r="B2545" s="236">
        <v>41922</v>
      </c>
      <c r="C2545" s="73"/>
      <c r="D2545" s="73"/>
      <c r="E2545" s="145">
        <v>10337.14</v>
      </c>
    </row>
    <row r="2546" spans="2:5" ht="16.5" x14ac:dyDescent="0.3">
      <c r="B2546" s="236">
        <v>41921</v>
      </c>
      <c r="C2546" s="73"/>
      <c r="D2546" s="73"/>
      <c r="E2546" s="145">
        <v>10469.450000000001</v>
      </c>
    </row>
    <row r="2547" spans="2:5" ht="16.5" x14ac:dyDescent="0.3">
      <c r="B2547" s="236">
        <v>41920</v>
      </c>
      <c r="C2547" s="73"/>
      <c r="D2547" s="73"/>
      <c r="E2547" s="145">
        <v>10314.44</v>
      </c>
    </row>
    <row r="2548" spans="2:5" ht="16.5" x14ac:dyDescent="0.3">
      <c r="B2548" s="236">
        <v>41919</v>
      </c>
      <c r="C2548" s="73"/>
      <c r="D2548" s="73"/>
      <c r="E2548" s="145">
        <v>10327.23</v>
      </c>
    </row>
    <row r="2549" spans="2:5" ht="16.5" x14ac:dyDescent="0.3">
      <c r="B2549" s="236">
        <v>41913</v>
      </c>
      <c r="C2549" s="73"/>
      <c r="D2549" s="73"/>
      <c r="E2549" s="145">
        <v>10449.700000000001</v>
      </c>
    </row>
    <row r="2550" spans="2:5" ht="16.5" x14ac:dyDescent="0.3">
      <c r="B2550" s="236">
        <v>41912</v>
      </c>
      <c r="C2550" s="73"/>
      <c r="D2550" s="73"/>
      <c r="E2550" s="145">
        <v>10475.040000000001</v>
      </c>
    </row>
    <row r="2551" spans="2:5" ht="16.5" x14ac:dyDescent="0.3">
      <c r="B2551" s="236">
        <v>41911</v>
      </c>
      <c r="C2551" s="73"/>
      <c r="D2551" s="73"/>
      <c r="E2551" s="145">
        <v>10467.25</v>
      </c>
    </row>
    <row r="2552" spans="2:5" ht="16.5" x14ac:dyDescent="0.3">
      <c r="B2552" s="236">
        <v>41908</v>
      </c>
      <c r="C2552" s="73"/>
      <c r="D2552" s="73"/>
      <c r="E2552" s="145">
        <v>10480.36</v>
      </c>
    </row>
    <row r="2553" spans="2:5" ht="16.5" x14ac:dyDescent="0.3">
      <c r="B2553" s="236">
        <v>41907</v>
      </c>
      <c r="C2553" s="73"/>
      <c r="D2553" s="73"/>
      <c r="E2553" s="145">
        <v>10405.39</v>
      </c>
    </row>
    <row r="2554" spans="2:5" ht="16.5" x14ac:dyDescent="0.3">
      <c r="B2554" s="236">
        <v>41906</v>
      </c>
      <c r="C2554" s="73"/>
      <c r="D2554" s="73"/>
      <c r="E2554" s="145">
        <v>10524.5</v>
      </c>
    </row>
    <row r="2555" spans="2:5" ht="16.5" x14ac:dyDescent="0.3">
      <c r="B2555" s="236">
        <v>41905</v>
      </c>
      <c r="C2555" s="73"/>
      <c r="D2555" s="73"/>
      <c r="E2555" s="145">
        <v>10544.42</v>
      </c>
    </row>
    <row r="2556" spans="2:5" ht="16.5" x14ac:dyDescent="0.3">
      <c r="B2556" s="236">
        <v>41904</v>
      </c>
      <c r="C2556" s="73"/>
      <c r="D2556" s="73"/>
      <c r="E2556" s="145">
        <v>10713.74</v>
      </c>
    </row>
    <row r="2557" spans="2:5" ht="16.5" x14ac:dyDescent="0.3">
      <c r="B2557" s="236">
        <v>41901</v>
      </c>
      <c r="C2557" s="73"/>
      <c r="D2557" s="73"/>
      <c r="E2557" s="145">
        <v>10679.98</v>
      </c>
    </row>
    <row r="2558" spans="2:5" ht="16.5" x14ac:dyDescent="0.3">
      <c r="B2558" s="236">
        <v>41900</v>
      </c>
      <c r="C2558" s="73"/>
      <c r="D2558" s="73"/>
      <c r="E2558" s="145">
        <v>10671.16</v>
      </c>
    </row>
    <row r="2559" spans="2:5" ht="16.5" x14ac:dyDescent="0.3">
      <c r="B2559" s="236">
        <v>41899</v>
      </c>
      <c r="C2559" s="73"/>
      <c r="D2559" s="73"/>
      <c r="E2559" s="145">
        <v>10488.05</v>
      </c>
    </row>
    <row r="2560" spans="2:5" ht="16.5" x14ac:dyDescent="0.3">
      <c r="B2560" s="236">
        <v>41898</v>
      </c>
      <c r="C2560" s="73"/>
      <c r="D2560" s="73"/>
      <c r="E2560" s="145">
        <v>10432.030000000001</v>
      </c>
    </row>
    <row r="2561" spans="2:5" ht="16.5" x14ac:dyDescent="0.3">
      <c r="B2561" s="236">
        <v>41897</v>
      </c>
      <c r="C2561" s="73"/>
      <c r="D2561" s="73"/>
      <c r="E2561" s="145">
        <v>10575.5</v>
      </c>
    </row>
    <row r="2562" spans="2:5" ht="16.5" x14ac:dyDescent="0.3">
      <c r="B2562" s="236">
        <v>41894</v>
      </c>
      <c r="C2562" s="73"/>
      <c r="D2562" s="73"/>
      <c r="E2562" s="145">
        <v>10658.96</v>
      </c>
    </row>
    <row r="2563" spans="2:5" ht="16.5" x14ac:dyDescent="0.3">
      <c r="B2563" s="236">
        <v>41893</v>
      </c>
      <c r="C2563" s="73"/>
      <c r="D2563" s="73"/>
      <c r="E2563" s="145">
        <v>10632.96</v>
      </c>
    </row>
    <row r="2564" spans="2:5" ht="16.5" x14ac:dyDescent="0.3">
      <c r="B2564" s="236">
        <v>41892</v>
      </c>
      <c r="C2564" s="73"/>
      <c r="D2564" s="73"/>
      <c r="E2564" s="145">
        <v>10643.54</v>
      </c>
    </row>
    <row r="2565" spans="2:5" ht="16.5" x14ac:dyDescent="0.3">
      <c r="B2565" s="236">
        <v>41891</v>
      </c>
      <c r="C2565" s="73"/>
      <c r="D2565" s="73"/>
      <c r="E2565" s="145">
        <v>10720.95</v>
      </c>
    </row>
    <row r="2566" spans="2:5" ht="16.5" x14ac:dyDescent="0.3">
      <c r="B2566" s="236">
        <v>41890</v>
      </c>
      <c r="C2566" s="73"/>
      <c r="D2566" s="73"/>
      <c r="E2566" s="145">
        <v>10748.49</v>
      </c>
    </row>
    <row r="2567" spans="2:5" ht="16.5" x14ac:dyDescent="0.3">
      <c r="B2567" s="236">
        <v>41887</v>
      </c>
      <c r="C2567" s="73"/>
      <c r="D2567" s="73"/>
      <c r="E2567" s="145">
        <v>10633.24</v>
      </c>
    </row>
    <row r="2568" spans="2:5" ht="16.5" x14ac:dyDescent="0.3">
      <c r="B2568" s="236">
        <v>41886</v>
      </c>
      <c r="C2568" s="73"/>
      <c r="D2568" s="73"/>
      <c r="E2568" s="145">
        <v>10643.88</v>
      </c>
    </row>
    <row r="2569" spans="2:5" ht="16.5" x14ac:dyDescent="0.3">
      <c r="B2569" s="236">
        <v>41885</v>
      </c>
      <c r="C2569" s="73"/>
      <c r="D2569" s="73"/>
      <c r="E2569" s="145">
        <v>10667.5</v>
      </c>
    </row>
    <row r="2570" spans="2:5" ht="16.5" x14ac:dyDescent="0.3">
      <c r="B2570" s="236">
        <v>41884</v>
      </c>
      <c r="C2570" s="73"/>
      <c r="D2570" s="73"/>
      <c r="E2570" s="145">
        <v>10626.05</v>
      </c>
    </row>
    <row r="2571" spans="2:5" ht="16.5" x14ac:dyDescent="0.3">
      <c r="B2571" s="236">
        <v>41883</v>
      </c>
      <c r="C2571" s="73"/>
      <c r="D2571" s="73"/>
      <c r="E2571" s="145">
        <v>10553.26</v>
      </c>
    </row>
    <row r="2572" spans="2:5" ht="16.5" x14ac:dyDescent="0.3">
      <c r="B2572" s="236">
        <v>41879</v>
      </c>
      <c r="C2572" s="73"/>
      <c r="D2572" s="73"/>
      <c r="E2572" s="145">
        <v>10456.85</v>
      </c>
    </row>
    <row r="2573" spans="2:5" ht="16.5" x14ac:dyDescent="0.3">
      <c r="B2573" s="236">
        <v>41878</v>
      </c>
      <c r="C2573" s="73"/>
      <c r="D2573" s="73"/>
      <c r="E2573" s="145">
        <v>10432.780000000001</v>
      </c>
    </row>
    <row r="2574" spans="2:5" ht="16.5" x14ac:dyDescent="0.3">
      <c r="B2574" s="236">
        <v>41877</v>
      </c>
      <c r="C2574" s="73"/>
      <c r="D2574" s="73"/>
      <c r="E2574" s="145">
        <v>10390.39</v>
      </c>
    </row>
    <row r="2575" spans="2:5" ht="16.5" x14ac:dyDescent="0.3">
      <c r="B2575" s="236">
        <v>41876</v>
      </c>
      <c r="C2575" s="73"/>
      <c r="D2575" s="73"/>
      <c r="E2575" s="145">
        <v>10392.41</v>
      </c>
    </row>
    <row r="2576" spans="2:5" ht="16.5" x14ac:dyDescent="0.3">
      <c r="B2576" s="236">
        <v>41873</v>
      </c>
      <c r="C2576" s="73"/>
      <c r="D2576" s="73"/>
      <c r="E2576" s="145">
        <v>10401.48</v>
      </c>
    </row>
    <row r="2577" spans="2:5" ht="16.5" x14ac:dyDescent="0.3">
      <c r="B2577" s="236">
        <v>41872</v>
      </c>
      <c r="C2577" s="73"/>
      <c r="D2577" s="73"/>
      <c r="E2577" s="145">
        <v>10372.44</v>
      </c>
    </row>
    <row r="2578" spans="2:5" ht="16.5" x14ac:dyDescent="0.3">
      <c r="B2578" s="236">
        <v>41871</v>
      </c>
      <c r="C2578" s="73"/>
      <c r="D2578" s="73"/>
      <c r="E2578" s="145">
        <v>10350.280000000001</v>
      </c>
    </row>
    <row r="2579" spans="2:5" ht="16.5" x14ac:dyDescent="0.3">
      <c r="B2579" s="236">
        <v>41870</v>
      </c>
      <c r="C2579" s="73"/>
      <c r="D2579" s="73"/>
      <c r="E2579" s="145">
        <v>10379.049999999999</v>
      </c>
    </row>
    <row r="2580" spans="2:5" ht="16.5" x14ac:dyDescent="0.3">
      <c r="B2580" s="236">
        <v>41869</v>
      </c>
      <c r="C2580" s="73"/>
      <c r="D2580" s="73"/>
      <c r="E2580" s="145">
        <v>10348.219999999999</v>
      </c>
    </row>
    <row r="2581" spans="2:5" ht="16.5" x14ac:dyDescent="0.3">
      <c r="B2581" s="236">
        <v>41865</v>
      </c>
      <c r="C2581" s="73"/>
      <c r="D2581" s="73"/>
      <c r="E2581" s="145">
        <v>10239.76</v>
      </c>
    </row>
    <row r="2582" spans="2:5" ht="16.5" x14ac:dyDescent="0.3">
      <c r="B2582" s="236">
        <v>41864</v>
      </c>
      <c r="C2582" s="73"/>
      <c r="D2582" s="73"/>
      <c r="E2582" s="145">
        <v>10171.219999999999</v>
      </c>
    </row>
    <row r="2583" spans="2:5" ht="16.5" x14ac:dyDescent="0.3">
      <c r="B2583" s="236">
        <v>41863</v>
      </c>
      <c r="C2583" s="73"/>
      <c r="D2583" s="73"/>
      <c r="E2583" s="145">
        <v>10150.24</v>
      </c>
    </row>
    <row r="2584" spans="2:5" ht="16.5" x14ac:dyDescent="0.3">
      <c r="B2584" s="236">
        <v>41862</v>
      </c>
      <c r="C2584" s="73"/>
      <c r="D2584" s="73"/>
      <c r="E2584" s="145">
        <v>10017.44</v>
      </c>
    </row>
    <row r="2585" spans="2:5" ht="16.5" x14ac:dyDescent="0.3">
      <c r="B2585" s="236">
        <v>41859</v>
      </c>
      <c r="C2585" s="73"/>
      <c r="D2585" s="73"/>
      <c r="E2585" s="145">
        <v>9942.0300000000007</v>
      </c>
    </row>
    <row r="2586" spans="2:5" ht="16.5" x14ac:dyDescent="0.3">
      <c r="B2586" s="236">
        <v>41858</v>
      </c>
      <c r="C2586" s="73"/>
      <c r="D2586" s="73"/>
      <c r="E2586" s="145">
        <v>10046.98</v>
      </c>
    </row>
    <row r="2587" spans="2:5" ht="16.5" x14ac:dyDescent="0.3">
      <c r="B2587" s="236">
        <v>41857</v>
      </c>
      <c r="C2587" s="73"/>
      <c r="D2587" s="73"/>
      <c r="E2587" s="145">
        <v>10076.950000000001</v>
      </c>
    </row>
    <row r="2588" spans="2:5" ht="16.5" x14ac:dyDescent="0.3">
      <c r="B2588" s="236">
        <v>41856</v>
      </c>
      <c r="C2588" s="73"/>
      <c r="D2588" s="73"/>
      <c r="E2588" s="145">
        <v>10174.469999999999</v>
      </c>
    </row>
    <row r="2589" spans="2:5" ht="16.5" x14ac:dyDescent="0.3">
      <c r="B2589" s="236">
        <v>41855</v>
      </c>
      <c r="C2589" s="73"/>
      <c r="D2589" s="73"/>
      <c r="E2589" s="145">
        <v>10090.879999999999</v>
      </c>
    </row>
    <row r="2590" spans="2:5" ht="16.5" x14ac:dyDescent="0.3">
      <c r="B2590" s="236">
        <v>41852</v>
      </c>
      <c r="C2590" s="73"/>
      <c r="D2590" s="73"/>
      <c r="E2590" s="145">
        <v>9984.48</v>
      </c>
    </row>
    <row r="2591" spans="2:5" ht="16.5" x14ac:dyDescent="0.3">
      <c r="B2591" s="236">
        <v>41851</v>
      </c>
      <c r="C2591" s="73"/>
      <c r="D2591" s="73"/>
      <c r="E2591" s="145">
        <v>10140.34</v>
      </c>
    </row>
    <row r="2592" spans="2:5" ht="16.5" x14ac:dyDescent="0.3">
      <c r="B2592" s="236">
        <v>41850</v>
      </c>
      <c r="C2592" s="73"/>
      <c r="D2592" s="73"/>
      <c r="E2592" s="145">
        <v>10232.41</v>
      </c>
    </row>
    <row r="2593" spans="2:5" ht="16.5" x14ac:dyDescent="0.3">
      <c r="B2593" s="236">
        <v>41848</v>
      </c>
      <c r="C2593" s="73"/>
      <c r="D2593" s="73"/>
      <c r="E2593" s="145">
        <v>10175.950000000001</v>
      </c>
    </row>
    <row r="2594" spans="2:5" ht="16.5" x14ac:dyDescent="0.3">
      <c r="B2594" s="236">
        <v>41845</v>
      </c>
      <c r="C2594" s="73"/>
      <c r="D2594" s="73"/>
      <c r="E2594" s="145">
        <v>10223.52</v>
      </c>
    </row>
    <row r="2595" spans="2:5" ht="16.5" x14ac:dyDescent="0.3">
      <c r="B2595" s="236">
        <v>41844</v>
      </c>
      <c r="C2595" s="73"/>
      <c r="D2595" s="73"/>
      <c r="E2595" s="145">
        <v>10275.33</v>
      </c>
    </row>
    <row r="2596" spans="2:5" ht="16.5" x14ac:dyDescent="0.3">
      <c r="B2596" s="236">
        <v>41843</v>
      </c>
      <c r="C2596" s="73"/>
      <c r="D2596" s="73"/>
      <c r="E2596" s="145">
        <v>10229.290000000001</v>
      </c>
    </row>
    <row r="2597" spans="2:5" ht="16.5" x14ac:dyDescent="0.3">
      <c r="B2597" s="236">
        <v>41842</v>
      </c>
      <c r="C2597" s="73"/>
      <c r="D2597" s="73"/>
      <c r="E2597" s="145">
        <v>10191.98</v>
      </c>
    </row>
    <row r="2598" spans="2:5" ht="16.5" x14ac:dyDescent="0.3">
      <c r="B2598" s="236">
        <v>41841</v>
      </c>
      <c r="C2598" s="73"/>
      <c r="D2598" s="73"/>
      <c r="E2598" s="145">
        <v>10082.280000000001</v>
      </c>
    </row>
    <row r="2599" spans="2:5" ht="16.5" x14ac:dyDescent="0.3">
      <c r="B2599" s="236">
        <v>41838</v>
      </c>
      <c r="C2599" s="73"/>
      <c r="D2599" s="73"/>
      <c r="E2599" s="145">
        <v>10054.4</v>
      </c>
    </row>
    <row r="2600" spans="2:5" ht="16.5" x14ac:dyDescent="0.3">
      <c r="B2600" s="236">
        <v>41837</v>
      </c>
      <c r="C2600" s="73"/>
      <c r="D2600" s="73"/>
      <c r="E2600" s="145">
        <v>10023.67</v>
      </c>
    </row>
    <row r="2601" spans="2:5" ht="16.5" x14ac:dyDescent="0.3">
      <c r="B2601" s="236">
        <v>41836</v>
      </c>
      <c r="C2601" s="73"/>
      <c r="D2601" s="73"/>
      <c r="E2601" s="145">
        <v>9999.7099999999991</v>
      </c>
    </row>
    <row r="2602" spans="2:5" ht="16.5" x14ac:dyDescent="0.3">
      <c r="B2602" s="236">
        <v>41835</v>
      </c>
      <c r="C2602" s="73"/>
      <c r="D2602" s="73"/>
      <c r="E2602" s="145">
        <v>9871.51</v>
      </c>
    </row>
    <row r="2603" spans="2:5" ht="16.5" x14ac:dyDescent="0.3">
      <c r="B2603" s="236">
        <v>41834</v>
      </c>
      <c r="C2603" s="73"/>
      <c r="D2603" s="73"/>
      <c r="E2603" s="145">
        <v>9776.4599999999991</v>
      </c>
    </row>
    <row r="2604" spans="2:5" ht="16.5" x14ac:dyDescent="0.3">
      <c r="B2604" s="236">
        <v>41831</v>
      </c>
      <c r="C2604" s="73"/>
      <c r="D2604" s="73"/>
      <c r="E2604" s="145">
        <v>9781.6200000000008</v>
      </c>
    </row>
    <row r="2605" spans="2:5" ht="16.5" x14ac:dyDescent="0.3">
      <c r="B2605" s="236">
        <v>41830</v>
      </c>
      <c r="C2605" s="73"/>
      <c r="D2605" s="73"/>
      <c r="E2605" s="145">
        <v>9922.6</v>
      </c>
    </row>
    <row r="2606" spans="2:5" ht="16.5" x14ac:dyDescent="0.3">
      <c r="B2606" s="236">
        <v>41829</v>
      </c>
      <c r="C2606" s="73"/>
      <c r="D2606" s="73"/>
      <c r="E2606" s="145">
        <v>9945.17</v>
      </c>
    </row>
    <row r="2607" spans="2:5" ht="16.5" x14ac:dyDescent="0.3">
      <c r="B2607" s="236">
        <v>41828</v>
      </c>
      <c r="C2607" s="73"/>
      <c r="D2607" s="73"/>
      <c r="E2607" s="145">
        <v>9993.08</v>
      </c>
    </row>
    <row r="2608" spans="2:5" ht="16.5" x14ac:dyDescent="0.3">
      <c r="B2608" s="236">
        <v>41827</v>
      </c>
      <c r="C2608" s="73"/>
      <c r="D2608" s="73"/>
      <c r="E2608" s="145">
        <v>10208.02</v>
      </c>
    </row>
    <row r="2609" spans="2:5" ht="16.5" x14ac:dyDescent="0.3">
      <c r="B2609" s="236">
        <v>41824</v>
      </c>
      <c r="C2609" s="73"/>
      <c r="D2609" s="73"/>
      <c r="E2609" s="145">
        <v>10161.42</v>
      </c>
    </row>
    <row r="2610" spans="2:5" ht="16.5" x14ac:dyDescent="0.3">
      <c r="B2610" s="236">
        <v>41823</v>
      </c>
      <c r="C2610" s="73"/>
      <c r="D2610" s="73"/>
      <c r="E2610" s="145">
        <v>10105.89</v>
      </c>
    </row>
    <row r="2611" spans="2:5" ht="16.5" x14ac:dyDescent="0.3">
      <c r="B2611" s="236">
        <v>41822</v>
      </c>
      <c r="C2611" s="73"/>
      <c r="D2611" s="73"/>
      <c r="E2611" s="145">
        <v>10115.19</v>
      </c>
    </row>
    <row r="2612" spans="2:5" ht="16.5" x14ac:dyDescent="0.3">
      <c r="B2612" s="236">
        <v>41821</v>
      </c>
      <c r="C2612" s="73"/>
      <c r="D2612" s="73"/>
      <c r="E2612" s="145">
        <v>9996.74</v>
      </c>
    </row>
    <row r="2613" spans="2:5" ht="16.5" x14ac:dyDescent="0.3">
      <c r="B2613" s="236">
        <v>41820</v>
      </c>
      <c r="C2613" s="73"/>
      <c r="D2613" s="73"/>
      <c r="E2613" s="145">
        <v>9966.14</v>
      </c>
    </row>
    <row r="2614" spans="2:5" ht="16.5" x14ac:dyDescent="0.3">
      <c r="B2614" s="236">
        <v>41817</v>
      </c>
      <c r="C2614" s="73"/>
      <c r="D2614" s="73"/>
      <c r="E2614" s="145">
        <v>9831.9</v>
      </c>
    </row>
    <row r="2615" spans="2:5" ht="16.5" x14ac:dyDescent="0.3">
      <c r="B2615" s="236">
        <v>41816</v>
      </c>
      <c r="C2615" s="73"/>
      <c r="D2615" s="73"/>
      <c r="E2615" s="145">
        <v>9811.48</v>
      </c>
    </row>
    <row r="2616" spans="2:5" ht="16.5" x14ac:dyDescent="0.3">
      <c r="B2616" s="236">
        <v>41815</v>
      </c>
      <c r="C2616" s="73"/>
      <c r="D2616" s="73"/>
      <c r="E2616" s="145">
        <v>9911.0300000000007</v>
      </c>
    </row>
    <row r="2617" spans="2:5" ht="16.5" x14ac:dyDescent="0.3">
      <c r="B2617" s="236">
        <v>41814</v>
      </c>
      <c r="C2617" s="73"/>
      <c r="D2617" s="73"/>
      <c r="E2617" s="145">
        <v>9925.34</v>
      </c>
    </row>
    <row r="2618" spans="2:5" ht="16.5" x14ac:dyDescent="0.3">
      <c r="B2618" s="236">
        <v>41813</v>
      </c>
      <c r="C2618" s="73"/>
      <c r="D2618" s="73"/>
      <c r="E2618" s="145">
        <v>9811.6200000000008</v>
      </c>
    </row>
    <row r="2619" spans="2:5" ht="16.5" x14ac:dyDescent="0.3">
      <c r="B2619" s="236">
        <v>41810</v>
      </c>
      <c r="C2619" s="73"/>
      <c r="D2619" s="73"/>
      <c r="E2619" s="145">
        <v>9835.35</v>
      </c>
    </row>
    <row r="2620" spans="2:5" ht="16.5" x14ac:dyDescent="0.3">
      <c r="B2620" s="236">
        <v>41809</v>
      </c>
      <c r="C2620" s="73"/>
      <c r="D2620" s="73"/>
      <c r="E2620" s="145">
        <v>9873.61</v>
      </c>
    </row>
    <row r="2621" spans="2:5" ht="16.5" x14ac:dyDescent="0.3">
      <c r="B2621" s="236">
        <v>41808</v>
      </c>
      <c r="C2621" s="73"/>
      <c r="D2621" s="73"/>
      <c r="E2621" s="145">
        <v>9896.5499999999993</v>
      </c>
    </row>
    <row r="2622" spans="2:5" ht="16.5" x14ac:dyDescent="0.3">
      <c r="B2622" s="236">
        <v>41807</v>
      </c>
      <c r="C2622" s="73"/>
      <c r="D2622" s="73"/>
      <c r="E2622" s="145">
        <v>9992.7800000000007</v>
      </c>
    </row>
    <row r="2623" spans="2:5" ht="16.5" x14ac:dyDescent="0.3">
      <c r="B2623" s="236">
        <v>41806</v>
      </c>
      <c r="C2623" s="73"/>
      <c r="D2623" s="73"/>
      <c r="E2623" s="145">
        <v>9864.2900000000009</v>
      </c>
    </row>
    <row r="2624" spans="2:5" ht="16.5" x14ac:dyDescent="0.3">
      <c r="B2624" s="236">
        <v>41803</v>
      </c>
      <c r="C2624" s="73"/>
      <c r="D2624" s="73"/>
      <c r="E2624" s="145">
        <v>9874.4599999999991</v>
      </c>
    </row>
    <row r="2625" spans="2:5" ht="16.5" x14ac:dyDescent="0.3">
      <c r="B2625" s="236">
        <v>41802</v>
      </c>
      <c r="C2625" s="73"/>
      <c r="D2625" s="73"/>
      <c r="E2625" s="145">
        <v>10015.59</v>
      </c>
    </row>
    <row r="2626" spans="2:5" ht="16.5" x14ac:dyDescent="0.3">
      <c r="B2626" s="236">
        <v>41801</v>
      </c>
      <c r="C2626" s="73"/>
      <c r="D2626" s="73"/>
      <c r="E2626" s="145">
        <v>9982.86</v>
      </c>
    </row>
    <row r="2627" spans="2:5" ht="16.5" x14ac:dyDescent="0.3">
      <c r="B2627" s="236">
        <v>41800</v>
      </c>
      <c r="C2627" s="73"/>
      <c r="D2627" s="73"/>
      <c r="E2627" s="145">
        <v>10019.94</v>
      </c>
    </row>
    <row r="2628" spans="2:5" ht="16.5" x14ac:dyDescent="0.3">
      <c r="B2628" s="236">
        <v>41799</v>
      </c>
      <c r="C2628" s="73"/>
      <c r="D2628" s="73"/>
      <c r="E2628" s="145">
        <v>10017.59</v>
      </c>
    </row>
    <row r="2629" spans="2:5" ht="16.5" x14ac:dyDescent="0.3">
      <c r="B2629" s="236">
        <v>41796</v>
      </c>
      <c r="C2629" s="73"/>
      <c r="D2629" s="73"/>
      <c r="E2629" s="145">
        <v>9924.43</v>
      </c>
    </row>
    <row r="2630" spans="2:5" ht="16.5" x14ac:dyDescent="0.3">
      <c r="B2630" s="236">
        <v>41795</v>
      </c>
      <c r="C2630" s="73"/>
      <c r="D2630" s="73"/>
      <c r="E2630" s="145">
        <v>9778.32</v>
      </c>
    </row>
    <row r="2631" spans="2:5" ht="16.5" x14ac:dyDescent="0.3">
      <c r="B2631" s="236">
        <v>41794</v>
      </c>
      <c r="C2631" s="73"/>
      <c r="D2631" s="73"/>
      <c r="E2631" s="145">
        <v>9672.68</v>
      </c>
    </row>
    <row r="2632" spans="2:5" ht="16.5" x14ac:dyDescent="0.3">
      <c r="B2632" s="236">
        <v>41793</v>
      </c>
      <c r="C2632" s="73"/>
      <c r="D2632" s="73"/>
      <c r="E2632" s="145">
        <v>9690.44</v>
      </c>
    </row>
    <row r="2633" spans="2:5" ht="16.5" x14ac:dyDescent="0.3">
      <c r="B2633" s="236">
        <v>41792</v>
      </c>
      <c r="C2633" s="73"/>
      <c r="D2633" s="73"/>
      <c r="E2633" s="145">
        <v>9610.85</v>
      </c>
    </row>
    <row r="2634" spans="2:5" ht="16.5" x14ac:dyDescent="0.3">
      <c r="B2634" s="236">
        <v>41789</v>
      </c>
      <c r="C2634" s="73"/>
      <c r="D2634" s="73"/>
      <c r="E2634" s="145">
        <v>9437.81</v>
      </c>
    </row>
    <row r="2635" spans="2:5" ht="16.5" x14ac:dyDescent="0.3">
      <c r="B2635" s="236">
        <v>41788</v>
      </c>
      <c r="C2635" s="73"/>
      <c r="D2635" s="73"/>
      <c r="E2635" s="145">
        <v>9445.23</v>
      </c>
    </row>
    <row r="2636" spans="2:5" ht="16.5" x14ac:dyDescent="0.3">
      <c r="B2636" s="236">
        <v>41787</v>
      </c>
      <c r="C2636" s="73"/>
      <c r="D2636" s="73"/>
      <c r="E2636" s="145">
        <v>9560.4</v>
      </c>
    </row>
    <row r="2637" spans="2:5" ht="16.5" x14ac:dyDescent="0.3">
      <c r="B2637" s="236">
        <v>41786</v>
      </c>
      <c r="C2637" s="73"/>
      <c r="D2637" s="73"/>
      <c r="E2637" s="145">
        <v>9545.2000000000007</v>
      </c>
    </row>
    <row r="2638" spans="2:5" ht="16.5" x14ac:dyDescent="0.3">
      <c r="B2638" s="236">
        <v>41785</v>
      </c>
      <c r="C2638" s="73"/>
      <c r="D2638" s="73"/>
      <c r="E2638" s="145">
        <v>9598.75</v>
      </c>
    </row>
    <row r="2639" spans="2:5" ht="16.5" x14ac:dyDescent="0.3">
      <c r="B2639" s="236">
        <v>41782</v>
      </c>
      <c r="C2639" s="73"/>
      <c r="D2639" s="73"/>
      <c r="E2639" s="145">
        <v>9609.25</v>
      </c>
    </row>
    <row r="2640" spans="2:5" ht="16.5" x14ac:dyDescent="0.3">
      <c r="B2640" s="236">
        <v>41781</v>
      </c>
      <c r="C2640" s="73"/>
      <c r="D2640" s="73"/>
      <c r="E2640" s="145">
        <v>9490.91</v>
      </c>
    </row>
    <row r="2641" spans="2:5" ht="16.5" x14ac:dyDescent="0.3">
      <c r="B2641" s="236">
        <v>41780</v>
      </c>
      <c r="C2641" s="73"/>
      <c r="D2641" s="73"/>
      <c r="E2641" s="145">
        <v>9460.2800000000007</v>
      </c>
    </row>
    <row r="2642" spans="2:5" ht="16.5" x14ac:dyDescent="0.3">
      <c r="B2642" s="236">
        <v>41779</v>
      </c>
      <c r="C2642" s="73"/>
      <c r="D2642" s="73"/>
      <c r="E2642" s="145">
        <v>9489.73</v>
      </c>
    </row>
    <row r="2643" spans="2:5" ht="16.5" x14ac:dyDescent="0.3">
      <c r="B2643" s="236">
        <v>41778</v>
      </c>
      <c r="C2643" s="73"/>
      <c r="D2643" s="73"/>
      <c r="E2643" s="145">
        <v>9474.16</v>
      </c>
    </row>
    <row r="2644" spans="2:5" ht="16.5" x14ac:dyDescent="0.3">
      <c r="B2644" s="236">
        <v>41775</v>
      </c>
      <c r="C2644" s="73"/>
      <c r="D2644" s="73"/>
      <c r="E2644" s="145">
        <v>9395.18</v>
      </c>
    </row>
    <row r="2645" spans="2:5" ht="16.5" x14ac:dyDescent="0.3">
      <c r="B2645" s="236">
        <v>41774</v>
      </c>
      <c r="C2645" s="73"/>
      <c r="D2645" s="73"/>
      <c r="E2645" s="145">
        <v>9286.39</v>
      </c>
    </row>
    <row r="2646" spans="2:5" ht="16.5" x14ac:dyDescent="0.3">
      <c r="B2646" s="236">
        <v>41773</v>
      </c>
      <c r="C2646" s="73"/>
      <c r="D2646" s="73"/>
      <c r="E2646" s="145">
        <v>9267.61</v>
      </c>
    </row>
    <row r="2647" spans="2:5" ht="16.5" x14ac:dyDescent="0.3">
      <c r="B2647" s="236">
        <v>41772</v>
      </c>
      <c r="C2647" s="73"/>
      <c r="D2647" s="73"/>
      <c r="E2647" s="145">
        <v>9267.61</v>
      </c>
    </row>
    <row r="2648" spans="2:5" ht="16.5" x14ac:dyDescent="0.3">
      <c r="B2648" s="236">
        <v>41771</v>
      </c>
      <c r="C2648" s="73"/>
      <c r="D2648" s="73"/>
      <c r="E2648" s="145">
        <v>9144.41</v>
      </c>
    </row>
    <row r="2649" spans="2:5" ht="16.5" x14ac:dyDescent="0.3">
      <c r="B2649" s="236">
        <v>41768</v>
      </c>
      <c r="C2649" s="73"/>
      <c r="D2649" s="73"/>
      <c r="E2649" s="145">
        <v>8941.77</v>
      </c>
    </row>
    <row r="2650" spans="2:5" ht="16.5" x14ac:dyDescent="0.3">
      <c r="B2650" s="236">
        <v>41767</v>
      </c>
      <c r="C2650" s="73"/>
      <c r="D2650" s="73"/>
      <c r="E2650" s="145">
        <v>8682.3700000000008</v>
      </c>
    </row>
    <row r="2651" spans="2:5" ht="16.5" x14ac:dyDescent="0.3">
      <c r="B2651" s="236">
        <v>41766</v>
      </c>
      <c r="C2651" s="73"/>
      <c r="D2651" s="73"/>
      <c r="E2651" s="145">
        <v>8672.8799999999992</v>
      </c>
    </row>
    <row r="2652" spans="2:5" ht="16.5" x14ac:dyDescent="0.3">
      <c r="B2652" s="236">
        <v>41765</v>
      </c>
      <c r="C2652" s="73"/>
      <c r="D2652" s="73"/>
      <c r="E2652" s="145">
        <v>8754.69</v>
      </c>
    </row>
    <row r="2653" spans="2:5" ht="16.5" x14ac:dyDescent="0.3">
      <c r="B2653" s="236">
        <v>41764</v>
      </c>
      <c r="C2653" s="73"/>
      <c r="D2653" s="73"/>
      <c r="E2653" s="145">
        <v>8733.92</v>
      </c>
    </row>
    <row r="2654" spans="2:5" ht="16.5" x14ac:dyDescent="0.3">
      <c r="B2654" s="236">
        <v>41761</v>
      </c>
      <c r="C2654" s="73"/>
      <c r="D2654" s="73"/>
      <c r="E2654" s="145">
        <v>8727.93</v>
      </c>
    </row>
    <row r="2655" spans="2:5" ht="16.5" x14ac:dyDescent="0.3">
      <c r="B2655" s="236">
        <v>41759</v>
      </c>
      <c r="C2655" s="73"/>
      <c r="D2655" s="73"/>
      <c r="E2655" s="145">
        <v>8730.0499999999993</v>
      </c>
    </row>
    <row r="2656" spans="2:5" ht="16.5" x14ac:dyDescent="0.3">
      <c r="B2656" s="236">
        <v>41758</v>
      </c>
      <c r="C2656" s="73"/>
      <c r="D2656" s="73"/>
      <c r="E2656" s="145">
        <v>8754.65</v>
      </c>
    </row>
    <row r="2657" spans="2:5" ht="16.5" x14ac:dyDescent="0.3">
      <c r="B2657" s="236">
        <v>41757</v>
      </c>
      <c r="C2657" s="73"/>
      <c r="D2657" s="73"/>
      <c r="E2657" s="145">
        <v>8814.59</v>
      </c>
    </row>
    <row r="2658" spans="2:5" ht="16.5" x14ac:dyDescent="0.3">
      <c r="B2658" s="236">
        <v>41754</v>
      </c>
      <c r="C2658" s="73"/>
      <c r="D2658" s="73"/>
      <c r="E2658" s="145">
        <v>8842.6200000000008</v>
      </c>
    </row>
    <row r="2659" spans="2:5" ht="16.5" x14ac:dyDescent="0.3">
      <c r="B2659" s="236">
        <v>41752</v>
      </c>
      <c r="C2659" s="73"/>
      <c r="D2659" s="73"/>
      <c r="E2659" s="145">
        <v>8918.2999999999993</v>
      </c>
    </row>
    <row r="2660" spans="2:5" ht="16.5" x14ac:dyDescent="0.3">
      <c r="B2660" s="236">
        <v>41751</v>
      </c>
      <c r="C2660" s="73"/>
      <c r="D2660" s="73"/>
      <c r="E2660" s="145">
        <v>8885.09</v>
      </c>
    </row>
    <row r="2661" spans="2:5" ht="16.5" x14ac:dyDescent="0.3">
      <c r="B2661" s="236">
        <v>41750</v>
      </c>
      <c r="C2661" s="73"/>
      <c r="D2661" s="73"/>
      <c r="E2661" s="145">
        <v>8887.7800000000007</v>
      </c>
    </row>
    <row r="2662" spans="2:5" ht="16.5" x14ac:dyDescent="0.3">
      <c r="B2662" s="236">
        <v>41746</v>
      </c>
      <c r="C2662" s="73"/>
      <c r="D2662" s="73"/>
      <c r="E2662" s="145">
        <v>8837.92</v>
      </c>
    </row>
    <row r="2663" spans="2:5" ht="16.5" x14ac:dyDescent="0.3">
      <c r="B2663" s="236">
        <v>41745</v>
      </c>
      <c r="C2663" s="73"/>
      <c r="D2663" s="73"/>
      <c r="E2663" s="145">
        <v>8702.2199999999993</v>
      </c>
    </row>
    <row r="2664" spans="2:5" ht="16.5" x14ac:dyDescent="0.3">
      <c r="B2664" s="236">
        <v>41744</v>
      </c>
      <c r="C2664" s="73"/>
      <c r="D2664" s="73"/>
      <c r="E2664" s="145">
        <v>8777.57</v>
      </c>
    </row>
    <row r="2665" spans="2:5" ht="16.5" x14ac:dyDescent="0.3">
      <c r="B2665" s="236">
        <v>41740</v>
      </c>
      <c r="C2665" s="73"/>
      <c r="D2665" s="73"/>
      <c r="E2665" s="145">
        <v>8833.8799999999992</v>
      </c>
    </row>
    <row r="2666" spans="2:5" ht="16.5" x14ac:dyDescent="0.3">
      <c r="B2666" s="236">
        <v>41739</v>
      </c>
      <c r="C2666" s="73"/>
      <c r="D2666" s="73"/>
      <c r="E2666" s="145">
        <v>8860.09</v>
      </c>
    </row>
    <row r="2667" spans="2:5" ht="16.5" x14ac:dyDescent="0.3">
      <c r="B2667" s="236">
        <v>41738</v>
      </c>
      <c r="C2667" s="73"/>
      <c r="D2667" s="73"/>
      <c r="E2667" s="145">
        <v>8859.81</v>
      </c>
    </row>
    <row r="2668" spans="2:5" ht="16.5" x14ac:dyDescent="0.3">
      <c r="B2668" s="236">
        <v>41736</v>
      </c>
      <c r="C2668" s="73"/>
      <c r="D2668" s="73"/>
      <c r="E2668" s="145">
        <v>8727.98</v>
      </c>
    </row>
    <row r="2669" spans="2:5" ht="16.5" x14ac:dyDescent="0.3">
      <c r="B2669" s="236">
        <v>41733</v>
      </c>
      <c r="C2669" s="73"/>
      <c r="D2669" s="73"/>
      <c r="E2669" s="145">
        <v>8727.0300000000007</v>
      </c>
    </row>
    <row r="2670" spans="2:5" ht="16.5" x14ac:dyDescent="0.3">
      <c r="B2670" s="236">
        <v>41732</v>
      </c>
      <c r="C2670" s="73"/>
      <c r="D2670" s="73"/>
      <c r="E2670" s="145">
        <v>8781.4699999999993</v>
      </c>
    </row>
    <row r="2671" spans="2:5" ht="16.5" x14ac:dyDescent="0.3">
      <c r="B2671" s="236">
        <v>41731</v>
      </c>
      <c r="C2671" s="73"/>
      <c r="D2671" s="73"/>
      <c r="E2671" s="145">
        <v>8802.9500000000007</v>
      </c>
    </row>
    <row r="2672" spans="2:5" ht="16.5" x14ac:dyDescent="0.3">
      <c r="B2672" s="236">
        <v>41730</v>
      </c>
      <c r="C2672" s="73"/>
      <c r="D2672" s="73"/>
      <c r="E2672" s="145">
        <v>8761.86</v>
      </c>
    </row>
  </sheetData>
  <pageMargins left="0.7" right="0.7" top="0.75" bottom="0.75" header="0.3" footer="0.3"/>
  <pageSetup orientation="portrait" horizontalDpi="300" verticalDpi="0" copies="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9ED9E-F47C-43E8-B05D-AB2994F62083}">
  <dimension ref="A6:U446"/>
  <sheetViews>
    <sheetView showGridLines="0" topLeftCell="A10" workbookViewId="0">
      <selection activeCell="G22" sqref="G22"/>
    </sheetView>
  </sheetViews>
  <sheetFormatPr defaultRowHeight="15" x14ac:dyDescent="0.25"/>
  <cols>
    <col min="1" max="3" width="1.140625" customWidth="1"/>
    <col min="4" max="4" width="12.7109375" customWidth="1"/>
    <col min="5" max="6" width="16.85546875" customWidth="1"/>
    <col min="7" max="7" width="16.7109375" customWidth="1"/>
    <col min="13" max="13" width="13.140625" customWidth="1"/>
    <col min="14" max="14" width="16.85546875" customWidth="1"/>
    <col min="15" max="15" width="13.28515625" customWidth="1"/>
    <col min="16" max="16" width="15.28515625" customWidth="1"/>
    <col min="17" max="17" width="13.140625" customWidth="1"/>
    <col min="18" max="18" width="12.5703125" customWidth="1"/>
    <col min="19" max="19" width="14.42578125" customWidth="1"/>
    <col min="20" max="20" width="14.7109375" customWidth="1"/>
    <col min="21" max="21" width="12.42578125" customWidth="1"/>
  </cols>
  <sheetData>
    <row r="6" spans="1:21" s="159" customFormat="1" ht="26.25" x14ac:dyDescent="0.4">
      <c r="A6" s="115" t="str">
        <f>Model!A6</f>
        <v>CESC Limited</v>
      </c>
      <c r="B6" s="114"/>
      <c r="C6" s="114"/>
      <c r="D6" s="114"/>
      <c r="E6" s="114"/>
      <c r="F6" s="114"/>
      <c r="G6" s="114"/>
      <c r="H6" s="114"/>
    </row>
    <row r="7" spans="1:21" x14ac:dyDescent="0.25">
      <c r="A7" s="112"/>
      <c r="B7" s="112"/>
      <c r="C7" s="112"/>
      <c r="D7" s="112"/>
      <c r="E7" s="112"/>
      <c r="F7" s="112"/>
      <c r="G7" s="112"/>
      <c r="H7" s="112"/>
    </row>
    <row r="8" spans="1:21" ht="16.5" x14ac:dyDescent="0.3">
      <c r="D8" s="28" t="s">
        <v>267</v>
      </c>
      <c r="E8" s="28" t="s">
        <v>360</v>
      </c>
      <c r="F8" s="28" t="s">
        <v>362</v>
      </c>
      <c r="G8" s="28" t="s">
        <v>361</v>
      </c>
      <c r="H8" s="28" t="s">
        <v>362</v>
      </c>
      <c r="K8" s="161" t="s">
        <v>376</v>
      </c>
      <c r="L8" s="162">
        <f>MIN(E9:E260)</f>
        <v>112.45</v>
      </c>
    </row>
    <row r="9" spans="1:21" ht="16.5" x14ac:dyDescent="0.3">
      <c r="D9" s="230">
        <v>45660</v>
      </c>
      <c r="E9" s="77">
        <v>185.98</v>
      </c>
      <c r="F9" s="77"/>
      <c r="G9" s="8">
        <v>24004.75</v>
      </c>
      <c r="K9" s="110" t="s">
        <v>377</v>
      </c>
      <c r="L9" s="162">
        <f>MAX(E9:E260)</f>
        <v>207.77</v>
      </c>
    </row>
    <row r="10" spans="1:21" ht="16.5" x14ac:dyDescent="0.3">
      <c r="D10" s="230">
        <v>45659</v>
      </c>
      <c r="E10" s="77">
        <v>189.5</v>
      </c>
      <c r="F10" s="105">
        <f>E10/E9-1</f>
        <v>1.8926766318959176E-2</v>
      </c>
      <c r="G10" s="8">
        <v>24188.65</v>
      </c>
      <c r="H10" s="105">
        <f>G10/G9-1</f>
        <v>7.6609837636301137E-3</v>
      </c>
    </row>
    <row r="11" spans="1:21" ht="16.5" x14ac:dyDescent="0.3">
      <c r="D11" s="230">
        <v>45658</v>
      </c>
      <c r="E11" s="77">
        <v>185.69</v>
      </c>
      <c r="F11" s="105">
        <f t="shared" ref="F11:F74" si="0">E11/E10-1</f>
        <v>-2.0105540897097596E-2</v>
      </c>
      <c r="G11" s="8">
        <v>23742.9</v>
      </c>
      <c r="H11" s="105">
        <f t="shared" ref="H11:H74" si="1">G11/G10-1</f>
        <v>-1.8428064402105981E-2</v>
      </c>
    </row>
    <row r="12" spans="1:21" ht="16.5" x14ac:dyDescent="0.3">
      <c r="D12" s="230">
        <v>45657</v>
      </c>
      <c r="E12" s="77">
        <v>185.6</v>
      </c>
      <c r="F12" s="105">
        <f t="shared" si="0"/>
        <v>-4.846787656848095E-4</v>
      </c>
      <c r="G12" s="8">
        <v>23644.799999999999</v>
      </c>
      <c r="H12" s="105">
        <f t="shared" si="1"/>
        <v>-4.1317614950154846E-3</v>
      </c>
    </row>
    <row r="13" spans="1:21" ht="16.5" x14ac:dyDescent="0.3">
      <c r="D13" s="230">
        <v>45656</v>
      </c>
      <c r="E13" s="77">
        <v>185.74</v>
      </c>
      <c r="F13" s="105">
        <f t="shared" si="0"/>
        <v>7.5431034482775772E-4</v>
      </c>
      <c r="G13" s="8">
        <v>23644.9</v>
      </c>
      <c r="H13" s="105">
        <f t="shared" si="1"/>
        <v>4.2292597104420793E-6</v>
      </c>
      <c r="K13" s="119" t="s">
        <v>282</v>
      </c>
      <c r="L13" s="160">
        <f>SLOPE(F10:F260,H10:H260)</f>
        <v>1.4625105359709885</v>
      </c>
    </row>
    <row r="14" spans="1:21" ht="16.5" x14ac:dyDescent="0.3">
      <c r="D14" s="230">
        <v>45653</v>
      </c>
      <c r="E14" s="77">
        <v>184.99</v>
      </c>
      <c r="F14" s="105">
        <f t="shared" si="0"/>
        <v>-4.0379024442769307E-3</v>
      </c>
      <c r="G14" s="8">
        <v>23813.4</v>
      </c>
      <c r="H14" s="105">
        <f t="shared" si="1"/>
        <v>7.126272473133799E-3</v>
      </c>
    </row>
    <row r="15" spans="1:21" ht="16.5" x14ac:dyDescent="0.3">
      <c r="D15" s="230">
        <v>45652</v>
      </c>
      <c r="E15" s="77">
        <v>185.05</v>
      </c>
      <c r="F15" s="105">
        <f t="shared" si="0"/>
        <v>3.2434185631657897E-4</v>
      </c>
      <c r="G15" s="8">
        <v>23750.2</v>
      </c>
      <c r="H15" s="105">
        <f t="shared" si="1"/>
        <v>-2.6539679340203959E-3</v>
      </c>
    </row>
    <row r="16" spans="1:21" ht="16.5" x14ac:dyDescent="0.3">
      <c r="D16" s="230">
        <v>45650</v>
      </c>
      <c r="E16" s="77">
        <v>183.76</v>
      </c>
      <c r="F16" s="105">
        <f t="shared" si="0"/>
        <v>-6.9710888948933958E-3</v>
      </c>
      <c r="G16" s="8">
        <v>23727.65</v>
      </c>
      <c r="H16" s="105">
        <f t="shared" si="1"/>
        <v>-9.4946568870990511E-4</v>
      </c>
      <c r="L16" t="s">
        <v>419</v>
      </c>
      <c r="U16" s="3"/>
    </row>
    <row r="17" spans="4:21" ht="17.25" thickBot="1" x14ac:dyDescent="0.35">
      <c r="D17" s="230">
        <v>45649</v>
      </c>
      <c r="E17" s="77">
        <v>184.83</v>
      </c>
      <c r="F17" s="105">
        <f t="shared" si="0"/>
        <v>5.8228123639529894E-3</v>
      </c>
      <c r="G17" s="8">
        <v>23753.45</v>
      </c>
      <c r="H17" s="105">
        <f t="shared" si="1"/>
        <v>1.0873390327317267E-3</v>
      </c>
      <c r="K17" s="184"/>
      <c r="U17" s="3"/>
    </row>
    <row r="18" spans="4:21" ht="16.5" x14ac:dyDescent="0.3">
      <c r="D18" s="230">
        <v>45646</v>
      </c>
      <c r="E18" s="77">
        <v>182.49</v>
      </c>
      <c r="F18" s="105">
        <f t="shared" si="0"/>
        <v>-1.2660282421684821E-2</v>
      </c>
      <c r="G18" s="8">
        <v>23587.5</v>
      </c>
      <c r="H18" s="105">
        <f t="shared" si="1"/>
        <v>-6.9863535612721961E-3</v>
      </c>
      <c r="K18" s="185"/>
      <c r="L18" s="183" t="s">
        <v>420</v>
      </c>
      <c r="M18" s="183"/>
      <c r="U18" s="3"/>
    </row>
    <row r="19" spans="4:21" ht="16.5" x14ac:dyDescent="0.3">
      <c r="D19" s="230">
        <v>45645</v>
      </c>
      <c r="E19" s="77">
        <v>187</v>
      </c>
      <c r="F19" s="105">
        <f t="shared" si="0"/>
        <v>2.471368294153109E-2</v>
      </c>
      <c r="G19" s="8">
        <v>23951.7</v>
      </c>
      <c r="H19" s="105">
        <f t="shared" si="1"/>
        <v>1.5440381558028626E-2</v>
      </c>
      <c r="K19" s="180"/>
      <c r="L19" s="180" t="s">
        <v>421</v>
      </c>
      <c r="M19" s="180">
        <v>0.48640969127619693</v>
      </c>
      <c r="U19" s="3"/>
    </row>
    <row r="20" spans="4:21" ht="16.5" x14ac:dyDescent="0.3">
      <c r="D20" s="230">
        <v>45644</v>
      </c>
      <c r="E20" s="77">
        <v>184.68</v>
      </c>
      <c r="F20" s="105">
        <f t="shared" si="0"/>
        <v>-1.2406417112299395E-2</v>
      </c>
      <c r="G20" s="8">
        <v>24198.85</v>
      </c>
      <c r="H20" s="105">
        <f t="shared" si="1"/>
        <v>1.0318683016236729E-2</v>
      </c>
      <c r="K20" s="180"/>
      <c r="L20" s="180" t="s">
        <v>422</v>
      </c>
      <c r="M20" s="180">
        <v>0.23659438776740518</v>
      </c>
      <c r="U20" s="3"/>
    </row>
    <row r="21" spans="4:21" ht="16.5" x14ac:dyDescent="0.3">
      <c r="D21" s="230">
        <v>45643</v>
      </c>
      <c r="E21" s="77">
        <v>187.47</v>
      </c>
      <c r="F21" s="105">
        <f t="shared" si="0"/>
        <v>1.5107212475633514E-2</v>
      </c>
      <c r="G21" s="8">
        <v>24336</v>
      </c>
      <c r="H21" s="105">
        <f t="shared" si="1"/>
        <v>5.6676247011737679E-3</v>
      </c>
      <c r="K21" s="180"/>
      <c r="L21" s="180" t="s">
        <v>423</v>
      </c>
      <c r="M21" s="180">
        <v>0.23352850177450318</v>
      </c>
      <c r="U21" s="3"/>
    </row>
    <row r="22" spans="4:21" ht="16.5" x14ac:dyDescent="0.3">
      <c r="D22" s="230">
        <v>45642</v>
      </c>
      <c r="E22" s="77">
        <v>188.6</v>
      </c>
      <c r="F22" s="105">
        <f t="shared" si="0"/>
        <v>6.0276310876405947E-3</v>
      </c>
      <c r="G22" s="8">
        <v>24668.25</v>
      </c>
      <c r="H22" s="105">
        <f t="shared" si="1"/>
        <v>1.3652613412228787E-2</v>
      </c>
      <c r="K22" s="180"/>
      <c r="L22" s="180" t="s">
        <v>424</v>
      </c>
      <c r="M22" s="180">
        <v>2.3492713716243799E-2</v>
      </c>
      <c r="U22" s="3"/>
    </row>
    <row r="23" spans="4:21" ht="17.25" thickBot="1" x14ac:dyDescent="0.35">
      <c r="D23" s="230">
        <v>45639</v>
      </c>
      <c r="E23" s="77">
        <v>187.8</v>
      </c>
      <c r="F23" s="105">
        <f t="shared" si="0"/>
        <v>-4.2417815482501675E-3</v>
      </c>
      <c r="G23" s="8">
        <v>24768.3</v>
      </c>
      <c r="H23" s="105">
        <f t="shared" si="1"/>
        <v>4.0558207412362268E-3</v>
      </c>
      <c r="K23" s="180"/>
      <c r="L23" s="181" t="s">
        <v>425</v>
      </c>
      <c r="M23" s="181">
        <v>251</v>
      </c>
      <c r="U23" s="3"/>
    </row>
    <row r="24" spans="4:21" ht="16.5" x14ac:dyDescent="0.3">
      <c r="D24" s="230">
        <v>45638</v>
      </c>
      <c r="E24" s="77">
        <v>190.8</v>
      </c>
      <c r="F24" s="105">
        <f t="shared" si="0"/>
        <v>1.5974440894568787E-2</v>
      </c>
      <c r="G24" s="8">
        <v>24548.7</v>
      </c>
      <c r="H24" s="105">
        <f t="shared" si="1"/>
        <v>-8.8661716791220702E-3</v>
      </c>
      <c r="U24" s="3"/>
    </row>
    <row r="25" spans="4:21" ht="17.25" thickBot="1" x14ac:dyDescent="0.35">
      <c r="D25" s="230">
        <v>45637</v>
      </c>
      <c r="E25" s="77">
        <v>193.3</v>
      </c>
      <c r="F25" s="105">
        <f t="shared" si="0"/>
        <v>1.3102725366876289E-2</v>
      </c>
      <c r="G25" s="8">
        <v>24641.8</v>
      </c>
      <c r="H25" s="105">
        <f t="shared" si="1"/>
        <v>3.7924615152735708E-3</v>
      </c>
      <c r="K25" s="184"/>
      <c r="L25" t="s">
        <v>426</v>
      </c>
      <c r="U25" s="3"/>
    </row>
    <row r="26" spans="4:21" ht="16.5" x14ac:dyDescent="0.3">
      <c r="D26" s="230">
        <v>45636</v>
      </c>
      <c r="E26" s="77">
        <v>195.3</v>
      </c>
      <c r="F26" s="105">
        <f t="shared" si="0"/>
        <v>1.034661148473881E-2</v>
      </c>
      <c r="G26" s="8">
        <v>24610.05</v>
      </c>
      <c r="H26" s="105">
        <f t="shared" si="1"/>
        <v>-1.2884610702140753E-3</v>
      </c>
      <c r="K26" s="186"/>
      <c r="L26" s="182"/>
      <c r="M26" s="182" t="s">
        <v>430</v>
      </c>
      <c r="N26" s="182" t="s">
        <v>431</v>
      </c>
      <c r="O26" s="182" t="s">
        <v>432</v>
      </c>
      <c r="P26" s="182" t="s">
        <v>433</v>
      </c>
      <c r="Q26" s="182" t="s">
        <v>434</v>
      </c>
      <c r="U26" s="3"/>
    </row>
    <row r="27" spans="4:21" ht="16.5" x14ac:dyDescent="0.3">
      <c r="D27" s="230">
        <v>45635</v>
      </c>
      <c r="E27" s="77">
        <v>199.44</v>
      </c>
      <c r="F27" s="105">
        <f t="shared" si="0"/>
        <v>2.1198156682027625E-2</v>
      </c>
      <c r="G27" s="8">
        <v>24619</v>
      </c>
      <c r="H27" s="105">
        <f t="shared" si="1"/>
        <v>3.6367256466363074E-4</v>
      </c>
      <c r="K27" s="180"/>
      <c r="L27" s="180" t="s">
        <v>427</v>
      </c>
      <c r="M27" s="180">
        <v>1</v>
      </c>
      <c r="N27" s="180">
        <v>4.259070314321925E-2</v>
      </c>
      <c r="O27" s="180">
        <v>4.259070314321925E-2</v>
      </c>
      <c r="P27" s="180">
        <v>77.169988810790343</v>
      </c>
      <c r="Q27" s="180">
        <v>2.5943443550901324E-16</v>
      </c>
      <c r="U27" s="3"/>
    </row>
    <row r="28" spans="4:21" ht="16.5" x14ac:dyDescent="0.3">
      <c r="D28" s="230">
        <v>45632</v>
      </c>
      <c r="E28" s="77">
        <v>198</v>
      </c>
      <c r="F28" s="105">
        <f t="shared" si="0"/>
        <v>-7.2202166064981865E-3</v>
      </c>
      <c r="G28" s="8">
        <v>24677.8</v>
      </c>
      <c r="H28" s="105">
        <f t="shared" si="1"/>
        <v>2.3883992038669088E-3</v>
      </c>
      <c r="K28" s="180"/>
      <c r="L28" s="180" t="s">
        <v>428</v>
      </c>
      <c r="M28" s="180">
        <v>249</v>
      </c>
      <c r="N28" s="180">
        <v>0.13742499184059401</v>
      </c>
      <c r="O28" s="180">
        <v>5.5190759775338956E-4</v>
      </c>
      <c r="P28" s="180"/>
      <c r="Q28" s="180"/>
      <c r="U28" s="3"/>
    </row>
    <row r="29" spans="4:21" ht="17.25" thickBot="1" x14ac:dyDescent="0.35">
      <c r="D29" s="230">
        <v>45631</v>
      </c>
      <c r="E29" s="77">
        <v>192.15</v>
      </c>
      <c r="F29" s="105">
        <f t="shared" si="0"/>
        <v>-2.9545454545454541E-2</v>
      </c>
      <c r="G29" s="8">
        <v>24708.400000000001</v>
      </c>
      <c r="H29" s="105">
        <f t="shared" si="1"/>
        <v>1.239980873497748E-3</v>
      </c>
      <c r="K29" s="180"/>
      <c r="L29" s="181" t="s">
        <v>183</v>
      </c>
      <c r="M29" s="181">
        <v>250</v>
      </c>
      <c r="N29" s="181">
        <v>0.18001569498381326</v>
      </c>
      <c r="O29" s="181"/>
      <c r="P29" s="181"/>
      <c r="Q29" s="181"/>
      <c r="U29" s="101"/>
    </row>
    <row r="30" spans="4:21" ht="17.25" thickBot="1" x14ac:dyDescent="0.35">
      <c r="D30" s="230">
        <v>45630</v>
      </c>
      <c r="E30" s="77">
        <v>186.22</v>
      </c>
      <c r="F30" s="105">
        <f t="shared" si="0"/>
        <v>-3.0861306271142364E-2</v>
      </c>
      <c r="G30" s="8">
        <v>24467.45</v>
      </c>
      <c r="H30" s="105">
        <f t="shared" si="1"/>
        <v>-9.7517443460524156E-3</v>
      </c>
      <c r="U30" s="235"/>
    </row>
    <row r="31" spans="4:21" ht="16.5" x14ac:dyDescent="0.3">
      <c r="D31" s="230">
        <v>45629</v>
      </c>
      <c r="E31" s="77">
        <v>184.53</v>
      </c>
      <c r="F31" s="105">
        <f t="shared" si="0"/>
        <v>-9.0752872945977225E-3</v>
      </c>
      <c r="G31" s="8">
        <v>24457.15</v>
      </c>
      <c r="H31" s="105">
        <f t="shared" si="1"/>
        <v>-4.2096744858988178E-4</v>
      </c>
      <c r="L31" s="182"/>
      <c r="M31" s="182" t="s">
        <v>435</v>
      </c>
      <c r="N31" s="182" t="s">
        <v>424</v>
      </c>
      <c r="O31" s="182" t="s">
        <v>436</v>
      </c>
      <c r="P31" s="182" t="s">
        <v>437</v>
      </c>
      <c r="Q31" s="182" t="s">
        <v>438</v>
      </c>
      <c r="R31" s="182" t="s">
        <v>439</v>
      </c>
      <c r="S31" s="182" t="s">
        <v>440</v>
      </c>
      <c r="T31" s="182" t="s">
        <v>441</v>
      </c>
      <c r="U31" s="234"/>
    </row>
    <row r="32" spans="4:21" ht="16.5" x14ac:dyDescent="0.3">
      <c r="D32" s="230">
        <v>45628</v>
      </c>
      <c r="E32" s="77">
        <v>177.77</v>
      </c>
      <c r="F32" s="105">
        <f t="shared" si="0"/>
        <v>-3.6633609711158033E-2</v>
      </c>
      <c r="G32" s="8">
        <v>24276.05</v>
      </c>
      <c r="H32" s="105">
        <f t="shared" si="1"/>
        <v>-7.4047875570130151E-3</v>
      </c>
      <c r="L32" s="180" t="s">
        <v>429</v>
      </c>
      <c r="M32" s="180">
        <v>-3.4673863388841135E-4</v>
      </c>
      <c r="N32" s="180">
        <v>1.4840241213452104E-3</v>
      </c>
      <c r="O32" s="180">
        <v>-0.23364757277267584</v>
      </c>
      <c r="P32" s="180">
        <v>0.81545056661604554</v>
      </c>
      <c r="Q32" s="180">
        <v>-3.2695788533453791E-3</v>
      </c>
      <c r="R32" s="180">
        <v>2.5761015855685562E-3</v>
      </c>
      <c r="S32" s="180">
        <v>-3.2695788533453791E-3</v>
      </c>
      <c r="T32" s="180">
        <v>2.5761015855685562E-3</v>
      </c>
      <c r="U32" s="234"/>
    </row>
    <row r="33" spans="4:20" ht="17.25" thickBot="1" x14ac:dyDescent="0.35">
      <c r="D33" s="230">
        <v>45625</v>
      </c>
      <c r="E33" s="77">
        <v>174.39</v>
      </c>
      <c r="F33" s="105">
        <f t="shared" si="0"/>
        <v>-1.901333183326781E-2</v>
      </c>
      <c r="G33" s="8">
        <v>24131.1</v>
      </c>
      <c r="H33" s="105">
        <f t="shared" si="1"/>
        <v>-5.9709054809163886E-3</v>
      </c>
      <c r="L33" s="181" t="s">
        <v>442</v>
      </c>
      <c r="M33" s="181">
        <v>1.4625105359709867</v>
      </c>
      <c r="N33" s="181">
        <v>0.16648487516179117</v>
      </c>
      <c r="O33" s="181">
        <v>8.7846450588962437</v>
      </c>
      <c r="P33" s="181">
        <v>2.594344355090266E-16</v>
      </c>
      <c r="Q33" s="181">
        <v>1.1346124364353378</v>
      </c>
      <c r="R33" s="181">
        <v>1.7904086355066355</v>
      </c>
      <c r="S33" s="181">
        <v>1.1346124364353378</v>
      </c>
      <c r="T33" s="181">
        <v>1.7904086355066355</v>
      </c>
    </row>
    <row r="34" spans="4:20" ht="16.5" x14ac:dyDescent="0.3">
      <c r="D34" s="230">
        <v>45624</v>
      </c>
      <c r="E34" s="77">
        <v>174.55</v>
      </c>
      <c r="F34" s="105">
        <f t="shared" si="0"/>
        <v>9.1748380067668833E-4</v>
      </c>
      <c r="G34" s="8">
        <v>23914.15</v>
      </c>
      <c r="H34" s="105">
        <f t="shared" si="1"/>
        <v>-8.9904728752521201E-3</v>
      </c>
    </row>
    <row r="35" spans="4:20" ht="16.5" x14ac:dyDescent="0.3">
      <c r="D35" s="230">
        <v>45623</v>
      </c>
      <c r="E35" s="77">
        <v>174.39</v>
      </c>
      <c r="F35" s="105">
        <f t="shared" si="0"/>
        <v>-9.1664279576064711E-4</v>
      </c>
      <c r="G35" s="8">
        <v>24274.9</v>
      </c>
      <c r="H35" s="105">
        <f t="shared" si="1"/>
        <v>1.5085211057052073E-2</v>
      </c>
    </row>
    <row r="36" spans="4:20" ht="16.5" x14ac:dyDescent="0.3">
      <c r="D36" s="230">
        <v>45622</v>
      </c>
      <c r="E36" s="77">
        <v>172.2</v>
      </c>
      <c r="F36" s="105">
        <f t="shared" si="0"/>
        <v>-1.2558059521761589E-2</v>
      </c>
      <c r="G36" s="8">
        <v>24194.5</v>
      </c>
      <c r="H36" s="105">
        <f t="shared" si="1"/>
        <v>-3.3120630774998716E-3</v>
      </c>
    </row>
    <row r="37" spans="4:20" ht="16.5" x14ac:dyDescent="0.3">
      <c r="D37" s="230">
        <v>45621</v>
      </c>
      <c r="E37" s="77">
        <v>174.4</v>
      </c>
      <c r="F37" s="105">
        <f t="shared" si="0"/>
        <v>1.2775842044134844E-2</v>
      </c>
      <c r="G37" s="8">
        <v>24221.9</v>
      </c>
      <c r="H37" s="105">
        <f t="shared" si="1"/>
        <v>1.1324887887744772E-3</v>
      </c>
    </row>
    <row r="38" spans="4:20" ht="16.5" x14ac:dyDescent="0.3">
      <c r="D38" s="230">
        <v>45618</v>
      </c>
      <c r="E38" s="77">
        <v>172.15</v>
      </c>
      <c r="F38" s="105">
        <f t="shared" si="0"/>
        <v>-1.290137614678899E-2</v>
      </c>
      <c r="G38" s="8">
        <v>23907.25</v>
      </c>
      <c r="H38" s="105">
        <f t="shared" si="1"/>
        <v>-1.2990310421560736E-2</v>
      </c>
    </row>
    <row r="39" spans="4:20" ht="16.5" x14ac:dyDescent="0.3">
      <c r="D39" s="230">
        <v>45617</v>
      </c>
      <c r="E39" s="77">
        <v>171.38</v>
      </c>
      <c r="F39" s="105">
        <f t="shared" si="0"/>
        <v>-4.4728434504792691E-3</v>
      </c>
      <c r="G39" s="8">
        <v>23349.9</v>
      </c>
      <c r="H39" s="105">
        <f t="shared" si="1"/>
        <v>-2.3313011743299583E-2</v>
      </c>
    </row>
    <row r="40" spans="4:20" ht="16.5" x14ac:dyDescent="0.3">
      <c r="D40" s="230">
        <v>45615</v>
      </c>
      <c r="E40" s="77">
        <v>169.09</v>
      </c>
      <c r="F40" s="105">
        <f t="shared" si="0"/>
        <v>-1.3362119267125605E-2</v>
      </c>
      <c r="G40" s="8">
        <v>23518.5</v>
      </c>
      <c r="H40" s="105">
        <f t="shared" si="1"/>
        <v>7.220587668469669E-3</v>
      </c>
    </row>
    <row r="41" spans="4:20" ht="16.5" x14ac:dyDescent="0.3">
      <c r="D41" s="230">
        <v>45614</v>
      </c>
      <c r="E41" s="77">
        <v>170.82</v>
      </c>
      <c r="F41" s="105">
        <f t="shared" si="0"/>
        <v>1.0231237802353688E-2</v>
      </c>
      <c r="G41" s="8">
        <v>23453.8</v>
      </c>
      <c r="H41" s="105">
        <f t="shared" si="1"/>
        <v>-2.7510257882092937E-3</v>
      </c>
    </row>
    <row r="42" spans="4:20" ht="16.5" x14ac:dyDescent="0.3">
      <c r="D42" s="230">
        <v>45610</v>
      </c>
      <c r="E42" s="77">
        <v>175.2</v>
      </c>
      <c r="F42" s="105">
        <f t="shared" si="0"/>
        <v>2.564102564102555E-2</v>
      </c>
      <c r="G42" s="8">
        <v>23532.7</v>
      </c>
      <c r="H42" s="105">
        <f t="shared" si="1"/>
        <v>3.3640604081215386E-3</v>
      </c>
    </row>
    <row r="43" spans="4:20" ht="16.5" x14ac:dyDescent="0.3">
      <c r="D43" s="230">
        <v>45609</v>
      </c>
      <c r="E43" s="77">
        <v>174.96</v>
      </c>
      <c r="F43" s="105">
        <f t="shared" si="0"/>
        <v>-1.369863013698569E-3</v>
      </c>
      <c r="G43" s="8">
        <v>23559.05</v>
      </c>
      <c r="H43" s="105">
        <f t="shared" si="1"/>
        <v>1.1197185193367876E-3</v>
      </c>
    </row>
    <row r="44" spans="4:20" ht="16.5" x14ac:dyDescent="0.3">
      <c r="D44" s="230">
        <v>45608</v>
      </c>
      <c r="E44" s="77">
        <v>183.5</v>
      </c>
      <c r="F44" s="105">
        <f t="shared" si="0"/>
        <v>4.8811156835848246E-2</v>
      </c>
      <c r="G44" s="8">
        <v>23883.45</v>
      </c>
      <c r="H44" s="105">
        <f t="shared" si="1"/>
        <v>1.3769655397819491E-2</v>
      </c>
    </row>
    <row r="45" spans="4:20" ht="16.5" x14ac:dyDescent="0.3">
      <c r="D45" s="230">
        <v>45607</v>
      </c>
      <c r="E45" s="77">
        <v>184.2</v>
      </c>
      <c r="F45" s="105">
        <f t="shared" si="0"/>
        <v>3.814713896457711E-3</v>
      </c>
      <c r="G45" s="8">
        <v>24141.3</v>
      </c>
      <c r="H45" s="105">
        <f t="shared" si="1"/>
        <v>1.0796178943996759E-2</v>
      </c>
    </row>
    <row r="46" spans="4:20" ht="16.5" x14ac:dyDescent="0.3">
      <c r="D46" s="230">
        <v>45604</v>
      </c>
      <c r="E46" s="77">
        <v>182.38</v>
      </c>
      <c r="F46" s="105">
        <f t="shared" si="0"/>
        <v>-9.8805646036915773E-3</v>
      </c>
      <c r="G46" s="8">
        <v>24148.2</v>
      </c>
      <c r="H46" s="105">
        <f t="shared" si="1"/>
        <v>2.8581725093523858E-4</v>
      </c>
    </row>
    <row r="47" spans="4:20" ht="16.5" x14ac:dyDescent="0.3">
      <c r="D47" s="230">
        <v>45603</v>
      </c>
      <c r="E47" s="77">
        <v>185.9</v>
      </c>
      <c r="F47" s="105">
        <f t="shared" si="0"/>
        <v>1.93003618817853E-2</v>
      </c>
      <c r="G47" s="8">
        <v>24199.35</v>
      </c>
      <c r="H47" s="105">
        <f t="shared" si="1"/>
        <v>2.1181702984072182E-3</v>
      </c>
    </row>
    <row r="48" spans="4:20" ht="16.5" x14ac:dyDescent="0.3">
      <c r="D48" s="230">
        <v>45602</v>
      </c>
      <c r="E48" s="77">
        <v>186.75</v>
      </c>
      <c r="F48" s="105">
        <f t="shared" si="0"/>
        <v>4.5723507261967722E-3</v>
      </c>
      <c r="G48" s="8">
        <v>24484.05</v>
      </c>
      <c r="H48" s="105">
        <f t="shared" si="1"/>
        <v>1.1764778806042431E-2</v>
      </c>
    </row>
    <row r="49" spans="4:8" ht="16.5" x14ac:dyDescent="0.3">
      <c r="D49" s="230">
        <v>45601</v>
      </c>
      <c r="E49" s="77">
        <v>182.3</v>
      </c>
      <c r="F49" s="105">
        <f t="shared" si="0"/>
        <v>-2.3828647925033364E-2</v>
      </c>
      <c r="G49" s="8">
        <v>24213.3</v>
      </c>
      <c r="H49" s="105">
        <f t="shared" si="1"/>
        <v>-1.1058219534758384E-2</v>
      </c>
    </row>
    <row r="50" spans="4:8" ht="16.5" x14ac:dyDescent="0.3">
      <c r="D50" s="230">
        <v>45600</v>
      </c>
      <c r="E50" s="77">
        <v>180.96</v>
      </c>
      <c r="F50" s="105">
        <f t="shared" si="0"/>
        <v>-7.3505211190345587E-3</v>
      </c>
      <c r="G50" s="8">
        <v>23995.35</v>
      </c>
      <c r="H50" s="105">
        <f t="shared" si="1"/>
        <v>-9.0012513783747083E-3</v>
      </c>
    </row>
    <row r="51" spans="4:8" ht="16.5" x14ac:dyDescent="0.3">
      <c r="D51" s="230">
        <v>45597</v>
      </c>
      <c r="E51" s="77">
        <v>190.9</v>
      </c>
      <c r="F51" s="105">
        <f t="shared" si="0"/>
        <v>5.4929266136162669E-2</v>
      </c>
      <c r="G51" s="8">
        <v>24304.35</v>
      </c>
      <c r="H51" s="105">
        <f t="shared" si="1"/>
        <v>1.2877495014659068E-2</v>
      </c>
    </row>
    <row r="52" spans="4:8" ht="16.5" x14ac:dyDescent="0.3">
      <c r="D52" s="230">
        <v>45596</v>
      </c>
      <c r="E52" s="77">
        <v>189</v>
      </c>
      <c r="F52" s="105">
        <f t="shared" si="0"/>
        <v>-9.952854897852359E-3</v>
      </c>
      <c r="G52" s="8">
        <v>24205.35</v>
      </c>
      <c r="H52" s="105">
        <f t="shared" si="1"/>
        <v>-4.0733448950496243E-3</v>
      </c>
    </row>
    <row r="53" spans="4:8" ht="16.5" x14ac:dyDescent="0.3">
      <c r="D53" s="230">
        <v>45595</v>
      </c>
      <c r="E53" s="77">
        <v>183.1</v>
      </c>
      <c r="F53" s="105">
        <f t="shared" si="0"/>
        <v>-3.1216931216931254E-2</v>
      </c>
      <c r="G53" s="8">
        <v>24340.85</v>
      </c>
      <c r="H53" s="105">
        <f t="shared" si="1"/>
        <v>5.5979359934890116E-3</v>
      </c>
    </row>
    <row r="54" spans="4:8" ht="16.5" x14ac:dyDescent="0.3">
      <c r="D54" s="230">
        <v>45594</v>
      </c>
      <c r="E54" s="77">
        <v>182.9</v>
      </c>
      <c r="F54" s="105">
        <f t="shared" si="0"/>
        <v>-1.0922992900054274E-3</v>
      </c>
      <c r="G54" s="8">
        <v>24466.85</v>
      </c>
      <c r="H54" s="105">
        <f t="shared" si="1"/>
        <v>5.1764831548610779E-3</v>
      </c>
    </row>
    <row r="55" spans="4:8" ht="16.5" x14ac:dyDescent="0.3">
      <c r="D55" s="230">
        <v>45593</v>
      </c>
      <c r="E55" s="77">
        <v>176.7</v>
      </c>
      <c r="F55" s="105">
        <f t="shared" si="0"/>
        <v>-3.3898305084745894E-2</v>
      </c>
      <c r="G55" s="8">
        <v>24339.15</v>
      </c>
      <c r="H55" s="105">
        <f t="shared" si="1"/>
        <v>-5.2193069397979963E-3</v>
      </c>
    </row>
    <row r="56" spans="4:8" ht="16.5" x14ac:dyDescent="0.3">
      <c r="D56" s="230">
        <v>45590</v>
      </c>
      <c r="E56" s="77">
        <v>182.5</v>
      </c>
      <c r="F56" s="105">
        <f t="shared" si="0"/>
        <v>3.2823995472552436E-2</v>
      </c>
      <c r="G56" s="8">
        <v>24180.799999999999</v>
      </c>
      <c r="H56" s="105">
        <f t="shared" si="1"/>
        <v>-6.5059790502134396E-3</v>
      </c>
    </row>
    <row r="57" spans="4:8" ht="16.5" x14ac:dyDescent="0.3">
      <c r="D57" s="230">
        <v>45589</v>
      </c>
      <c r="E57" s="77">
        <v>187.05</v>
      </c>
      <c r="F57" s="105">
        <f t="shared" si="0"/>
        <v>2.4931506849315221E-2</v>
      </c>
      <c r="G57" s="8">
        <v>24399.4</v>
      </c>
      <c r="H57" s="105">
        <f t="shared" si="1"/>
        <v>9.0402302653345146E-3</v>
      </c>
    </row>
    <row r="58" spans="4:8" ht="16.5" x14ac:dyDescent="0.3">
      <c r="D58" s="230">
        <v>45588</v>
      </c>
      <c r="E58" s="77">
        <v>188.26</v>
      </c>
      <c r="F58" s="105">
        <f t="shared" si="0"/>
        <v>6.4688585939587373E-3</v>
      </c>
      <c r="G58" s="8">
        <v>24435.5</v>
      </c>
      <c r="H58" s="105">
        <f t="shared" si="1"/>
        <v>1.4795445789650419E-3</v>
      </c>
    </row>
    <row r="59" spans="4:8" ht="16.5" x14ac:dyDescent="0.3">
      <c r="D59" s="230">
        <v>45587</v>
      </c>
      <c r="E59" s="77">
        <v>187.5</v>
      </c>
      <c r="F59" s="105">
        <f t="shared" si="0"/>
        <v>-4.0369701476680175E-3</v>
      </c>
      <c r="G59" s="8">
        <v>24472.1</v>
      </c>
      <c r="H59" s="105">
        <f t="shared" si="1"/>
        <v>1.497820793517679E-3</v>
      </c>
    </row>
    <row r="60" spans="4:8" ht="16.5" x14ac:dyDescent="0.3">
      <c r="D60" s="230">
        <v>45586</v>
      </c>
      <c r="E60" s="77">
        <v>192.35</v>
      </c>
      <c r="F60" s="105">
        <f t="shared" si="0"/>
        <v>2.5866666666666704E-2</v>
      </c>
      <c r="G60" s="8">
        <v>24781.1</v>
      </c>
      <c r="H60" s="105">
        <f t="shared" si="1"/>
        <v>1.2626623787905356E-2</v>
      </c>
    </row>
    <row r="61" spans="4:8" ht="16.5" x14ac:dyDescent="0.3">
      <c r="D61" s="230">
        <v>45583</v>
      </c>
      <c r="E61" s="77">
        <v>197.49</v>
      </c>
      <c r="F61" s="105">
        <f t="shared" si="0"/>
        <v>2.6722121133350818E-2</v>
      </c>
      <c r="G61" s="8">
        <v>24854.05</v>
      </c>
      <c r="H61" s="105">
        <f t="shared" si="1"/>
        <v>2.9437757000294607E-3</v>
      </c>
    </row>
    <row r="62" spans="4:8" ht="16.5" x14ac:dyDescent="0.3">
      <c r="D62" s="230">
        <v>45582</v>
      </c>
      <c r="E62" s="77">
        <v>193.34</v>
      </c>
      <c r="F62" s="105">
        <f t="shared" si="0"/>
        <v>-2.1013722213783059E-2</v>
      </c>
      <c r="G62" s="8">
        <v>24749.85</v>
      </c>
      <c r="H62" s="105">
        <f t="shared" si="1"/>
        <v>-4.1924756729788681E-3</v>
      </c>
    </row>
    <row r="63" spans="4:8" ht="16.5" x14ac:dyDescent="0.3">
      <c r="D63" s="230">
        <v>45581</v>
      </c>
      <c r="E63" s="77">
        <v>192.91</v>
      </c>
      <c r="F63" s="105">
        <f t="shared" si="0"/>
        <v>-2.2240612392676606E-3</v>
      </c>
      <c r="G63" s="8">
        <v>24971.3</v>
      </c>
      <c r="H63" s="105">
        <f t="shared" si="1"/>
        <v>8.9475289749230136E-3</v>
      </c>
    </row>
    <row r="64" spans="4:8" ht="16.5" x14ac:dyDescent="0.3">
      <c r="D64" s="230">
        <v>45580</v>
      </c>
      <c r="E64" s="77">
        <v>196</v>
      </c>
      <c r="F64" s="105">
        <f t="shared" si="0"/>
        <v>1.601783214970709E-2</v>
      </c>
      <c r="G64" s="8">
        <v>25057.35</v>
      </c>
      <c r="H64" s="105">
        <f t="shared" si="1"/>
        <v>3.4459559574391285E-3</v>
      </c>
    </row>
    <row r="65" spans="4:8" ht="16.5" x14ac:dyDescent="0.3">
      <c r="D65" s="230">
        <v>45579</v>
      </c>
      <c r="E65" s="77">
        <v>187.15</v>
      </c>
      <c r="F65" s="105">
        <f t="shared" si="0"/>
        <v>-4.515306122448981E-2</v>
      </c>
      <c r="G65" s="8">
        <v>25127.95</v>
      </c>
      <c r="H65" s="105">
        <f t="shared" si="1"/>
        <v>2.8175365711060607E-3</v>
      </c>
    </row>
    <row r="66" spans="4:8" ht="16.5" x14ac:dyDescent="0.3">
      <c r="D66" s="230">
        <v>45576</v>
      </c>
      <c r="E66" s="77">
        <v>185.5</v>
      </c>
      <c r="F66" s="105">
        <f t="shared" si="0"/>
        <v>-8.816457387122667E-3</v>
      </c>
      <c r="G66" s="8">
        <v>24964.25</v>
      </c>
      <c r="H66" s="105">
        <f t="shared" si="1"/>
        <v>-6.514657980456029E-3</v>
      </c>
    </row>
    <row r="67" spans="4:8" ht="16.5" x14ac:dyDescent="0.3">
      <c r="D67" s="230">
        <v>45575</v>
      </c>
      <c r="E67" s="77">
        <v>185.24</v>
      </c>
      <c r="F67" s="105">
        <f t="shared" si="0"/>
        <v>-1.4016172506737812E-3</v>
      </c>
      <c r="G67" s="8">
        <v>24998.45</v>
      </c>
      <c r="H67" s="105">
        <f t="shared" si="1"/>
        <v>1.3699590414293361E-3</v>
      </c>
    </row>
    <row r="68" spans="4:8" ht="16.5" x14ac:dyDescent="0.3">
      <c r="D68" s="230">
        <v>45574</v>
      </c>
      <c r="E68" s="77">
        <v>187.6</v>
      </c>
      <c r="F68" s="105">
        <f t="shared" si="0"/>
        <v>1.2740228892247796E-2</v>
      </c>
      <c r="G68" s="8">
        <v>24981.95</v>
      </c>
      <c r="H68" s="105">
        <f t="shared" si="1"/>
        <v>-6.6004092253724167E-4</v>
      </c>
    </row>
    <row r="69" spans="4:8" ht="16.5" x14ac:dyDescent="0.3">
      <c r="D69" s="230">
        <v>45573</v>
      </c>
      <c r="E69" s="77">
        <v>190.3</v>
      </c>
      <c r="F69" s="105">
        <f t="shared" si="0"/>
        <v>1.4392324093816633E-2</v>
      </c>
      <c r="G69" s="8">
        <v>25013.15</v>
      </c>
      <c r="H69" s="105">
        <f t="shared" si="1"/>
        <v>1.2489017070325126E-3</v>
      </c>
    </row>
    <row r="70" spans="4:8" ht="16.5" x14ac:dyDescent="0.3">
      <c r="D70" s="230">
        <v>45572</v>
      </c>
      <c r="E70" s="77">
        <v>183.7</v>
      </c>
      <c r="F70" s="105">
        <f t="shared" si="0"/>
        <v>-3.4682080924855585E-2</v>
      </c>
      <c r="G70" s="8">
        <v>24795.75</v>
      </c>
      <c r="H70" s="105">
        <f t="shared" si="1"/>
        <v>-8.6914283087097255E-3</v>
      </c>
    </row>
    <row r="71" spans="4:8" ht="16.5" x14ac:dyDescent="0.3">
      <c r="D71" s="230">
        <v>45569</v>
      </c>
      <c r="E71" s="77">
        <v>193.89</v>
      </c>
      <c r="F71" s="105">
        <f t="shared" si="0"/>
        <v>5.5470876428960203E-2</v>
      </c>
      <c r="G71" s="8">
        <v>25014.6</v>
      </c>
      <c r="H71" s="105">
        <f t="shared" si="1"/>
        <v>8.8261093130879154E-3</v>
      </c>
    </row>
    <row r="72" spans="4:8" ht="16.5" x14ac:dyDescent="0.3">
      <c r="D72" s="230">
        <v>45568</v>
      </c>
      <c r="E72" s="77">
        <v>193</v>
      </c>
      <c r="F72" s="105">
        <f t="shared" si="0"/>
        <v>-4.5902315746041422E-3</v>
      </c>
      <c r="G72" s="8">
        <v>25250.1</v>
      </c>
      <c r="H72" s="105">
        <f t="shared" si="1"/>
        <v>9.4145019308724542E-3</v>
      </c>
    </row>
    <row r="73" spans="4:8" ht="16.5" x14ac:dyDescent="0.3">
      <c r="D73" s="230">
        <v>45566</v>
      </c>
      <c r="E73" s="77">
        <v>200.94</v>
      </c>
      <c r="F73" s="105">
        <f t="shared" si="0"/>
        <v>4.1139896373056928E-2</v>
      </c>
      <c r="G73" s="8">
        <v>25796.9</v>
      </c>
      <c r="H73" s="105">
        <f t="shared" si="1"/>
        <v>2.1655359780753392E-2</v>
      </c>
    </row>
    <row r="74" spans="4:8" ht="16.5" x14ac:dyDescent="0.3">
      <c r="D74" s="230">
        <v>45565</v>
      </c>
      <c r="E74" s="77">
        <v>200.48</v>
      </c>
      <c r="F74" s="105">
        <f t="shared" si="0"/>
        <v>-2.2892405693242246E-3</v>
      </c>
      <c r="G74" s="8">
        <v>25810.85</v>
      </c>
      <c r="H74" s="105">
        <f t="shared" si="1"/>
        <v>5.4076264977553912E-4</v>
      </c>
    </row>
    <row r="75" spans="4:8" ht="16.5" x14ac:dyDescent="0.3">
      <c r="D75" s="230">
        <v>45562</v>
      </c>
      <c r="E75" s="77">
        <v>200.2</v>
      </c>
      <c r="F75" s="105">
        <f t="shared" ref="F75:F138" si="2">E75/E74-1</f>
        <v>-1.3966480446927498E-3</v>
      </c>
      <c r="G75" s="8">
        <v>26178.95</v>
      </c>
      <c r="H75" s="105">
        <f t="shared" ref="H75:H138" si="3">G75/G74-1</f>
        <v>1.4261444315084582E-2</v>
      </c>
    </row>
    <row r="76" spans="4:8" ht="16.5" x14ac:dyDescent="0.3">
      <c r="D76" s="230">
        <v>45561</v>
      </c>
      <c r="E76" s="77">
        <v>204</v>
      </c>
      <c r="F76" s="105">
        <f t="shared" si="2"/>
        <v>1.8981018981019115E-2</v>
      </c>
      <c r="G76" s="8">
        <v>26216.05</v>
      </c>
      <c r="H76" s="105">
        <f t="shared" si="3"/>
        <v>1.4171691377995455E-3</v>
      </c>
    </row>
    <row r="77" spans="4:8" ht="16.5" x14ac:dyDescent="0.3">
      <c r="D77" s="230">
        <v>45560</v>
      </c>
      <c r="E77" s="77">
        <v>205.25</v>
      </c>
      <c r="F77" s="105">
        <f t="shared" si="2"/>
        <v>6.1274509803921351E-3</v>
      </c>
      <c r="G77" s="8">
        <v>26004.15</v>
      </c>
      <c r="H77" s="105">
        <f t="shared" si="3"/>
        <v>-8.0828347519934507E-3</v>
      </c>
    </row>
    <row r="78" spans="4:8" ht="16.5" x14ac:dyDescent="0.3">
      <c r="D78" s="230">
        <v>45559</v>
      </c>
      <c r="E78" s="77">
        <v>200.84</v>
      </c>
      <c r="F78" s="105">
        <f t="shared" si="2"/>
        <v>-2.1485992691839151E-2</v>
      </c>
      <c r="G78" s="8">
        <v>25940.400000000001</v>
      </c>
      <c r="H78" s="105">
        <f t="shared" si="3"/>
        <v>-2.4515317747360044E-3</v>
      </c>
    </row>
    <row r="79" spans="4:8" ht="16.5" x14ac:dyDescent="0.3">
      <c r="D79" s="230">
        <v>45558</v>
      </c>
      <c r="E79" s="77">
        <v>195.8</v>
      </c>
      <c r="F79" s="105">
        <f t="shared" si="2"/>
        <v>-2.5094602668791044E-2</v>
      </c>
      <c r="G79" s="8">
        <v>25939.05</v>
      </c>
      <c r="H79" s="105">
        <f t="shared" si="3"/>
        <v>-5.2042374057537089E-5</v>
      </c>
    </row>
    <row r="80" spans="4:8" ht="16.5" x14ac:dyDescent="0.3">
      <c r="D80" s="230">
        <v>45555</v>
      </c>
      <c r="E80" s="77">
        <v>186.4</v>
      </c>
      <c r="F80" s="105">
        <f t="shared" si="2"/>
        <v>-4.8008171603677208E-2</v>
      </c>
      <c r="G80" s="8">
        <v>25790.95</v>
      </c>
      <c r="H80" s="105">
        <f t="shared" si="3"/>
        <v>-5.7095383215652884E-3</v>
      </c>
    </row>
    <row r="81" spans="4:8" ht="16.5" x14ac:dyDescent="0.3">
      <c r="D81" s="230">
        <v>45554</v>
      </c>
      <c r="E81" s="77">
        <v>190</v>
      </c>
      <c r="F81" s="105">
        <f t="shared" si="2"/>
        <v>1.93133047210301E-2</v>
      </c>
      <c r="G81" s="8">
        <v>25415.8</v>
      </c>
      <c r="H81" s="105">
        <f t="shared" si="3"/>
        <v>-1.4545799980225649E-2</v>
      </c>
    </row>
    <row r="82" spans="4:8" ht="16.5" x14ac:dyDescent="0.3">
      <c r="D82" s="230">
        <v>45553</v>
      </c>
      <c r="E82" s="77">
        <v>192</v>
      </c>
      <c r="F82" s="105">
        <f t="shared" si="2"/>
        <v>1.0526315789473717E-2</v>
      </c>
      <c r="G82" s="8">
        <v>25377.55</v>
      </c>
      <c r="H82" s="105">
        <f t="shared" si="3"/>
        <v>-1.5049693497745098E-3</v>
      </c>
    </row>
    <row r="83" spans="4:8" ht="16.5" x14ac:dyDescent="0.3">
      <c r="D83" s="230">
        <v>45552</v>
      </c>
      <c r="E83" s="77">
        <v>191.75</v>
      </c>
      <c r="F83" s="105">
        <f t="shared" si="2"/>
        <v>-1.3020833333333703E-3</v>
      </c>
      <c r="G83" s="8">
        <v>25418.55</v>
      </c>
      <c r="H83" s="105">
        <f t="shared" si="3"/>
        <v>1.6156011908163848E-3</v>
      </c>
    </row>
    <row r="84" spans="4:8" ht="16.5" x14ac:dyDescent="0.3">
      <c r="D84" s="230">
        <v>45551</v>
      </c>
      <c r="E84" s="77">
        <v>195.8</v>
      </c>
      <c r="F84" s="105">
        <f t="shared" si="2"/>
        <v>2.1121251629726334E-2</v>
      </c>
      <c r="G84" s="8">
        <v>25383.75</v>
      </c>
      <c r="H84" s="105">
        <f t="shared" si="3"/>
        <v>-1.3690788813680577E-3</v>
      </c>
    </row>
    <row r="85" spans="4:8" ht="16.5" x14ac:dyDescent="0.3">
      <c r="D85" s="230">
        <v>45548</v>
      </c>
      <c r="E85" s="77">
        <v>197.48</v>
      </c>
      <c r="F85" s="105">
        <f t="shared" si="2"/>
        <v>8.5801838610826131E-3</v>
      </c>
      <c r="G85" s="8">
        <v>25356.5</v>
      </c>
      <c r="H85" s="105">
        <f t="shared" si="3"/>
        <v>-1.0735214458068576E-3</v>
      </c>
    </row>
    <row r="86" spans="4:8" ht="16.5" x14ac:dyDescent="0.3">
      <c r="D86" s="230">
        <v>45547</v>
      </c>
      <c r="E86" s="77">
        <v>195</v>
      </c>
      <c r="F86" s="105">
        <f t="shared" si="2"/>
        <v>-1.2558233745189384E-2</v>
      </c>
      <c r="G86" s="8">
        <v>25388.9</v>
      </c>
      <c r="H86" s="105">
        <f t="shared" si="3"/>
        <v>1.277778873267188E-3</v>
      </c>
    </row>
    <row r="87" spans="4:8" ht="16.5" x14ac:dyDescent="0.3">
      <c r="D87" s="230">
        <v>45546</v>
      </c>
      <c r="E87" s="77">
        <v>195</v>
      </c>
      <c r="F87" s="105">
        <f t="shared" si="2"/>
        <v>0</v>
      </c>
      <c r="G87" s="8">
        <v>24918.45</v>
      </c>
      <c r="H87" s="105">
        <f t="shared" si="3"/>
        <v>-1.8529751190480948E-2</v>
      </c>
    </row>
    <row r="88" spans="4:8" ht="16.5" x14ac:dyDescent="0.3">
      <c r="D88" s="230">
        <v>45545</v>
      </c>
      <c r="E88" s="77">
        <v>198.6</v>
      </c>
      <c r="F88" s="105">
        <f t="shared" si="2"/>
        <v>1.8461538461538529E-2</v>
      </c>
      <c r="G88" s="8">
        <v>25041.1</v>
      </c>
      <c r="H88" s="105">
        <f t="shared" si="3"/>
        <v>4.9220557458429237E-3</v>
      </c>
    </row>
    <row r="89" spans="4:8" ht="16.5" x14ac:dyDescent="0.3">
      <c r="D89" s="230">
        <v>45544</v>
      </c>
      <c r="E89" s="77">
        <v>190.35</v>
      </c>
      <c r="F89" s="105">
        <f t="shared" si="2"/>
        <v>-4.1540785498489385E-2</v>
      </c>
      <c r="G89" s="8">
        <v>24936.400000000001</v>
      </c>
      <c r="H89" s="105">
        <f t="shared" si="3"/>
        <v>-4.1811262284802142E-3</v>
      </c>
    </row>
    <row r="90" spans="4:8" ht="16.5" x14ac:dyDescent="0.3">
      <c r="D90" s="230">
        <v>45541</v>
      </c>
      <c r="E90" s="77">
        <v>188</v>
      </c>
      <c r="F90" s="105">
        <f t="shared" si="2"/>
        <v>-1.2345679012345623E-2</v>
      </c>
      <c r="G90" s="8">
        <v>24852.15</v>
      </c>
      <c r="H90" s="105">
        <f t="shared" si="3"/>
        <v>-3.378595146051544E-3</v>
      </c>
    </row>
    <row r="91" spans="4:8" ht="16.5" x14ac:dyDescent="0.3">
      <c r="D91" s="230">
        <v>45540</v>
      </c>
      <c r="E91" s="77">
        <v>193.95</v>
      </c>
      <c r="F91" s="105">
        <f t="shared" si="2"/>
        <v>3.1648936170212805E-2</v>
      </c>
      <c r="G91" s="8">
        <v>25145.1</v>
      </c>
      <c r="H91" s="105">
        <f t="shared" si="3"/>
        <v>1.1787712531913686E-2</v>
      </c>
    </row>
    <row r="92" spans="4:8" ht="16.5" x14ac:dyDescent="0.3">
      <c r="D92" s="230">
        <v>45539</v>
      </c>
      <c r="E92" s="77">
        <v>193.95</v>
      </c>
      <c r="F92" s="105">
        <f t="shared" si="2"/>
        <v>0</v>
      </c>
      <c r="G92" s="8">
        <v>25198.7</v>
      </c>
      <c r="H92" s="105">
        <f t="shared" si="3"/>
        <v>2.1316280309087166E-3</v>
      </c>
    </row>
    <row r="93" spans="4:8" ht="16.5" x14ac:dyDescent="0.3">
      <c r="D93" s="230">
        <v>45538</v>
      </c>
      <c r="E93" s="77">
        <v>197.75</v>
      </c>
      <c r="F93" s="105">
        <f t="shared" si="2"/>
        <v>1.9592678525393259E-2</v>
      </c>
      <c r="G93" s="8">
        <v>25279.85</v>
      </c>
      <c r="H93" s="105">
        <f t="shared" si="3"/>
        <v>3.220404227202156E-3</v>
      </c>
    </row>
    <row r="94" spans="4:8" ht="16.5" x14ac:dyDescent="0.3">
      <c r="D94" s="230">
        <v>45537</v>
      </c>
      <c r="E94" s="77">
        <v>195.8</v>
      </c>
      <c r="F94" s="105">
        <f t="shared" si="2"/>
        <v>-9.8609355246522812E-3</v>
      </c>
      <c r="G94" s="8">
        <v>25278.7</v>
      </c>
      <c r="H94" s="105">
        <f t="shared" si="3"/>
        <v>-4.5490776250600717E-5</v>
      </c>
    </row>
    <row r="95" spans="4:8" ht="16.5" x14ac:dyDescent="0.3">
      <c r="D95" s="230">
        <v>45534</v>
      </c>
      <c r="E95" s="77">
        <v>193.61</v>
      </c>
      <c r="F95" s="105">
        <f t="shared" si="2"/>
        <v>-1.118488253319716E-2</v>
      </c>
      <c r="G95" s="8">
        <v>25235.9</v>
      </c>
      <c r="H95" s="105">
        <f t="shared" si="3"/>
        <v>-1.6931250420314514E-3</v>
      </c>
    </row>
    <row r="96" spans="4:8" ht="16.5" x14ac:dyDescent="0.3">
      <c r="D96" s="230">
        <v>45533</v>
      </c>
      <c r="E96" s="77">
        <v>198.52</v>
      </c>
      <c r="F96" s="105">
        <f t="shared" si="2"/>
        <v>2.5360260317132344E-2</v>
      </c>
      <c r="G96" s="8">
        <v>25151.95</v>
      </c>
      <c r="H96" s="105">
        <f t="shared" si="3"/>
        <v>-3.3266101070300591E-3</v>
      </c>
    </row>
    <row r="97" spans="4:8" ht="16.5" x14ac:dyDescent="0.3">
      <c r="D97" s="230">
        <v>45532</v>
      </c>
      <c r="E97" s="77">
        <v>204.3</v>
      </c>
      <c r="F97" s="105">
        <f t="shared" si="2"/>
        <v>2.9115454362280913E-2</v>
      </c>
      <c r="G97" s="8">
        <v>25052.35</v>
      </c>
      <c r="H97" s="105">
        <f t="shared" si="3"/>
        <v>-3.9599315361235066E-3</v>
      </c>
    </row>
    <row r="98" spans="4:8" ht="16.5" x14ac:dyDescent="0.3">
      <c r="D98" s="230">
        <v>45531</v>
      </c>
      <c r="E98" s="77">
        <v>207.77</v>
      </c>
      <c r="F98" s="105">
        <f t="shared" si="2"/>
        <v>1.6984826235927564E-2</v>
      </c>
      <c r="G98" s="8">
        <v>25017.75</v>
      </c>
      <c r="H98" s="105">
        <f t="shared" si="3"/>
        <v>-1.3811079599318488E-3</v>
      </c>
    </row>
    <row r="99" spans="4:8" ht="16.5" x14ac:dyDescent="0.3">
      <c r="D99" s="230">
        <v>45530</v>
      </c>
      <c r="E99" s="77">
        <v>188.3</v>
      </c>
      <c r="F99" s="105">
        <f t="shared" si="2"/>
        <v>-9.3709390191076714E-2</v>
      </c>
      <c r="G99" s="8">
        <v>25010.6</v>
      </c>
      <c r="H99" s="105">
        <f t="shared" si="3"/>
        <v>-2.8579708407039384E-4</v>
      </c>
    </row>
    <row r="100" spans="4:8" ht="16.5" x14ac:dyDescent="0.3">
      <c r="D100" s="230">
        <v>45527</v>
      </c>
      <c r="E100" s="77">
        <v>189.5</v>
      </c>
      <c r="F100" s="105">
        <f t="shared" si="2"/>
        <v>6.3728093467869673E-3</v>
      </c>
      <c r="G100" s="8">
        <v>24823.15</v>
      </c>
      <c r="H100" s="105">
        <f t="shared" si="3"/>
        <v>-7.4948221953889949E-3</v>
      </c>
    </row>
    <row r="101" spans="4:8" ht="16.5" x14ac:dyDescent="0.3">
      <c r="D101" s="230">
        <v>45526</v>
      </c>
      <c r="E101" s="77">
        <v>192.3</v>
      </c>
      <c r="F101" s="105">
        <f t="shared" si="2"/>
        <v>1.4775725593667577E-2</v>
      </c>
      <c r="G101" s="8">
        <v>24811.5</v>
      </c>
      <c r="H101" s="105">
        <f t="shared" si="3"/>
        <v>-4.6931996946408816E-4</v>
      </c>
    </row>
    <row r="102" spans="4:8" ht="16.5" x14ac:dyDescent="0.3">
      <c r="D102" s="230">
        <v>45525</v>
      </c>
      <c r="E102" s="77">
        <v>186.65</v>
      </c>
      <c r="F102" s="105">
        <f t="shared" si="2"/>
        <v>-2.9381175247009894E-2</v>
      </c>
      <c r="G102" s="8">
        <v>24770.2</v>
      </c>
      <c r="H102" s="105">
        <f t="shared" si="3"/>
        <v>-1.66455071237126E-3</v>
      </c>
    </row>
    <row r="103" spans="4:8" ht="16.5" x14ac:dyDescent="0.3">
      <c r="D103" s="230">
        <v>45524</v>
      </c>
      <c r="E103" s="77">
        <v>177.15</v>
      </c>
      <c r="F103" s="105">
        <f t="shared" si="2"/>
        <v>-5.0897401553710142E-2</v>
      </c>
      <c r="G103" s="8">
        <v>24698.85</v>
      </c>
      <c r="H103" s="105">
        <f t="shared" si="3"/>
        <v>-2.8804773477808521E-3</v>
      </c>
    </row>
    <row r="104" spans="4:8" ht="16.5" x14ac:dyDescent="0.3">
      <c r="D104" s="230">
        <v>45523</v>
      </c>
      <c r="E104" s="77">
        <v>174.49</v>
      </c>
      <c r="F104" s="105">
        <f t="shared" si="2"/>
        <v>-1.5015523567598055E-2</v>
      </c>
      <c r="G104" s="8">
        <v>24572.65</v>
      </c>
      <c r="H104" s="105">
        <f t="shared" si="3"/>
        <v>-5.1095496349019554E-3</v>
      </c>
    </row>
    <row r="105" spans="4:8" ht="16.5" x14ac:dyDescent="0.3">
      <c r="D105" s="230">
        <v>45520</v>
      </c>
      <c r="E105" s="77">
        <v>169.15</v>
      </c>
      <c r="F105" s="105">
        <f t="shared" si="2"/>
        <v>-3.0603472978394164E-2</v>
      </c>
      <c r="G105" s="8">
        <v>24541.15</v>
      </c>
      <c r="H105" s="105">
        <f t="shared" si="3"/>
        <v>-1.2819130211840779E-3</v>
      </c>
    </row>
    <row r="106" spans="4:8" ht="16.5" x14ac:dyDescent="0.3">
      <c r="D106" s="230">
        <v>45518</v>
      </c>
      <c r="E106" s="77">
        <v>172</v>
      </c>
      <c r="F106" s="105">
        <f t="shared" si="2"/>
        <v>1.6848950635530491E-2</v>
      </c>
      <c r="G106" s="8">
        <v>24143.75</v>
      </c>
      <c r="H106" s="105">
        <f t="shared" si="3"/>
        <v>-1.6193210179637152E-2</v>
      </c>
    </row>
    <row r="107" spans="4:8" ht="16.5" x14ac:dyDescent="0.3">
      <c r="D107" s="230">
        <v>45517</v>
      </c>
      <c r="E107" s="77">
        <v>174.1</v>
      </c>
      <c r="F107" s="105">
        <f t="shared" si="2"/>
        <v>1.2209302325581373E-2</v>
      </c>
      <c r="G107" s="8">
        <v>24139</v>
      </c>
      <c r="H107" s="105">
        <f t="shared" si="3"/>
        <v>-1.9673828630595303E-4</v>
      </c>
    </row>
    <row r="108" spans="4:8" ht="16.5" x14ac:dyDescent="0.3">
      <c r="D108" s="230">
        <v>45516</v>
      </c>
      <c r="E108" s="77">
        <v>178.21</v>
      </c>
      <c r="F108" s="105">
        <f t="shared" si="2"/>
        <v>2.3607122343480835E-2</v>
      </c>
      <c r="G108" s="8">
        <v>24347</v>
      </c>
      <c r="H108" s="105">
        <f t="shared" si="3"/>
        <v>8.6167612577157104E-3</v>
      </c>
    </row>
    <row r="109" spans="4:8" ht="16.5" x14ac:dyDescent="0.3">
      <c r="D109" s="230">
        <v>45513</v>
      </c>
      <c r="E109" s="77">
        <v>175.45</v>
      </c>
      <c r="F109" s="105">
        <f t="shared" si="2"/>
        <v>-1.5487346389091661E-2</v>
      </c>
      <c r="G109" s="8">
        <v>24367.5</v>
      </c>
      <c r="H109" s="105">
        <f t="shared" si="3"/>
        <v>8.4199285332897666E-4</v>
      </c>
    </row>
    <row r="110" spans="4:8" ht="16.5" x14ac:dyDescent="0.3">
      <c r="D110" s="230">
        <v>45512</v>
      </c>
      <c r="E110" s="77">
        <v>174.5</v>
      </c>
      <c r="F110" s="105">
        <f t="shared" si="2"/>
        <v>-5.4146480478768355E-3</v>
      </c>
      <c r="G110" s="8">
        <v>24117</v>
      </c>
      <c r="H110" s="105">
        <f t="shared" si="3"/>
        <v>-1.0280086180363135E-2</v>
      </c>
    </row>
    <row r="111" spans="4:8" ht="16.5" x14ac:dyDescent="0.3">
      <c r="D111" s="230">
        <v>45511</v>
      </c>
      <c r="E111" s="77">
        <v>174.81</v>
      </c>
      <c r="F111" s="105">
        <f t="shared" si="2"/>
        <v>1.7765042979942525E-3</v>
      </c>
      <c r="G111" s="8">
        <v>24297.5</v>
      </c>
      <c r="H111" s="105">
        <f t="shared" si="3"/>
        <v>7.484347141020864E-3</v>
      </c>
    </row>
    <row r="112" spans="4:8" ht="16.5" x14ac:dyDescent="0.3">
      <c r="D112" s="230">
        <v>45510</v>
      </c>
      <c r="E112" s="77">
        <v>174.5</v>
      </c>
      <c r="F112" s="105">
        <f t="shared" si="2"/>
        <v>-1.7733539271208576E-3</v>
      </c>
      <c r="G112" s="8">
        <v>23992.55</v>
      </c>
      <c r="H112" s="105">
        <f t="shared" si="3"/>
        <v>-1.2550673937647971E-2</v>
      </c>
    </row>
    <row r="113" spans="4:8" ht="16.5" x14ac:dyDescent="0.3">
      <c r="D113" s="230">
        <v>45509</v>
      </c>
      <c r="E113" s="77">
        <v>170.96</v>
      </c>
      <c r="F113" s="105">
        <f t="shared" si="2"/>
        <v>-2.0286532951289349E-2</v>
      </c>
      <c r="G113" s="8">
        <v>24055.599999999999</v>
      </c>
      <c r="H113" s="105">
        <f t="shared" si="3"/>
        <v>2.6278990770052246E-3</v>
      </c>
    </row>
    <row r="114" spans="4:8" ht="16.5" x14ac:dyDescent="0.3">
      <c r="D114" s="230">
        <v>45506</v>
      </c>
      <c r="E114" s="77">
        <v>179.75</v>
      </c>
      <c r="F114" s="105">
        <f t="shared" si="2"/>
        <v>5.1415535797847411E-2</v>
      </c>
      <c r="G114" s="8">
        <v>24717.7</v>
      </c>
      <c r="H114" s="105">
        <f t="shared" si="3"/>
        <v>2.7523736676699162E-2</v>
      </c>
    </row>
    <row r="115" spans="4:8" ht="16.5" x14ac:dyDescent="0.3">
      <c r="D115" s="230">
        <v>45505</v>
      </c>
      <c r="E115" s="77">
        <v>181.64</v>
      </c>
      <c r="F115" s="105">
        <f t="shared" si="2"/>
        <v>1.0514603616133433E-2</v>
      </c>
      <c r="G115" s="8">
        <v>25010.9</v>
      </c>
      <c r="H115" s="105">
        <f t="shared" si="3"/>
        <v>1.1861945083887271E-2</v>
      </c>
    </row>
    <row r="116" spans="4:8" ht="16.5" x14ac:dyDescent="0.3">
      <c r="D116" s="230">
        <v>45504</v>
      </c>
      <c r="E116" s="77">
        <v>172.6</v>
      </c>
      <c r="F116" s="105">
        <f t="shared" si="2"/>
        <v>-4.9768773397929955E-2</v>
      </c>
      <c r="G116" s="8">
        <v>24951.15</v>
      </c>
      <c r="H116" s="105">
        <f t="shared" si="3"/>
        <v>-2.3889584141314479E-3</v>
      </c>
    </row>
    <row r="117" spans="4:8" ht="16.5" x14ac:dyDescent="0.3">
      <c r="D117" s="230">
        <v>45503</v>
      </c>
      <c r="E117" s="77">
        <v>173.01</v>
      </c>
      <c r="F117" s="105">
        <f t="shared" si="2"/>
        <v>2.3754345307067659E-3</v>
      </c>
      <c r="G117" s="8">
        <v>24857.3</v>
      </c>
      <c r="H117" s="105">
        <f t="shared" si="3"/>
        <v>-3.7613496772694877E-3</v>
      </c>
    </row>
    <row r="118" spans="4:8" ht="16.5" x14ac:dyDescent="0.3">
      <c r="D118" s="230">
        <v>45502</v>
      </c>
      <c r="E118" s="77">
        <v>167.35</v>
      </c>
      <c r="F118" s="105">
        <f t="shared" si="2"/>
        <v>-3.2714871972718274E-2</v>
      </c>
      <c r="G118" s="8">
        <v>24836.1</v>
      </c>
      <c r="H118" s="105">
        <f t="shared" si="3"/>
        <v>-8.5286817152308014E-4</v>
      </c>
    </row>
    <row r="119" spans="4:8" ht="16.5" x14ac:dyDescent="0.3">
      <c r="D119" s="230">
        <v>45499</v>
      </c>
      <c r="E119" s="77">
        <v>167</v>
      </c>
      <c r="F119" s="105">
        <f t="shared" si="2"/>
        <v>-2.0914251568568965E-3</v>
      </c>
      <c r="G119" s="8">
        <v>24834.85</v>
      </c>
      <c r="H119" s="105">
        <f t="shared" si="3"/>
        <v>-5.0329963238948672E-5</v>
      </c>
    </row>
    <row r="120" spans="4:8" ht="16.5" x14ac:dyDescent="0.3">
      <c r="D120" s="230">
        <v>45498</v>
      </c>
      <c r="E120" s="77">
        <v>167.45</v>
      </c>
      <c r="F120" s="105">
        <f t="shared" si="2"/>
        <v>2.6946107784431295E-3</v>
      </c>
      <c r="G120" s="8">
        <v>24406.1</v>
      </c>
      <c r="H120" s="105">
        <f t="shared" si="3"/>
        <v>-1.7264046289790391E-2</v>
      </c>
    </row>
    <row r="121" spans="4:8" ht="16.5" x14ac:dyDescent="0.3">
      <c r="D121" s="230">
        <v>45497</v>
      </c>
      <c r="E121" s="77">
        <v>168</v>
      </c>
      <c r="F121" s="105">
        <f t="shared" si="2"/>
        <v>3.2845625559869696E-3</v>
      </c>
      <c r="G121" s="8">
        <v>24413.5</v>
      </c>
      <c r="H121" s="105">
        <f t="shared" si="3"/>
        <v>3.0320288780272264E-4</v>
      </c>
    </row>
    <row r="122" spans="4:8" ht="16.5" x14ac:dyDescent="0.3">
      <c r="D122" s="230">
        <v>45496</v>
      </c>
      <c r="E122" s="77">
        <v>165</v>
      </c>
      <c r="F122" s="105">
        <f t="shared" si="2"/>
        <v>-1.7857142857142905E-2</v>
      </c>
      <c r="G122" s="8">
        <v>24479.05</v>
      </c>
      <c r="H122" s="105">
        <f t="shared" si="3"/>
        <v>2.6849898621663648E-3</v>
      </c>
    </row>
    <row r="123" spans="4:8" ht="16.5" x14ac:dyDescent="0.3">
      <c r="D123" s="230">
        <v>45495</v>
      </c>
      <c r="E123" s="77">
        <v>167.76</v>
      </c>
      <c r="F123" s="105">
        <f t="shared" si="2"/>
        <v>1.6727272727272702E-2</v>
      </c>
      <c r="G123" s="8">
        <v>24509.25</v>
      </c>
      <c r="H123" s="105">
        <f t="shared" si="3"/>
        <v>1.2337080074593665E-3</v>
      </c>
    </row>
    <row r="124" spans="4:8" ht="16.5" x14ac:dyDescent="0.3">
      <c r="D124" s="230">
        <v>45492</v>
      </c>
      <c r="E124" s="77">
        <v>167.99</v>
      </c>
      <c r="F124" s="105">
        <f t="shared" si="2"/>
        <v>1.3710061993323919E-3</v>
      </c>
      <c r="G124" s="8">
        <v>24530.9</v>
      </c>
      <c r="H124" s="105">
        <f t="shared" si="3"/>
        <v>8.8333996348333166E-4</v>
      </c>
    </row>
    <row r="125" spans="4:8" ht="16.5" x14ac:dyDescent="0.3">
      <c r="D125" s="230">
        <v>45491</v>
      </c>
      <c r="E125" s="77">
        <v>175.38</v>
      </c>
      <c r="F125" s="105">
        <f t="shared" si="2"/>
        <v>4.3990713732960263E-2</v>
      </c>
      <c r="G125" s="8">
        <v>24800.85</v>
      </c>
      <c r="H125" s="105">
        <f t="shared" si="3"/>
        <v>1.1004488216901809E-2</v>
      </c>
    </row>
    <row r="126" spans="4:8" ht="16.5" x14ac:dyDescent="0.3">
      <c r="D126" s="230">
        <v>45489</v>
      </c>
      <c r="E126" s="77">
        <v>179.97</v>
      </c>
      <c r="F126" s="105">
        <f t="shared" si="2"/>
        <v>2.6171741361614709E-2</v>
      </c>
      <c r="G126" s="8">
        <v>24613</v>
      </c>
      <c r="H126" s="105">
        <f t="shared" si="3"/>
        <v>-7.5743371698953066E-3</v>
      </c>
    </row>
    <row r="127" spans="4:8" ht="16.5" x14ac:dyDescent="0.3">
      <c r="D127" s="230">
        <v>45488</v>
      </c>
      <c r="E127" s="77">
        <v>183.7</v>
      </c>
      <c r="F127" s="105">
        <f t="shared" si="2"/>
        <v>2.0725676501639034E-2</v>
      </c>
      <c r="G127" s="8">
        <v>24586.7</v>
      </c>
      <c r="H127" s="105">
        <f t="shared" si="3"/>
        <v>-1.0685410149108288E-3</v>
      </c>
    </row>
    <row r="128" spans="4:8" ht="16.5" x14ac:dyDescent="0.3">
      <c r="D128" s="230">
        <v>45485</v>
      </c>
      <c r="E128" s="77">
        <v>186.7</v>
      </c>
      <c r="F128" s="105">
        <f t="shared" si="2"/>
        <v>1.6330974414806798E-2</v>
      </c>
      <c r="G128" s="8">
        <v>24502.15</v>
      </c>
      <c r="H128" s="105">
        <f t="shared" si="3"/>
        <v>-3.4388510861562693E-3</v>
      </c>
    </row>
    <row r="129" spans="4:8" ht="16.5" x14ac:dyDescent="0.3">
      <c r="D129" s="230">
        <v>45484</v>
      </c>
      <c r="E129" s="77">
        <v>191.3</v>
      </c>
      <c r="F129" s="105">
        <f t="shared" si="2"/>
        <v>2.4638457418318271E-2</v>
      </c>
      <c r="G129" s="8">
        <v>24315.95</v>
      </c>
      <c r="H129" s="105">
        <f t="shared" si="3"/>
        <v>-7.5993331197466985E-3</v>
      </c>
    </row>
    <row r="130" spans="4:8" ht="16.5" x14ac:dyDescent="0.3">
      <c r="D130" s="230">
        <v>45483</v>
      </c>
      <c r="E130" s="77">
        <v>187.04</v>
      </c>
      <c r="F130" s="105">
        <f t="shared" si="2"/>
        <v>-2.2268687924725694E-2</v>
      </c>
      <c r="G130" s="8">
        <v>24324.45</v>
      </c>
      <c r="H130" s="105">
        <f t="shared" si="3"/>
        <v>3.495647918341227E-4</v>
      </c>
    </row>
    <row r="131" spans="4:8" ht="16.5" x14ac:dyDescent="0.3">
      <c r="D131" s="230">
        <v>45482</v>
      </c>
      <c r="E131" s="77">
        <v>182.5</v>
      </c>
      <c r="F131" s="105">
        <f t="shared" si="2"/>
        <v>-2.4272882805816853E-2</v>
      </c>
      <c r="G131" s="8">
        <v>24433.200000000001</v>
      </c>
      <c r="H131" s="105">
        <f t="shared" si="3"/>
        <v>4.4708102341470823E-3</v>
      </c>
    </row>
    <row r="132" spans="4:8" ht="16.5" x14ac:dyDescent="0.3">
      <c r="D132" s="230">
        <v>45481</v>
      </c>
      <c r="E132" s="77">
        <v>172</v>
      </c>
      <c r="F132" s="105">
        <f t="shared" si="2"/>
        <v>-5.7534246575342451E-2</v>
      </c>
      <c r="G132" s="8">
        <v>24320.55</v>
      </c>
      <c r="H132" s="105">
        <f t="shared" si="3"/>
        <v>-4.6105299346791417E-3</v>
      </c>
    </row>
    <row r="133" spans="4:8" ht="16.5" x14ac:dyDescent="0.3">
      <c r="D133" s="230">
        <v>45478</v>
      </c>
      <c r="E133" s="77">
        <v>167.35</v>
      </c>
      <c r="F133" s="105">
        <f t="shared" si="2"/>
        <v>-2.7034883720930214E-2</v>
      </c>
      <c r="G133" s="8">
        <v>24323.85</v>
      </c>
      <c r="H133" s="105">
        <f t="shared" si="3"/>
        <v>1.3568772087801939E-4</v>
      </c>
    </row>
    <row r="134" spans="4:8" ht="16.5" x14ac:dyDescent="0.3">
      <c r="D134" s="230">
        <v>45477</v>
      </c>
      <c r="E134" s="77">
        <v>158.99</v>
      </c>
      <c r="F134" s="105">
        <f t="shared" si="2"/>
        <v>-4.9955183746638654E-2</v>
      </c>
      <c r="G134" s="8">
        <v>24302.15</v>
      </c>
      <c r="H134" s="105">
        <f t="shared" si="3"/>
        <v>-8.92128507616885E-4</v>
      </c>
    </row>
    <row r="135" spans="4:8" ht="16.5" x14ac:dyDescent="0.3">
      <c r="D135" s="230">
        <v>45476</v>
      </c>
      <c r="E135" s="77">
        <v>159.44999999999999</v>
      </c>
      <c r="F135" s="105">
        <f t="shared" si="2"/>
        <v>2.8932637272782724E-3</v>
      </c>
      <c r="G135" s="8">
        <v>24286.5</v>
      </c>
      <c r="H135" s="105">
        <f t="shared" si="3"/>
        <v>-6.4397594451526263E-4</v>
      </c>
    </row>
    <row r="136" spans="4:8" ht="16.5" x14ac:dyDescent="0.3">
      <c r="D136" s="230">
        <v>45475</v>
      </c>
      <c r="E136" s="77">
        <v>159.4</v>
      </c>
      <c r="F136" s="105">
        <f t="shared" si="2"/>
        <v>-3.1357792411401686E-4</v>
      </c>
      <c r="G136" s="8">
        <v>24123.85</v>
      </c>
      <c r="H136" s="105">
        <f t="shared" si="3"/>
        <v>-6.6971362691207181E-3</v>
      </c>
    </row>
    <row r="137" spans="4:8" ht="16.5" x14ac:dyDescent="0.3">
      <c r="D137" s="230">
        <v>45474</v>
      </c>
      <c r="E137" s="77">
        <v>161.26</v>
      </c>
      <c r="F137" s="105">
        <f t="shared" si="2"/>
        <v>1.1668757841907018E-2</v>
      </c>
      <c r="G137" s="8">
        <v>24141.95</v>
      </c>
      <c r="H137" s="105">
        <f t="shared" si="3"/>
        <v>7.5029483270716568E-4</v>
      </c>
    </row>
    <row r="138" spans="4:8" ht="16.5" x14ac:dyDescent="0.3">
      <c r="D138" s="230">
        <v>45471</v>
      </c>
      <c r="E138" s="77">
        <v>163</v>
      </c>
      <c r="F138" s="105">
        <f t="shared" si="2"/>
        <v>1.0790028525362816E-2</v>
      </c>
      <c r="G138" s="8">
        <v>24010.6</v>
      </c>
      <c r="H138" s="105">
        <f t="shared" si="3"/>
        <v>-5.4407369744366996E-3</v>
      </c>
    </row>
    <row r="139" spans="4:8" ht="16.5" x14ac:dyDescent="0.3">
      <c r="D139" s="230">
        <v>45470</v>
      </c>
      <c r="E139" s="77">
        <v>164.8</v>
      </c>
      <c r="F139" s="105">
        <f t="shared" ref="F139:F202" si="4">E139/E138-1</f>
        <v>1.1042944785276232E-2</v>
      </c>
      <c r="G139" s="8">
        <v>24044.5</v>
      </c>
      <c r="H139" s="105">
        <f t="shared" ref="H139:H202" si="5">G139/G138-1</f>
        <v>1.4118764212474044E-3</v>
      </c>
    </row>
    <row r="140" spans="4:8" ht="16.5" x14ac:dyDescent="0.3">
      <c r="D140" s="230">
        <v>45469</v>
      </c>
      <c r="E140" s="77">
        <v>169.25</v>
      </c>
      <c r="F140" s="105">
        <f t="shared" si="4"/>
        <v>2.7002427184465994E-2</v>
      </c>
      <c r="G140" s="8">
        <v>23868.799999999999</v>
      </c>
      <c r="H140" s="105">
        <f t="shared" si="5"/>
        <v>-7.3072844101561563E-3</v>
      </c>
    </row>
    <row r="141" spans="4:8" ht="16.5" x14ac:dyDescent="0.3">
      <c r="D141" s="230">
        <v>45468</v>
      </c>
      <c r="E141" s="77">
        <v>151.9</v>
      </c>
      <c r="F141" s="105">
        <f t="shared" si="4"/>
        <v>-0.10251107828655837</v>
      </c>
      <c r="G141" s="8">
        <v>23721.3</v>
      </c>
      <c r="H141" s="105">
        <f t="shared" si="5"/>
        <v>-6.1796152299236073E-3</v>
      </c>
    </row>
    <row r="142" spans="4:8" ht="16.5" x14ac:dyDescent="0.3">
      <c r="D142" s="230">
        <v>45467</v>
      </c>
      <c r="E142" s="77">
        <v>152</v>
      </c>
      <c r="F142" s="105">
        <f t="shared" si="4"/>
        <v>6.5832784726782556E-4</v>
      </c>
      <c r="G142" s="8">
        <v>23537.85</v>
      </c>
      <c r="H142" s="105">
        <f t="shared" si="5"/>
        <v>-7.7335559180989888E-3</v>
      </c>
    </row>
    <row r="143" spans="4:8" ht="16.5" x14ac:dyDescent="0.3">
      <c r="D143" s="230">
        <v>45464</v>
      </c>
      <c r="E143" s="77">
        <v>151.1</v>
      </c>
      <c r="F143" s="105">
        <f t="shared" si="4"/>
        <v>-5.921052631578938E-3</v>
      </c>
      <c r="G143" s="8">
        <v>23501.1</v>
      </c>
      <c r="H143" s="105">
        <f t="shared" si="5"/>
        <v>-1.5613150733818637E-3</v>
      </c>
    </row>
    <row r="144" spans="4:8" ht="16.5" x14ac:dyDescent="0.3">
      <c r="D144" s="230">
        <v>45463</v>
      </c>
      <c r="E144" s="77">
        <v>150</v>
      </c>
      <c r="F144" s="105">
        <f t="shared" si="4"/>
        <v>-7.2799470549305134E-3</v>
      </c>
      <c r="G144" s="8">
        <v>23567</v>
      </c>
      <c r="H144" s="105">
        <f t="shared" si="5"/>
        <v>2.804124062278035E-3</v>
      </c>
    </row>
    <row r="145" spans="4:8" ht="16.5" x14ac:dyDescent="0.3">
      <c r="D145" s="230">
        <v>45462</v>
      </c>
      <c r="E145" s="77">
        <v>149.80000000000001</v>
      </c>
      <c r="F145" s="105">
        <f t="shared" si="4"/>
        <v>-1.3333333333332975E-3</v>
      </c>
      <c r="G145" s="8">
        <v>23516</v>
      </c>
      <c r="H145" s="105">
        <f t="shared" si="5"/>
        <v>-2.1640429414011564E-3</v>
      </c>
    </row>
    <row r="146" spans="4:8" ht="16.5" x14ac:dyDescent="0.3">
      <c r="D146" s="230">
        <v>45461</v>
      </c>
      <c r="E146" s="77">
        <v>151</v>
      </c>
      <c r="F146" s="105">
        <f t="shared" si="4"/>
        <v>8.0106809078770436E-3</v>
      </c>
      <c r="G146" s="8">
        <v>23557.9</v>
      </c>
      <c r="H146" s="105">
        <f t="shared" si="5"/>
        <v>1.7817656063956466E-3</v>
      </c>
    </row>
    <row r="147" spans="4:8" ht="16.5" x14ac:dyDescent="0.3">
      <c r="D147" s="230">
        <v>45457</v>
      </c>
      <c r="E147" s="77">
        <v>150</v>
      </c>
      <c r="F147" s="105">
        <f t="shared" si="4"/>
        <v>-6.6225165562914245E-3</v>
      </c>
      <c r="G147" s="8">
        <v>23465.599999999999</v>
      </c>
      <c r="H147" s="105">
        <f t="shared" si="5"/>
        <v>-3.91800627390404E-3</v>
      </c>
    </row>
    <row r="148" spans="4:8" ht="16.5" x14ac:dyDescent="0.3">
      <c r="D148" s="230">
        <v>45456</v>
      </c>
      <c r="E148" s="77">
        <v>150</v>
      </c>
      <c r="F148" s="105">
        <f t="shared" si="4"/>
        <v>0</v>
      </c>
      <c r="G148" s="8">
        <v>23398.9</v>
      </c>
      <c r="H148" s="105">
        <f t="shared" si="5"/>
        <v>-2.842458748124832E-3</v>
      </c>
    </row>
    <row r="149" spans="4:8" ht="16.5" x14ac:dyDescent="0.3">
      <c r="D149" s="230">
        <v>45455</v>
      </c>
      <c r="E149" s="77">
        <v>148.69999999999999</v>
      </c>
      <c r="F149" s="105">
        <f t="shared" si="4"/>
        <v>-8.6666666666667114E-3</v>
      </c>
      <c r="G149" s="8">
        <v>23322.95</v>
      </c>
      <c r="H149" s="105">
        <f t="shared" si="5"/>
        <v>-3.2458790797857962E-3</v>
      </c>
    </row>
    <row r="150" spans="4:8" ht="16.5" x14ac:dyDescent="0.3">
      <c r="D150" s="230">
        <v>45454</v>
      </c>
      <c r="E150" s="77">
        <v>147.38</v>
      </c>
      <c r="F150" s="105">
        <f t="shared" si="4"/>
        <v>-8.8769334229993335E-3</v>
      </c>
      <c r="G150" s="8">
        <v>23264.85</v>
      </c>
      <c r="H150" s="105">
        <f t="shared" si="5"/>
        <v>-2.4911085433018121E-3</v>
      </c>
    </row>
    <row r="151" spans="4:8" ht="16.5" x14ac:dyDescent="0.3">
      <c r="D151" s="230">
        <v>45453</v>
      </c>
      <c r="E151" s="77">
        <v>147.01</v>
      </c>
      <c r="F151" s="105">
        <f t="shared" si="4"/>
        <v>-2.5105170308047375E-3</v>
      </c>
      <c r="G151" s="8">
        <v>23259.200000000001</v>
      </c>
      <c r="H151" s="105">
        <f t="shared" si="5"/>
        <v>-2.4285563844161917E-4</v>
      </c>
    </row>
    <row r="152" spans="4:8" ht="16.5" x14ac:dyDescent="0.3">
      <c r="D152" s="230">
        <v>45450</v>
      </c>
      <c r="E152" s="77">
        <v>146.6</v>
      </c>
      <c r="F152" s="105">
        <f t="shared" si="4"/>
        <v>-2.7889259234065156E-3</v>
      </c>
      <c r="G152" s="8">
        <v>23290.15</v>
      </c>
      <c r="H152" s="105">
        <f t="shared" si="5"/>
        <v>1.3306562564490143E-3</v>
      </c>
    </row>
    <row r="153" spans="4:8" ht="16.5" x14ac:dyDescent="0.3">
      <c r="D153" s="230">
        <v>45449</v>
      </c>
      <c r="E153" s="77">
        <v>142.75</v>
      </c>
      <c r="F153" s="105">
        <f t="shared" si="4"/>
        <v>-2.6261937244201894E-2</v>
      </c>
      <c r="G153" s="8">
        <v>22821.4</v>
      </c>
      <c r="H153" s="105">
        <f t="shared" si="5"/>
        <v>-2.0126534178611988E-2</v>
      </c>
    </row>
    <row r="154" spans="4:8" ht="16.5" x14ac:dyDescent="0.3">
      <c r="D154" s="230">
        <v>45448</v>
      </c>
      <c r="E154" s="77">
        <v>135.94999999999999</v>
      </c>
      <c r="F154" s="105">
        <f t="shared" si="4"/>
        <v>-4.7635726795096422E-2</v>
      </c>
      <c r="G154" s="8">
        <v>22620.35</v>
      </c>
      <c r="H154" s="105">
        <f t="shared" si="5"/>
        <v>-8.8097136897825612E-3</v>
      </c>
    </row>
    <row r="155" spans="4:8" ht="16.5" x14ac:dyDescent="0.3">
      <c r="D155" s="230">
        <v>45447</v>
      </c>
      <c r="E155" s="77">
        <v>131</v>
      </c>
      <c r="F155" s="105">
        <f t="shared" si="4"/>
        <v>-3.6410445016550108E-2</v>
      </c>
      <c r="G155" s="8">
        <v>21884.5</v>
      </c>
      <c r="H155" s="105">
        <f t="shared" si="5"/>
        <v>-3.2530442720824282E-2</v>
      </c>
    </row>
    <row r="156" spans="4:8" ht="16.5" x14ac:dyDescent="0.3">
      <c r="D156" s="230">
        <v>45446</v>
      </c>
      <c r="E156" s="77">
        <v>152.44999999999999</v>
      </c>
      <c r="F156" s="105">
        <f t="shared" si="4"/>
        <v>0.16374045801526704</v>
      </c>
      <c r="G156" s="8">
        <v>23263.9</v>
      </c>
      <c r="H156" s="105">
        <f t="shared" si="5"/>
        <v>6.3030912289520069E-2</v>
      </c>
    </row>
    <row r="157" spans="4:8" ht="16.5" x14ac:dyDescent="0.3">
      <c r="D157" s="230">
        <v>45443</v>
      </c>
      <c r="E157" s="77">
        <v>147</v>
      </c>
      <c r="F157" s="105">
        <f t="shared" si="4"/>
        <v>-3.5749426041324917E-2</v>
      </c>
      <c r="G157" s="8">
        <v>22530.7</v>
      </c>
      <c r="H157" s="105">
        <f t="shared" si="5"/>
        <v>-3.1516641663693612E-2</v>
      </c>
    </row>
    <row r="158" spans="4:8" ht="16.5" x14ac:dyDescent="0.3">
      <c r="D158" s="230">
        <v>45442</v>
      </c>
      <c r="E158" s="77">
        <v>143</v>
      </c>
      <c r="F158" s="105">
        <f t="shared" si="4"/>
        <v>-2.7210884353741527E-2</v>
      </c>
      <c r="G158" s="8">
        <v>22488.65</v>
      </c>
      <c r="H158" s="105">
        <f t="shared" si="5"/>
        <v>-1.8663423684128766E-3</v>
      </c>
    </row>
    <row r="159" spans="4:8" ht="16.5" x14ac:dyDescent="0.3">
      <c r="D159" s="230">
        <v>45441</v>
      </c>
      <c r="E159" s="77">
        <v>145.85</v>
      </c>
      <c r="F159" s="105">
        <f t="shared" si="4"/>
        <v>1.993006993006996E-2</v>
      </c>
      <c r="G159" s="8">
        <v>22704.7</v>
      </c>
      <c r="H159" s="105">
        <f t="shared" si="5"/>
        <v>9.6070684545315199E-3</v>
      </c>
    </row>
    <row r="160" spans="4:8" ht="16.5" x14ac:dyDescent="0.3">
      <c r="D160" s="230">
        <v>45440</v>
      </c>
      <c r="E160" s="77">
        <v>141.9</v>
      </c>
      <c r="F160" s="105">
        <f t="shared" si="4"/>
        <v>-2.7082619129242258E-2</v>
      </c>
      <c r="G160" s="8">
        <v>22888.15</v>
      </c>
      <c r="H160" s="105">
        <f t="shared" si="5"/>
        <v>8.0798248820728169E-3</v>
      </c>
    </row>
    <row r="161" spans="4:8" ht="16.5" x14ac:dyDescent="0.3">
      <c r="D161" s="230">
        <v>45439</v>
      </c>
      <c r="E161" s="77">
        <v>146.05000000000001</v>
      </c>
      <c r="F161" s="105">
        <f t="shared" si="4"/>
        <v>2.9245947850599086E-2</v>
      </c>
      <c r="G161" s="8">
        <v>22932.45</v>
      </c>
      <c r="H161" s="105">
        <f t="shared" si="5"/>
        <v>1.9354993741302895E-3</v>
      </c>
    </row>
    <row r="162" spans="4:8" ht="16.5" x14ac:dyDescent="0.3">
      <c r="D162" s="230">
        <v>45436</v>
      </c>
      <c r="E162" s="77">
        <v>145</v>
      </c>
      <c r="F162" s="105">
        <f t="shared" si="4"/>
        <v>-7.1893187264636671E-3</v>
      </c>
      <c r="G162" s="8">
        <v>22957.1</v>
      </c>
      <c r="H162" s="105">
        <f t="shared" si="5"/>
        <v>1.0748960534090468E-3</v>
      </c>
    </row>
    <row r="163" spans="4:8" ht="16.5" x14ac:dyDescent="0.3">
      <c r="D163" s="230">
        <v>45435</v>
      </c>
      <c r="E163" s="77">
        <v>146.65</v>
      </c>
      <c r="F163" s="105">
        <f t="shared" si="4"/>
        <v>1.1379310344827642E-2</v>
      </c>
      <c r="G163" s="8">
        <v>22967.65</v>
      </c>
      <c r="H163" s="105">
        <f t="shared" si="5"/>
        <v>4.5955281808263138E-4</v>
      </c>
    </row>
    <row r="164" spans="4:8" ht="16.5" x14ac:dyDescent="0.3">
      <c r="D164" s="230">
        <v>45434</v>
      </c>
      <c r="E164" s="77">
        <v>148.94999999999999</v>
      </c>
      <c r="F164" s="105">
        <f t="shared" si="4"/>
        <v>1.5683600409137188E-2</v>
      </c>
      <c r="G164" s="8">
        <v>22597.8</v>
      </c>
      <c r="H164" s="105">
        <f t="shared" si="5"/>
        <v>-1.6103084120491329E-2</v>
      </c>
    </row>
    <row r="165" spans="4:8" ht="16.5" x14ac:dyDescent="0.3">
      <c r="D165" s="230">
        <v>45433</v>
      </c>
      <c r="E165" s="77">
        <v>146.80000000000001</v>
      </c>
      <c r="F165" s="105">
        <f t="shared" si="4"/>
        <v>-1.443437395099012E-2</v>
      </c>
      <c r="G165" s="8">
        <v>22529.05</v>
      </c>
      <c r="H165" s="105">
        <f t="shared" si="5"/>
        <v>-3.0423315543991469E-3</v>
      </c>
    </row>
    <row r="166" spans="4:8" ht="16.5" x14ac:dyDescent="0.3">
      <c r="D166" s="230">
        <v>45430</v>
      </c>
      <c r="E166" s="77">
        <v>147.30000000000001</v>
      </c>
      <c r="F166" s="105">
        <f t="shared" si="4"/>
        <v>3.4059945504087974E-3</v>
      </c>
      <c r="G166" s="8">
        <v>22502</v>
      </c>
      <c r="H166" s="105">
        <f t="shared" si="5"/>
        <v>-1.2006720212347499E-3</v>
      </c>
    </row>
    <row r="167" spans="4:8" ht="16.5" x14ac:dyDescent="0.3">
      <c r="D167" s="230">
        <v>45429</v>
      </c>
      <c r="E167" s="77">
        <v>147.25</v>
      </c>
      <c r="F167" s="105">
        <f t="shared" si="4"/>
        <v>-3.3944331296675845E-4</v>
      </c>
      <c r="G167" s="8">
        <v>22466.1</v>
      </c>
      <c r="H167" s="105">
        <f t="shared" si="5"/>
        <v>-1.5954137410009173E-3</v>
      </c>
    </row>
    <row r="168" spans="4:8" ht="16.5" x14ac:dyDescent="0.3">
      <c r="D168" s="230">
        <v>45428</v>
      </c>
      <c r="E168" s="77">
        <v>141.19999999999999</v>
      </c>
      <c r="F168" s="105">
        <f t="shared" si="4"/>
        <v>-4.1086587436332866E-2</v>
      </c>
      <c r="G168" s="8">
        <v>22403.85</v>
      </c>
      <c r="H168" s="105">
        <f t="shared" si="5"/>
        <v>-2.7708414010442217E-3</v>
      </c>
    </row>
    <row r="169" spans="4:8" ht="16.5" x14ac:dyDescent="0.3">
      <c r="D169" s="230">
        <v>45427</v>
      </c>
      <c r="E169" s="77">
        <v>140.80000000000001</v>
      </c>
      <c r="F169" s="105">
        <f t="shared" si="4"/>
        <v>-2.8328611898015277E-3</v>
      </c>
      <c r="G169" s="8">
        <v>22200.55</v>
      </c>
      <c r="H169" s="105">
        <f t="shared" si="5"/>
        <v>-9.0743332061230531E-3</v>
      </c>
    </row>
    <row r="170" spans="4:8" ht="16.5" x14ac:dyDescent="0.3">
      <c r="D170" s="230">
        <v>45426</v>
      </c>
      <c r="E170" s="77">
        <v>142.55000000000001</v>
      </c>
      <c r="F170" s="105">
        <f t="shared" si="4"/>
        <v>1.2428977272727293E-2</v>
      </c>
      <c r="G170" s="8">
        <v>22217.85</v>
      </c>
      <c r="H170" s="105">
        <f t="shared" si="5"/>
        <v>7.7925997328898156E-4</v>
      </c>
    </row>
    <row r="171" spans="4:8" ht="16.5" x14ac:dyDescent="0.3">
      <c r="D171" s="230">
        <v>45425</v>
      </c>
      <c r="E171" s="77">
        <v>140.1</v>
      </c>
      <c r="F171" s="105">
        <f t="shared" si="4"/>
        <v>-1.7186951946685514E-2</v>
      </c>
      <c r="G171" s="8">
        <v>22104.05</v>
      </c>
      <c r="H171" s="105">
        <f t="shared" si="5"/>
        <v>-5.1220077550258036E-3</v>
      </c>
    </row>
    <row r="172" spans="4:8" ht="16.5" x14ac:dyDescent="0.3">
      <c r="D172" s="230">
        <v>45422</v>
      </c>
      <c r="E172" s="77">
        <v>141.69999999999999</v>
      </c>
      <c r="F172" s="105">
        <f t="shared" si="4"/>
        <v>1.142041399000715E-2</v>
      </c>
      <c r="G172" s="8">
        <v>22055.200000000001</v>
      </c>
      <c r="H172" s="105">
        <f t="shared" si="5"/>
        <v>-2.2100022394085928E-3</v>
      </c>
    </row>
    <row r="173" spans="4:8" ht="16.5" x14ac:dyDescent="0.3">
      <c r="D173" s="230">
        <v>45421</v>
      </c>
      <c r="E173" s="77">
        <v>140.30000000000001</v>
      </c>
      <c r="F173" s="105">
        <f t="shared" si="4"/>
        <v>-9.8800282286519714E-3</v>
      </c>
      <c r="G173" s="8">
        <v>21957.5</v>
      </c>
      <c r="H173" s="105">
        <f t="shared" si="5"/>
        <v>-4.4297943342159751E-3</v>
      </c>
    </row>
    <row r="174" spans="4:8" ht="16.5" x14ac:dyDescent="0.3">
      <c r="D174" s="230">
        <v>45420</v>
      </c>
      <c r="E174" s="77">
        <v>143.4</v>
      </c>
      <c r="F174" s="105">
        <f t="shared" si="4"/>
        <v>2.2095509622237941E-2</v>
      </c>
      <c r="G174" s="8">
        <v>22302.5</v>
      </c>
      <c r="H174" s="105">
        <f t="shared" si="5"/>
        <v>1.5712171239895323E-2</v>
      </c>
    </row>
    <row r="175" spans="4:8" ht="16.5" x14ac:dyDescent="0.3">
      <c r="D175" s="230">
        <v>45419</v>
      </c>
      <c r="E175" s="77">
        <v>141.4</v>
      </c>
      <c r="F175" s="105">
        <f t="shared" si="4"/>
        <v>-1.3947001394700176E-2</v>
      </c>
      <c r="G175" s="8">
        <v>22302.5</v>
      </c>
      <c r="H175" s="105">
        <f t="shared" si="5"/>
        <v>0</v>
      </c>
    </row>
    <row r="176" spans="4:8" ht="16.5" x14ac:dyDescent="0.3">
      <c r="D176" s="230">
        <v>45418</v>
      </c>
      <c r="E176" s="77">
        <v>149.1</v>
      </c>
      <c r="F176" s="105">
        <f t="shared" si="4"/>
        <v>5.4455445544554282E-2</v>
      </c>
      <c r="G176" s="8">
        <v>22442.7</v>
      </c>
      <c r="H176" s="105">
        <f t="shared" si="5"/>
        <v>6.2862907745768748E-3</v>
      </c>
    </row>
    <row r="177" spans="4:8" ht="16.5" x14ac:dyDescent="0.3">
      <c r="D177" s="230">
        <v>45415</v>
      </c>
      <c r="E177" s="77">
        <v>152.9</v>
      </c>
      <c r="F177" s="105">
        <f t="shared" si="4"/>
        <v>2.5486250838363533E-2</v>
      </c>
      <c r="G177" s="8">
        <v>22475.85</v>
      </c>
      <c r="H177" s="105">
        <f t="shared" si="5"/>
        <v>1.4770950019382667E-3</v>
      </c>
    </row>
    <row r="178" spans="4:8" ht="16.5" x14ac:dyDescent="0.3">
      <c r="D178" s="230">
        <v>45414</v>
      </c>
      <c r="E178" s="77">
        <v>152.9</v>
      </c>
      <c r="F178" s="105">
        <f t="shared" si="4"/>
        <v>0</v>
      </c>
      <c r="G178" s="8">
        <v>22648.2</v>
      </c>
      <c r="H178" s="105">
        <f t="shared" si="5"/>
        <v>7.6682305674757867E-3</v>
      </c>
    </row>
    <row r="179" spans="4:8" ht="16.5" x14ac:dyDescent="0.3">
      <c r="D179" s="230">
        <v>45412</v>
      </c>
      <c r="E179" s="77">
        <v>147.44999999999999</v>
      </c>
      <c r="F179" s="105">
        <f t="shared" si="4"/>
        <v>-3.564421190320477E-2</v>
      </c>
      <c r="G179" s="8">
        <v>22604.85</v>
      </c>
      <c r="H179" s="105">
        <f t="shared" si="5"/>
        <v>-1.9140593954487528E-3</v>
      </c>
    </row>
    <row r="180" spans="4:8" ht="16.5" x14ac:dyDescent="0.3">
      <c r="D180" s="230">
        <v>45411</v>
      </c>
      <c r="E180" s="77">
        <v>147.75</v>
      </c>
      <c r="F180" s="105">
        <f t="shared" si="4"/>
        <v>2.0345879959309254E-3</v>
      </c>
      <c r="G180" s="8">
        <v>22643.4</v>
      </c>
      <c r="H180" s="105">
        <f t="shared" si="5"/>
        <v>1.7053862334854841E-3</v>
      </c>
    </row>
    <row r="181" spans="4:8" ht="16.5" x14ac:dyDescent="0.3">
      <c r="D181" s="230">
        <v>45408</v>
      </c>
      <c r="E181" s="77">
        <v>143.55000000000001</v>
      </c>
      <c r="F181" s="105">
        <f t="shared" si="4"/>
        <v>-2.8426395939086246E-2</v>
      </c>
      <c r="G181" s="8">
        <v>22419.95</v>
      </c>
      <c r="H181" s="105">
        <f t="shared" si="5"/>
        <v>-9.868217670491175E-3</v>
      </c>
    </row>
    <row r="182" spans="4:8" ht="16.5" x14ac:dyDescent="0.3">
      <c r="D182" s="230">
        <v>45407</v>
      </c>
      <c r="E182" s="77">
        <v>141.65</v>
      </c>
      <c r="F182" s="105">
        <f t="shared" si="4"/>
        <v>-1.3235806339254697E-2</v>
      </c>
      <c r="G182" s="8">
        <v>22570.35</v>
      </c>
      <c r="H182" s="105">
        <f t="shared" si="5"/>
        <v>6.7083111246901694E-3</v>
      </c>
    </row>
    <row r="183" spans="4:8" ht="16.5" x14ac:dyDescent="0.3">
      <c r="D183" s="230">
        <v>45406</v>
      </c>
      <c r="E183" s="77">
        <v>141.1</v>
      </c>
      <c r="F183" s="105">
        <f t="shared" si="4"/>
        <v>-3.8828097423226904E-3</v>
      </c>
      <c r="G183" s="8">
        <v>22402.400000000001</v>
      </c>
      <c r="H183" s="105">
        <f t="shared" si="5"/>
        <v>-7.4411783601050496E-3</v>
      </c>
    </row>
    <row r="184" spans="4:8" ht="16.5" x14ac:dyDescent="0.3">
      <c r="D184" s="230">
        <v>45405</v>
      </c>
      <c r="E184" s="77">
        <v>142.4</v>
      </c>
      <c r="F184" s="105">
        <f t="shared" si="4"/>
        <v>9.2133238837703857E-3</v>
      </c>
      <c r="G184" s="8">
        <v>22368</v>
      </c>
      <c r="H184" s="105">
        <f t="shared" si="5"/>
        <v>-1.5355497625254566E-3</v>
      </c>
    </row>
    <row r="185" spans="4:8" ht="16.5" x14ac:dyDescent="0.3">
      <c r="D185" s="230">
        <v>45404</v>
      </c>
      <c r="E185" s="77">
        <v>144</v>
      </c>
      <c r="F185" s="105">
        <f t="shared" si="4"/>
        <v>1.1235955056179803E-2</v>
      </c>
      <c r="G185" s="8">
        <v>22336.400000000001</v>
      </c>
      <c r="H185" s="105">
        <f t="shared" si="5"/>
        <v>-1.4127324749642067E-3</v>
      </c>
    </row>
    <row r="186" spans="4:8" ht="16.5" x14ac:dyDescent="0.3">
      <c r="D186" s="230">
        <v>45401</v>
      </c>
      <c r="E186" s="77">
        <v>141.30000000000001</v>
      </c>
      <c r="F186" s="105">
        <f t="shared" si="4"/>
        <v>-1.8749999999999933E-2</v>
      </c>
      <c r="G186" s="8">
        <v>22147</v>
      </c>
      <c r="H186" s="105">
        <f t="shared" si="5"/>
        <v>-8.479432674916354E-3</v>
      </c>
    </row>
    <row r="187" spans="4:8" ht="16.5" x14ac:dyDescent="0.3">
      <c r="D187" s="230">
        <v>45400</v>
      </c>
      <c r="E187" s="77">
        <v>142.85</v>
      </c>
      <c r="F187" s="105">
        <f t="shared" si="4"/>
        <v>1.0969568294408871E-2</v>
      </c>
      <c r="G187" s="8">
        <v>21995.85</v>
      </c>
      <c r="H187" s="105">
        <f t="shared" si="5"/>
        <v>-6.824852124441283E-3</v>
      </c>
    </row>
    <row r="188" spans="4:8" ht="16.5" x14ac:dyDescent="0.3">
      <c r="D188" s="230">
        <v>45398</v>
      </c>
      <c r="E188" s="77">
        <v>141</v>
      </c>
      <c r="F188" s="105">
        <f t="shared" si="4"/>
        <v>-1.2950647532376625E-2</v>
      </c>
      <c r="G188" s="8">
        <v>22147.9</v>
      </c>
      <c r="H188" s="105">
        <f t="shared" si="5"/>
        <v>6.9126676168460577E-3</v>
      </c>
    </row>
    <row r="189" spans="4:8" ht="16.5" x14ac:dyDescent="0.3">
      <c r="D189" s="230">
        <v>45397</v>
      </c>
      <c r="E189" s="77">
        <v>140.30000000000001</v>
      </c>
      <c r="F189" s="105">
        <f t="shared" si="4"/>
        <v>-4.9645390070921502E-3</v>
      </c>
      <c r="G189" s="8">
        <v>22272.5</v>
      </c>
      <c r="H189" s="105">
        <f t="shared" si="5"/>
        <v>5.6258155400736864E-3</v>
      </c>
    </row>
    <row r="190" spans="4:8" ht="16.5" x14ac:dyDescent="0.3">
      <c r="D190" s="230">
        <v>45394</v>
      </c>
      <c r="E190" s="77">
        <v>141.6</v>
      </c>
      <c r="F190" s="105">
        <f t="shared" si="4"/>
        <v>9.2658588738416814E-3</v>
      </c>
      <c r="G190" s="8">
        <v>22519.4</v>
      </c>
      <c r="H190" s="105">
        <f t="shared" si="5"/>
        <v>1.1085419238971994E-2</v>
      </c>
    </row>
    <row r="191" spans="4:8" ht="16.5" x14ac:dyDescent="0.3">
      <c r="D191" s="230">
        <v>45392</v>
      </c>
      <c r="E191" s="77">
        <v>142.1</v>
      </c>
      <c r="F191" s="105">
        <f t="shared" si="4"/>
        <v>3.5310734463276372E-3</v>
      </c>
      <c r="G191" s="8">
        <v>22753.8</v>
      </c>
      <c r="H191" s="105">
        <f t="shared" si="5"/>
        <v>1.0408803076458417E-2</v>
      </c>
    </row>
    <row r="192" spans="4:8" ht="16.5" x14ac:dyDescent="0.3">
      <c r="D192" s="230">
        <v>45391</v>
      </c>
      <c r="E192" s="77">
        <v>142.6</v>
      </c>
      <c r="F192" s="105">
        <f t="shared" si="4"/>
        <v>3.5186488388458947E-3</v>
      </c>
      <c r="G192" s="8">
        <v>22642.75</v>
      </c>
      <c r="H192" s="105">
        <f t="shared" si="5"/>
        <v>-4.8805034763423905E-3</v>
      </c>
    </row>
    <row r="193" spans="4:8" ht="16.5" x14ac:dyDescent="0.3">
      <c r="D193" s="230">
        <v>45390</v>
      </c>
      <c r="E193" s="77">
        <v>141</v>
      </c>
      <c r="F193" s="105">
        <f t="shared" si="4"/>
        <v>-1.1220196353436185E-2</v>
      </c>
      <c r="G193" s="8">
        <v>22666.3</v>
      </c>
      <c r="H193" s="105">
        <f t="shared" si="5"/>
        <v>1.0400680129400985E-3</v>
      </c>
    </row>
    <row r="194" spans="4:8" ht="16.5" x14ac:dyDescent="0.3">
      <c r="D194" s="230">
        <v>45387</v>
      </c>
      <c r="E194" s="77">
        <v>135.5</v>
      </c>
      <c r="F194" s="105">
        <f t="shared" si="4"/>
        <v>-3.9007092198581561E-2</v>
      </c>
      <c r="G194" s="8">
        <v>22513.7</v>
      </c>
      <c r="H194" s="105">
        <f t="shared" si="5"/>
        <v>-6.7324618486475085E-3</v>
      </c>
    </row>
    <row r="195" spans="4:8" ht="16.5" x14ac:dyDescent="0.3">
      <c r="D195" s="230">
        <v>45386</v>
      </c>
      <c r="E195" s="77">
        <v>137.5</v>
      </c>
      <c r="F195" s="105">
        <f t="shared" si="4"/>
        <v>1.4760147601476037E-2</v>
      </c>
      <c r="G195" s="8">
        <v>22514.65</v>
      </c>
      <c r="H195" s="105">
        <f t="shared" si="5"/>
        <v>4.2196529224547419E-5</v>
      </c>
    </row>
    <row r="196" spans="4:8" ht="16.5" x14ac:dyDescent="0.3">
      <c r="D196" s="230">
        <v>45385</v>
      </c>
      <c r="E196" s="77">
        <v>129.1</v>
      </c>
      <c r="F196" s="105">
        <f t="shared" si="4"/>
        <v>-6.1090909090909085E-2</v>
      </c>
      <c r="G196" s="8">
        <v>22434.65</v>
      </c>
      <c r="H196" s="105">
        <f t="shared" si="5"/>
        <v>-3.5532420002087894E-3</v>
      </c>
    </row>
    <row r="197" spans="4:8" ht="16.5" x14ac:dyDescent="0.3">
      <c r="D197" s="230">
        <v>45384</v>
      </c>
      <c r="E197" s="77">
        <v>127.55</v>
      </c>
      <c r="F197" s="105">
        <f t="shared" si="4"/>
        <v>-1.2006196746707998E-2</v>
      </c>
      <c r="G197" s="8">
        <v>22453.3</v>
      </c>
      <c r="H197" s="105">
        <f t="shared" si="5"/>
        <v>8.3130336332404298E-4</v>
      </c>
    </row>
    <row r="198" spans="4:8" ht="16.5" x14ac:dyDescent="0.3">
      <c r="D198" s="230">
        <v>45383</v>
      </c>
      <c r="E198" s="77">
        <v>126.25</v>
      </c>
      <c r="F198" s="105">
        <f t="shared" si="4"/>
        <v>-1.0192081536652298E-2</v>
      </c>
      <c r="G198" s="8">
        <v>22462</v>
      </c>
      <c r="H198" s="105">
        <f t="shared" si="5"/>
        <v>3.8747088401258623E-4</v>
      </c>
    </row>
    <row r="199" spans="4:8" ht="16.5" x14ac:dyDescent="0.3">
      <c r="D199" s="231">
        <v>45379</v>
      </c>
      <c r="E199" s="232">
        <v>121.65</v>
      </c>
      <c r="F199" s="105">
        <f t="shared" si="4"/>
        <v>-3.6435643564356357E-2</v>
      </c>
      <c r="G199" s="8">
        <v>22326.9</v>
      </c>
      <c r="H199" s="105">
        <f t="shared" si="5"/>
        <v>-6.0146024396758868E-3</v>
      </c>
    </row>
    <row r="200" spans="4:8" ht="16.5" x14ac:dyDescent="0.3">
      <c r="D200" s="231">
        <v>45378</v>
      </c>
      <c r="E200" s="232">
        <v>122.1</v>
      </c>
      <c r="F200" s="105">
        <f t="shared" si="4"/>
        <v>3.6991368680641123E-3</v>
      </c>
      <c r="G200" s="8">
        <v>22123.65</v>
      </c>
      <c r="H200" s="105">
        <f t="shared" si="5"/>
        <v>-9.1033685822931032E-3</v>
      </c>
    </row>
    <row r="201" spans="4:8" ht="16.5" x14ac:dyDescent="0.3">
      <c r="D201" s="231">
        <v>45377</v>
      </c>
      <c r="E201" s="232">
        <v>118.7</v>
      </c>
      <c r="F201" s="105">
        <f t="shared" si="4"/>
        <v>-2.7846027846027743E-2</v>
      </c>
      <c r="G201" s="8">
        <v>22004.7</v>
      </c>
      <c r="H201" s="105">
        <f t="shared" si="5"/>
        <v>-5.3765992501237925E-3</v>
      </c>
    </row>
    <row r="202" spans="4:8" ht="16.5" x14ac:dyDescent="0.3">
      <c r="D202" s="231">
        <v>45373</v>
      </c>
      <c r="E202" s="232">
        <v>119.7</v>
      </c>
      <c r="F202" s="105">
        <f t="shared" si="4"/>
        <v>8.4245998315080062E-3</v>
      </c>
      <c r="G202" s="8">
        <v>22096.75</v>
      </c>
      <c r="H202" s="105">
        <f t="shared" si="5"/>
        <v>4.1831972260470973E-3</v>
      </c>
    </row>
    <row r="203" spans="4:8" ht="16.5" x14ac:dyDescent="0.3">
      <c r="D203" s="231">
        <v>45372</v>
      </c>
      <c r="E203" s="232">
        <v>120.55</v>
      </c>
      <c r="F203" s="105">
        <f t="shared" ref="F203:F260" si="6">E203/E202-1</f>
        <v>7.1010860484543858E-3</v>
      </c>
      <c r="G203" s="8">
        <v>22011.95</v>
      </c>
      <c r="H203" s="105">
        <f t="shared" ref="H203:H260" si="7">G203/G202-1</f>
        <v>-3.8376684354033408E-3</v>
      </c>
    </row>
    <row r="204" spans="4:8" ht="16.5" x14ac:dyDescent="0.3">
      <c r="D204" s="231">
        <v>45371</v>
      </c>
      <c r="E204" s="232">
        <v>113.55</v>
      </c>
      <c r="F204" s="105">
        <f t="shared" si="6"/>
        <v>-5.8067192036499349E-2</v>
      </c>
      <c r="G204" s="8">
        <v>21839.1</v>
      </c>
      <c r="H204" s="105">
        <f t="shared" si="7"/>
        <v>-7.8525528179013149E-3</v>
      </c>
    </row>
    <row r="205" spans="4:8" ht="16.5" x14ac:dyDescent="0.3">
      <c r="D205" s="231">
        <v>45370</v>
      </c>
      <c r="E205" s="232">
        <v>114.25</v>
      </c>
      <c r="F205" s="105">
        <f t="shared" si="6"/>
        <v>6.1646851607222164E-3</v>
      </c>
      <c r="G205" s="8">
        <v>21817.45</v>
      </c>
      <c r="H205" s="105">
        <f t="shared" si="7"/>
        <v>-9.9134121827360033E-4</v>
      </c>
    </row>
    <row r="206" spans="4:8" ht="16.5" x14ac:dyDescent="0.3">
      <c r="D206" s="231">
        <v>45369</v>
      </c>
      <c r="E206" s="232">
        <v>115.1</v>
      </c>
      <c r="F206" s="105">
        <f t="shared" si="6"/>
        <v>7.4398249452953813E-3</v>
      </c>
      <c r="G206" s="8">
        <v>22055.7</v>
      </c>
      <c r="H206" s="105">
        <f t="shared" si="7"/>
        <v>1.0920157946964437E-2</v>
      </c>
    </row>
    <row r="207" spans="4:8" ht="16.5" x14ac:dyDescent="0.3">
      <c r="D207" s="231">
        <v>45366</v>
      </c>
      <c r="E207" s="232">
        <v>117.45</v>
      </c>
      <c r="F207" s="105">
        <f t="shared" si="6"/>
        <v>2.041702867072126E-2</v>
      </c>
      <c r="G207" s="8">
        <v>22023.35</v>
      </c>
      <c r="H207" s="105">
        <f t="shared" si="7"/>
        <v>-1.4667410238624612E-3</v>
      </c>
    </row>
    <row r="208" spans="4:8" ht="16.5" x14ac:dyDescent="0.3">
      <c r="D208" s="231">
        <v>45365</v>
      </c>
      <c r="E208" s="232">
        <v>116.95</v>
      </c>
      <c r="F208" s="105">
        <f t="shared" si="6"/>
        <v>-4.2571306939123144E-3</v>
      </c>
      <c r="G208" s="8">
        <v>22146.65</v>
      </c>
      <c r="H208" s="105">
        <f t="shared" si="7"/>
        <v>5.5986033005879232E-3</v>
      </c>
    </row>
    <row r="209" spans="4:8" ht="16.5" x14ac:dyDescent="0.3">
      <c r="D209" s="231">
        <v>45364</v>
      </c>
      <c r="E209" s="232">
        <v>112.45</v>
      </c>
      <c r="F209" s="105">
        <f t="shared" si="6"/>
        <v>-3.8477982043608416E-2</v>
      </c>
      <c r="G209" s="8">
        <v>21997.7</v>
      </c>
      <c r="H209" s="105">
        <f t="shared" si="7"/>
        <v>-6.7256221595591859E-3</v>
      </c>
    </row>
    <row r="210" spans="4:8" ht="16.5" x14ac:dyDescent="0.3">
      <c r="D210" s="231">
        <v>45363</v>
      </c>
      <c r="E210" s="232">
        <v>119.95</v>
      </c>
      <c r="F210" s="105">
        <f t="shared" si="6"/>
        <v>6.6696309470875903E-2</v>
      </c>
      <c r="G210" s="8">
        <v>22335.7</v>
      </c>
      <c r="H210" s="105">
        <f t="shared" si="7"/>
        <v>1.5365242729921791E-2</v>
      </c>
    </row>
    <row r="211" spans="4:8" ht="16.5" x14ac:dyDescent="0.3">
      <c r="D211" s="231">
        <v>45362</v>
      </c>
      <c r="E211" s="232">
        <v>121.4</v>
      </c>
      <c r="F211" s="105">
        <f t="shared" si="6"/>
        <v>1.2088370154230921E-2</v>
      </c>
      <c r="G211" s="8">
        <v>22332.65</v>
      </c>
      <c r="H211" s="105">
        <f t="shared" si="7"/>
        <v>-1.3655269366974476E-4</v>
      </c>
    </row>
    <row r="212" spans="4:8" ht="16.5" x14ac:dyDescent="0.3">
      <c r="D212" s="231">
        <v>45358</v>
      </c>
      <c r="E212" s="232">
        <v>125.35</v>
      </c>
      <c r="F212" s="105">
        <f t="shared" si="6"/>
        <v>3.2537067545304721E-2</v>
      </c>
      <c r="G212" s="8">
        <v>22493.55</v>
      </c>
      <c r="H212" s="105">
        <f t="shared" si="7"/>
        <v>7.204698054193992E-3</v>
      </c>
    </row>
    <row r="213" spans="4:8" ht="16.5" x14ac:dyDescent="0.3">
      <c r="D213" s="231">
        <v>45357</v>
      </c>
      <c r="E213" s="232">
        <v>126.2</v>
      </c>
      <c r="F213" s="105">
        <f t="shared" si="6"/>
        <v>6.781013163143168E-3</v>
      </c>
      <c r="G213" s="8">
        <v>22474.05</v>
      </c>
      <c r="H213" s="105">
        <f t="shared" si="7"/>
        <v>-8.6691518235226805E-4</v>
      </c>
    </row>
    <row r="214" spans="4:8" ht="16.5" x14ac:dyDescent="0.3">
      <c r="D214" s="231">
        <v>45356</v>
      </c>
      <c r="E214" s="232">
        <v>128.30000000000001</v>
      </c>
      <c r="F214" s="105">
        <f t="shared" si="6"/>
        <v>1.6640253565768592E-2</v>
      </c>
      <c r="G214" s="8">
        <v>22356.3</v>
      </c>
      <c r="H214" s="105">
        <f t="shared" si="7"/>
        <v>-5.2393760804126943E-3</v>
      </c>
    </row>
    <row r="215" spans="4:8" ht="16.5" x14ac:dyDescent="0.3">
      <c r="D215" s="231">
        <v>45355</v>
      </c>
      <c r="E215" s="232">
        <v>129.75</v>
      </c>
      <c r="F215" s="105">
        <f t="shared" si="6"/>
        <v>1.1301636788776159E-2</v>
      </c>
      <c r="G215" s="8">
        <v>22405.599999999999</v>
      </c>
      <c r="H215" s="105">
        <f t="shared" si="7"/>
        <v>2.2051949562316153E-3</v>
      </c>
    </row>
    <row r="216" spans="4:8" ht="16.5" x14ac:dyDescent="0.3">
      <c r="D216" s="231">
        <v>45353</v>
      </c>
      <c r="E216" s="232">
        <v>127.85</v>
      </c>
      <c r="F216" s="105">
        <f t="shared" si="6"/>
        <v>-1.4643545279383496E-2</v>
      </c>
      <c r="G216" s="8">
        <v>22378.400000000001</v>
      </c>
      <c r="H216" s="105">
        <f t="shared" si="7"/>
        <v>-1.2139822187309246E-3</v>
      </c>
    </row>
    <row r="217" spans="4:8" ht="16.5" x14ac:dyDescent="0.3">
      <c r="D217" s="231">
        <v>45352</v>
      </c>
      <c r="E217" s="232">
        <v>126.7</v>
      </c>
      <c r="F217" s="105">
        <f t="shared" si="6"/>
        <v>-8.9949159170902293E-3</v>
      </c>
      <c r="G217" s="8">
        <v>22338.75</v>
      </c>
      <c r="H217" s="105">
        <f t="shared" si="7"/>
        <v>-1.7717978050263428E-3</v>
      </c>
    </row>
    <row r="218" spans="4:8" ht="16.5" x14ac:dyDescent="0.3">
      <c r="D218" s="231">
        <v>45351</v>
      </c>
      <c r="E218" s="232">
        <v>126.85</v>
      </c>
      <c r="F218" s="105">
        <f t="shared" si="6"/>
        <v>1.1838989739541006E-3</v>
      </c>
      <c r="G218" s="8">
        <v>21982.799999999999</v>
      </c>
      <c r="H218" s="105">
        <f t="shared" si="7"/>
        <v>-1.5934195064629897E-2</v>
      </c>
    </row>
    <row r="219" spans="4:8" ht="16.5" x14ac:dyDescent="0.3">
      <c r="D219" s="231">
        <v>45350</v>
      </c>
      <c r="E219" s="232">
        <v>129.19999999999999</v>
      </c>
      <c r="F219" s="105">
        <f t="shared" si="6"/>
        <v>1.852581789515173E-2</v>
      </c>
      <c r="G219" s="8">
        <v>21951.15</v>
      </c>
      <c r="H219" s="105">
        <f t="shared" si="7"/>
        <v>-1.4397619957420282E-3</v>
      </c>
    </row>
    <row r="220" spans="4:8" ht="16.5" x14ac:dyDescent="0.3">
      <c r="D220" s="231">
        <v>45349</v>
      </c>
      <c r="E220" s="232">
        <v>130.5</v>
      </c>
      <c r="F220" s="105">
        <f t="shared" si="6"/>
        <v>1.0061919504644079E-2</v>
      </c>
      <c r="G220" s="8">
        <v>22198.35</v>
      </c>
      <c r="H220" s="105">
        <f t="shared" si="7"/>
        <v>1.1261368994335053E-2</v>
      </c>
    </row>
    <row r="221" spans="4:8" ht="16.5" x14ac:dyDescent="0.3">
      <c r="D221" s="231">
        <v>45348</v>
      </c>
      <c r="E221" s="232">
        <v>129.15</v>
      </c>
      <c r="F221" s="105">
        <f t="shared" si="6"/>
        <v>-1.0344827586206806E-2</v>
      </c>
      <c r="G221" s="8">
        <v>22122.05</v>
      </c>
      <c r="H221" s="105">
        <f t="shared" si="7"/>
        <v>-3.4371924039399149E-3</v>
      </c>
    </row>
    <row r="222" spans="4:8" ht="16.5" x14ac:dyDescent="0.3">
      <c r="D222" s="231">
        <v>45345</v>
      </c>
      <c r="E222" s="232">
        <v>129.35</v>
      </c>
      <c r="F222" s="105">
        <f t="shared" si="6"/>
        <v>1.5485869144404862E-3</v>
      </c>
      <c r="G222" s="8">
        <v>22212.7</v>
      </c>
      <c r="H222" s="105">
        <f t="shared" si="7"/>
        <v>4.0977215041102522E-3</v>
      </c>
    </row>
    <row r="223" spans="4:8" ht="16.5" x14ac:dyDescent="0.3">
      <c r="D223" s="231">
        <v>45344</v>
      </c>
      <c r="E223" s="232">
        <v>130.15</v>
      </c>
      <c r="F223" s="105">
        <f t="shared" si="6"/>
        <v>6.1847700038655251E-3</v>
      </c>
      <c r="G223" s="8">
        <v>22217.45</v>
      </c>
      <c r="H223" s="105">
        <f t="shared" si="7"/>
        <v>2.1384163113902233E-4</v>
      </c>
    </row>
    <row r="224" spans="4:8" ht="16.5" x14ac:dyDescent="0.3">
      <c r="D224" s="231">
        <v>45343</v>
      </c>
      <c r="E224" s="232">
        <v>128.35</v>
      </c>
      <c r="F224" s="105">
        <f t="shared" si="6"/>
        <v>-1.3830195927775679E-2</v>
      </c>
      <c r="G224" s="8">
        <v>22055.05</v>
      </c>
      <c r="H224" s="105">
        <f t="shared" si="7"/>
        <v>-7.3095697300995521E-3</v>
      </c>
    </row>
    <row r="225" spans="4:8" ht="16.5" x14ac:dyDescent="0.3">
      <c r="D225" s="231">
        <v>45342</v>
      </c>
      <c r="E225" s="232">
        <v>130.5</v>
      </c>
      <c r="F225" s="105">
        <f t="shared" si="6"/>
        <v>1.6751071289442976E-2</v>
      </c>
      <c r="G225" s="8">
        <v>22196.95</v>
      </c>
      <c r="H225" s="105">
        <f t="shared" si="7"/>
        <v>6.4339006259337417E-3</v>
      </c>
    </row>
    <row r="226" spans="4:8" ht="16.5" x14ac:dyDescent="0.3">
      <c r="D226" s="231">
        <v>45341</v>
      </c>
      <c r="E226" s="232">
        <v>130</v>
      </c>
      <c r="F226" s="105">
        <f t="shared" si="6"/>
        <v>-3.8314176245211051E-3</v>
      </c>
      <c r="G226" s="8">
        <v>22122.25</v>
      </c>
      <c r="H226" s="105">
        <f t="shared" si="7"/>
        <v>-3.3653272183791216E-3</v>
      </c>
    </row>
    <row r="227" spans="4:8" ht="16.5" x14ac:dyDescent="0.3">
      <c r="D227" s="231">
        <v>45338</v>
      </c>
      <c r="E227" s="232">
        <v>132.15</v>
      </c>
      <c r="F227" s="105">
        <f t="shared" si="6"/>
        <v>1.6538461538461613E-2</v>
      </c>
      <c r="G227" s="8">
        <v>22040.7</v>
      </c>
      <c r="H227" s="105">
        <f t="shared" si="7"/>
        <v>-3.6863338946083735E-3</v>
      </c>
    </row>
    <row r="228" spans="4:8" ht="16.5" x14ac:dyDescent="0.3">
      <c r="D228" s="231">
        <v>45337</v>
      </c>
      <c r="E228" s="232">
        <v>133.6</v>
      </c>
      <c r="F228" s="105">
        <f t="shared" si="6"/>
        <v>1.0972379871358129E-2</v>
      </c>
      <c r="G228" s="8">
        <v>21910.75</v>
      </c>
      <c r="H228" s="105">
        <f t="shared" si="7"/>
        <v>-5.8959107469364058E-3</v>
      </c>
    </row>
    <row r="229" spans="4:8" ht="16.5" x14ac:dyDescent="0.3">
      <c r="D229" s="231">
        <v>45336</v>
      </c>
      <c r="E229" s="232">
        <v>128.19999999999999</v>
      </c>
      <c r="F229" s="105">
        <f t="shared" si="6"/>
        <v>-4.041916167664672E-2</v>
      </c>
      <c r="G229" s="8">
        <v>21840.05</v>
      </c>
      <c r="H229" s="105">
        <f t="shared" si="7"/>
        <v>-3.2267266068026768E-3</v>
      </c>
    </row>
    <row r="230" spans="4:8" ht="16.5" x14ac:dyDescent="0.3">
      <c r="D230" s="231">
        <v>45335</v>
      </c>
      <c r="E230" s="232">
        <v>123.7</v>
      </c>
      <c r="F230" s="105">
        <f t="shared" si="6"/>
        <v>-3.5101404056162133E-2</v>
      </c>
      <c r="G230" s="8">
        <v>21743.25</v>
      </c>
      <c r="H230" s="105">
        <f t="shared" si="7"/>
        <v>-4.4322242852007365E-3</v>
      </c>
    </row>
    <row r="231" spans="4:8" ht="16.5" x14ac:dyDescent="0.3">
      <c r="D231" s="231">
        <v>45334</v>
      </c>
      <c r="E231" s="232">
        <v>122.25</v>
      </c>
      <c r="F231" s="105">
        <f t="shared" si="6"/>
        <v>-1.1721907841552137E-2</v>
      </c>
      <c r="G231" s="8">
        <v>21616.05</v>
      </c>
      <c r="H231" s="105">
        <f t="shared" si="7"/>
        <v>-5.8500914076782262E-3</v>
      </c>
    </row>
    <row r="232" spans="4:8" ht="16.5" x14ac:dyDescent="0.3">
      <c r="D232" s="231">
        <v>45331</v>
      </c>
      <c r="E232" s="232">
        <v>134.55000000000001</v>
      </c>
      <c r="F232" s="105">
        <f t="shared" si="6"/>
        <v>0.10061349693251542</v>
      </c>
      <c r="G232" s="8">
        <v>21782.5</v>
      </c>
      <c r="H232" s="105">
        <f t="shared" si="7"/>
        <v>7.7002967702239911E-3</v>
      </c>
    </row>
    <row r="233" spans="4:8" ht="16.5" x14ac:dyDescent="0.3">
      <c r="D233" s="231">
        <v>45330</v>
      </c>
      <c r="E233" s="232">
        <v>138.75</v>
      </c>
      <c r="F233" s="105">
        <f t="shared" si="6"/>
        <v>3.121516164994409E-2</v>
      </c>
      <c r="G233" s="8">
        <v>21717.95</v>
      </c>
      <c r="H233" s="105">
        <f t="shared" si="7"/>
        <v>-2.9633880408584945E-3</v>
      </c>
    </row>
    <row r="234" spans="4:8" ht="16.5" x14ac:dyDescent="0.3">
      <c r="D234" s="231">
        <v>45329</v>
      </c>
      <c r="E234" s="232">
        <v>138.65</v>
      </c>
      <c r="F234" s="105">
        <f t="shared" si="6"/>
        <v>-7.2072072072071336E-4</v>
      </c>
      <c r="G234" s="8">
        <v>21930.5</v>
      </c>
      <c r="H234" s="105">
        <f t="shared" si="7"/>
        <v>9.7868353136461028E-3</v>
      </c>
    </row>
    <row r="235" spans="4:8" ht="16.5" x14ac:dyDescent="0.3">
      <c r="D235" s="231">
        <v>45328</v>
      </c>
      <c r="E235" s="232">
        <v>139.80000000000001</v>
      </c>
      <c r="F235" s="105">
        <f t="shared" si="6"/>
        <v>8.2942661377569671E-3</v>
      </c>
      <c r="G235" s="8">
        <v>21929.4</v>
      </c>
      <c r="H235" s="105">
        <f t="shared" si="7"/>
        <v>-5.0158455119464485E-5</v>
      </c>
    </row>
    <row r="236" spans="4:8" ht="16.5" x14ac:dyDescent="0.3">
      <c r="D236" s="231">
        <v>45327</v>
      </c>
      <c r="E236" s="232">
        <v>142.44999999999999</v>
      </c>
      <c r="F236" s="105">
        <f t="shared" si="6"/>
        <v>1.8955650929899592E-2</v>
      </c>
      <c r="G236" s="8">
        <v>21771.7</v>
      </c>
      <c r="H236" s="105">
        <f t="shared" si="7"/>
        <v>-7.1912592227786343E-3</v>
      </c>
    </row>
    <row r="237" spans="4:8" ht="16.5" x14ac:dyDescent="0.3">
      <c r="D237" s="231">
        <v>45324</v>
      </c>
      <c r="E237" s="232">
        <v>137.69999999999999</v>
      </c>
      <c r="F237" s="105">
        <f t="shared" si="6"/>
        <v>-3.3345033345033359E-2</v>
      </c>
      <c r="G237" s="8">
        <v>21853.8</v>
      </c>
      <c r="H237" s="105">
        <f t="shared" si="7"/>
        <v>3.7709503621672358E-3</v>
      </c>
    </row>
    <row r="238" spans="4:8" ht="16.5" x14ac:dyDescent="0.3">
      <c r="D238" s="231">
        <v>45323</v>
      </c>
      <c r="E238" s="232">
        <v>140.1</v>
      </c>
      <c r="F238" s="105">
        <f t="shared" si="6"/>
        <v>1.7429193899782147E-2</v>
      </c>
      <c r="G238" s="8">
        <v>21697.45</v>
      </c>
      <c r="H238" s="105">
        <f t="shared" si="7"/>
        <v>-7.1543621704234228E-3</v>
      </c>
    </row>
    <row r="239" spans="4:8" ht="16.5" x14ac:dyDescent="0.3">
      <c r="D239" s="231">
        <v>45322</v>
      </c>
      <c r="E239" s="232">
        <v>143.1</v>
      </c>
      <c r="F239" s="105">
        <f t="shared" si="6"/>
        <v>2.1413276231263323E-2</v>
      </c>
      <c r="G239" s="8">
        <v>21725.7</v>
      </c>
      <c r="H239" s="105">
        <f t="shared" si="7"/>
        <v>1.3019963175395777E-3</v>
      </c>
    </row>
    <row r="240" spans="4:8" ht="16.5" x14ac:dyDescent="0.3">
      <c r="D240" s="231">
        <v>45321</v>
      </c>
      <c r="E240" s="232">
        <v>143.15</v>
      </c>
      <c r="F240" s="105">
        <f t="shared" si="6"/>
        <v>3.4940600978350389E-4</v>
      </c>
      <c r="G240" s="8">
        <v>21522.1</v>
      </c>
      <c r="H240" s="105">
        <f t="shared" si="7"/>
        <v>-9.3713896445224432E-3</v>
      </c>
    </row>
    <row r="241" spans="4:8" ht="16.5" x14ac:dyDescent="0.3">
      <c r="D241" s="231">
        <v>45320</v>
      </c>
      <c r="E241" s="232">
        <v>139.1</v>
      </c>
      <c r="F241" s="105">
        <f t="shared" si="6"/>
        <v>-2.8292001397135946E-2</v>
      </c>
      <c r="G241" s="8">
        <v>21737.599999999999</v>
      </c>
      <c r="H241" s="105">
        <f t="shared" si="7"/>
        <v>1.0012963418997156E-2</v>
      </c>
    </row>
    <row r="242" spans="4:8" ht="16.5" x14ac:dyDescent="0.3">
      <c r="D242" s="231">
        <v>45316</v>
      </c>
      <c r="E242" s="232">
        <v>133.30000000000001</v>
      </c>
      <c r="F242" s="105">
        <f t="shared" si="6"/>
        <v>-4.1696621135873357E-2</v>
      </c>
      <c r="G242" s="8">
        <v>21352.6</v>
      </c>
      <c r="H242" s="105">
        <f t="shared" si="7"/>
        <v>-1.7711246871779829E-2</v>
      </c>
    </row>
    <row r="243" spans="4:8" ht="16.5" x14ac:dyDescent="0.3">
      <c r="D243" s="231">
        <v>45315</v>
      </c>
      <c r="E243" s="232">
        <v>131.4</v>
      </c>
      <c r="F243" s="105">
        <f t="shared" si="6"/>
        <v>-1.4253563390847712E-2</v>
      </c>
      <c r="G243" s="8">
        <v>21453.95</v>
      </c>
      <c r="H243" s="105">
        <f t="shared" si="7"/>
        <v>4.7464945720896434E-3</v>
      </c>
    </row>
    <row r="244" spans="4:8" ht="16.5" x14ac:dyDescent="0.3">
      <c r="D244" s="231">
        <v>45314</v>
      </c>
      <c r="E244" s="232">
        <v>130.6</v>
      </c>
      <c r="F244" s="105">
        <f t="shared" si="6"/>
        <v>-6.0882800608829113E-3</v>
      </c>
      <c r="G244" s="8">
        <v>21238.799999999999</v>
      </c>
      <c r="H244" s="105">
        <f t="shared" si="7"/>
        <v>-1.0028456298257549E-2</v>
      </c>
    </row>
    <row r="245" spans="4:8" ht="16.5" x14ac:dyDescent="0.3">
      <c r="D245" s="231">
        <v>45311</v>
      </c>
      <c r="E245" s="232">
        <v>138</v>
      </c>
      <c r="F245" s="105">
        <f t="shared" si="6"/>
        <v>5.666156202143946E-2</v>
      </c>
      <c r="G245" s="8">
        <v>21571.8</v>
      </c>
      <c r="H245" s="105">
        <f t="shared" si="7"/>
        <v>1.5678851912537484E-2</v>
      </c>
    </row>
    <row r="246" spans="4:8" ht="16.5" x14ac:dyDescent="0.3">
      <c r="D246" s="231">
        <v>45310</v>
      </c>
      <c r="E246" s="232">
        <v>143.65</v>
      </c>
      <c r="F246" s="105">
        <f t="shared" si="6"/>
        <v>4.0942028985507362E-2</v>
      </c>
      <c r="G246" s="8">
        <v>21622.400000000001</v>
      </c>
      <c r="H246" s="105">
        <f t="shared" si="7"/>
        <v>2.3456549754774514E-3</v>
      </c>
    </row>
    <row r="247" spans="4:8" ht="16.5" x14ac:dyDescent="0.3">
      <c r="D247" s="231">
        <v>45309</v>
      </c>
      <c r="E247" s="232">
        <v>141.4</v>
      </c>
      <c r="F247" s="105">
        <f t="shared" si="6"/>
        <v>-1.5663069961712517E-2</v>
      </c>
      <c r="G247" s="8">
        <v>21462.25</v>
      </c>
      <c r="H247" s="105">
        <f t="shared" si="7"/>
        <v>-7.4066708598491404E-3</v>
      </c>
    </row>
    <row r="248" spans="4:8" ht="16.5" x14ac:dyDescent="0.3">
      <c r="D248" s="231">
        <v>45308</v>
      </c>
      <c r="E248" s="232">
        <v>138.35</v>
      </c>
      <c r="F248" s="105">
        <f t="shared" si="6"/>
        <v>-2.1570014144271621E-2</v>
      </c>
      <c r="G248" s="8">
        <v>21571.95</v>
      </c>
      <c r="H248" s="105">
        <f t="shared" si="7"/>
        <v>5.1113000733846725E-3</v>
      </c>
    </row>
    <row r="249" spans="4:8" ht="16.5" x14ac:dyDescent="0.3">
      <c r="D249" s="231">
        <v>45307</v>
      </c>
      <c r="E249" s="232">
        <v>138.85</v>
      </c>
      <c r="F249" s="105">
        <f t="shared" si="6"/>
        <v>3.614022406938977E-3</v>
      </c>
      <c r="G249" s="8">
        <v>22032.3</v>
      </c>
      <c r="H249" s="105">
        <f t="shared" si="7"/>
        <v>2.1340212637244171E-2</v>
      </c>
    </row>
    <row r="250" spans="4:8" ht="16.5" x14ac:dyDescent="0.3">
      <c r="D250" s="231">
        <v>45306</v>
      </c>
      <c r="E250" s="232">
        <v>140.25</v>
      </c>
      <c r="F250" s="105">
        <f t="shared" si="6"/>
        <v>1.0082823190493473E-2</v>
      </c>
      <c r="G250" s="8">
        <v>22097.45</v>
      </c>
      <c r="H250" s="105">
        <f t="shared" si="7"/>
        <v>2.9570221901482618E-3</v>
      </c>
    </row>
    <row r="251" spans="4:8" ht="16.5" x14ac:dyDescent="0.3">
      <c r="D251" s="231">
        <v>45303</v>
      </c>
      <c r="E251" s="232">
        <v>140.69999999999999</v>
      </c>
      <c r="F251" s="105">
        <f t="shared" si="6"/>
        <v>3.2085561497325887E-3</v>
      </c>
      <c r="G251" s="8">
        <v>21894.55</v>
      </c>
      <c r="H251" s="105">
        <f t="shared" si="7"/>
        <v>-9.1820549429911802E-3</v>
      </c>
    </row>
    <row r="252" spans="4:8" ht="16.5" x14ac:dyDescent="0.3">
      <c r="D252" s="231">
        <v>45302</v>
      </c>
      <c r="E252" s="232">
        <v>138.80000000000001</v>
      </c>
      <c r="F252" s="105">
        <f t="shared" si="6"/>
        <v>-1.3503909026296945E-2</v>
      </c>
      <c r="G252" s="8">
        <v>21647.200000000001</v>
      </c>
      <c r="H252" s="105">
        <f t="shared" si="7"/>
        <v>-1.1297331984443604E-2</v>
      </c>
    </row>
    <row r="253" spans="4:8" ht="16.5" x14ac:dyDescent="0.3">
      <c r="D253" s="231">
        <v>45301</v>
      </c>
      <c r="E253" s="232">
        <v>136.94999999999999</v>
      </c>
      <c r="F253" s="105">
        <f t="shared" si="6"/>
        <v>-1.33285302593662E-2</v>
      </c>
      <c r="G253" s="8">
        <v>21618.7</v>
      </c>
      <c r="H253" s="105">
        <f t="shared" si="7"/>
        <v>-1.3165675006466815E-3</v>
      </c>
    </row>
    <row r="254" spans="4:8" ht="16.5" x14ac:dyDescent="0.3">
      <c r="D254" s="231">
        <v>45300</v>
      </c>
      <c r="E254" s="232">
        <v>139.1</v>
      </c>
      <c r="F254" s="105">
        <f t="shared" si="6"/>
        <v>1.5699160277473645E-2</v>
      </c>
      <c r="G254" s="8">
        <v>21544.85</v>
      </c>
      <c r="H254" s="105">
        <f t="shared" si="7"/>
        <v>-3.4160240902553207E-3</v>
      </c>
    </row>
    <row r="255" spans="4:8" ht="16.5" x14ac:dyDescent="0.3">
      <c r="D255" s="231">
        <v>45299</v>
      </c>
      <c r="E255" s="232">
        <v>135.69999999999999</v>
      </c>
      <c r="F255" s="105">
        <f t="shared" si="6"/>
        <v>-2.4442846872753443E-2</v>
      </c>
      <c r="G255" s="8">
        <v>21513</v>
      </c>
      <c r="H255" s="105">
        <f t="shared" si="7"/>
        <v>-1.478311522243092E-3</v>
      </c>
    </row>
    <row r="256" spans="4:8" ht="16.5" x14ac:dyDescent="0.3">
      <c r="D256" s="231">
        <v>45296</v>
      </c>
      <c r="E256" s="232">
        <v>138.6</v>
      </c>
      <c r="F256" s="105">
        <f t="shared" si="6"/>
        <v>2.1370670596905006E-2</v>
      </c>
      <c r="G256" s="8">
        <v>21710.799999999999</v>
      </c>
      <c r="H256" s="105">
        <f t="shared" si="7"/>
        <v>9.1944405708175303E-3</v>
      </c>
    </row>
    <row r="257" spans="4:8" ht="16.5" x14ac:dyDescent="0.3">
      <c r="D257" s="231">
        <v>45295</v>
      </c>
      <c r="E257" s="232">
        <v>134.85</v>
      </c>
      <c r="F257" s="105">
        <f t="shared" si="6"/>
        <v>-2.7056277056277112E-2</v>
      </c>
      <c r="G257" s="8">
        <v>21658.6</v>
      </c>
      <c r="H257" s="105">
        <f t="shared" si="7"/>
        <v>-2.404333327192032E-3</v>
      </c>
    </row>
    <row r="258" spans="4:8" ht="16.5" x14ac:dyDescent="0.3">
      <c r="D258" s="231">
        <v>45294</v>
      </c>
      <c r="E258" s="232">
        <v>134.69999999999999</v>
      </c>
      <c r="F258" s="105">
        <f t="shared" si="6"/>
        <v>-1.1123470522803602E-3</v>
      </c>
      <c r="G258" s="8">
        <v>21517.35</v>
      </c>
      <c r="H258" s="105">
        <f t="shared" si="7"/>
        <v>-6.5216588329809477E-3</v>
      </c>
    </row>
    <row r="259" spans="4:8" ht="16.5" x14ac:dyDescent="0.3">
      <c r="D259" s="231">
        <v>45293</v>
      </c>
      <c r="E259" s="232">
        <v>134.6</v>
      </c>
      <c r="F259" s="105">
        <f t="shared" si="6"/>
        <v>-7.4239049740154606E-4</v>
      </c>
      <c r="G259" s="8">
        <v>21665.8</v>
      </c>
      <c r="H259" s="105">
        <f t="shared" si="7"/>
        <v>6.8990837626381474E-3</v>
      </c>
    </row>
    <row r="260" spans="4:8" ht="16.5" x14ac:dyDescent="0.3">
      <c r="D260" s="231">
        <v>45292</v>
      </c>
      <c r="E260" s="232">
        <v>136.85</v>
      </c>
      <c r="F260" s="105">
        <f t="shared" si="6"/>
        <v>1.6716196136701278E-2</v>
      </c>
      <c r="G260" s="8">
        <v>21741.9</v>
      </c>
      <c r="H260" s="105">
        <f t="shared" si="7"/>
        <v>3.5124481902353288E-3</v>
      </c>
    </row>
    <row r="261" spans="4:8" s="226" customFormat="1" ht="16.5" x14ac:dyDescent="0.3">
      <c r="D261" s="231"/>
      <c r="E261" s="232"/>
      <c r="F261" s="105"/>
      <c r="G261" s="8"/>
      <c r="H261" s="105"/>
    </row>
    <row r="262" spans="4:8" ht="16.5" x14ac:dyDescent="0.3">
      <c r="D262" s="231"/>
      <c r="E262" s="232"/>
      <c r="F262" s="105"/>
      <c r="G262" s="8"/>
      <c r="H262" s="105"/>
    </row>
    <row r="263" spans="4:8" ht="16.5" x14ac:dyDescent="0.3">
      <c r="D263" s="231"/>
      <c r="E263" s="232"/>
      <c r="F263" s="105"/>
      <c r="G263" s="8"/>
      <c r="H263" s="105"/>
    </row>
    <row r="264" spans="4:8" ht="16.5" x14ac:dyDescent="0.3">
      <c r="D264" s="231"/>
      <c r="E264" s="232"/>
      <c r="F264" s="105"/>
      <c r="G264" s="8"/>
      <c r="H264" s="105"/>
    </row>
    <row r="265" spans="4:8" ht="16.5" x14ac:dyDescent="0.3">
      <c r="D265" s="231"/>
      <c r="E265" s="232"/>
      <c r="F265" s="105"/>
      <c r="G265" s="8"/>
      <c r="H265" s="105"/>
    </row>
    <row r="266" spans="4:8" ht="16.5" x14ac:dyDescent="0.3">
      <c r="D266" s="231"/>
      <c r="E266" s="232"/>
      <c r="F266" s="105"/>
      <c r="G266" s="8"/>
      <c r="H266" s="105"/>
    </row>
    <row r="267" spans="4:8" ht="16.5" x14ac:dyDescent="0.3">
      <c r="D267" s="231"/>
      <c r="E267" s="232"/>
      <c r="F267" s="105"/>
      <c r="G267" s="8"/>
      <c r="H267" s="105"/>
    </row>
    <row r="268" spans="4:8" ht="16.5" x14ac:dyDescent="0.3">
      <c r="D268" s="231"/>
      <c r="E268" s="232"/>
      <c r="F268" s="105"/>
      <c r="G268" s="8"/>
      <c r="H268" s="105"/>
    </row>
    <row r="269" spans="4:8" ht="16.5" x14ac:dyDescent="0.3">
      <c r="D269" s="231"/>
      <c r="E269" s="232"/>
      <c r="F269" s="105"/>
      <c r="G269" s="8"/>
      <c r="H269" s="105"/>
    </row>
    <row r="270" spans="4:8" ht="16.5" x14ac:dyDescent="0.3">
      <c r="D270" s="231"/>
      <c r="E270" s="232"/>
      <c r="F270" s="105"/>
      <c r="G270" s="8"/>
      <c r="H270" s="105"/>
    </row>
    <row r="271" spans="4:8" ht="16.5" x14ac:dyDescent="0.3">
      <c r="D271" s="231"/>
      <c r="E271" s="232"/>
      <c r="F271" s="105"/>
      <c r="G271" s="8"/>
      <c r="H271" s="105"/>
    </row>
    <row r="272" spans="4:8" ht="16.5" x14ac:dyDescent="0.3">
      <c r="D272" s="231"/>
      <c r="E272" s="232"/>
      <c r="F272" s="105"/>
      <c r="G272" s="8"/>
      <c r="H272" s="105"/>
    </row>
    <row r="273" spans="4:8" ht="16.5" x14ac:dyDescent="0.3">
      <c r="D273" s="231"/>
      <c r="E273" s="232"/>
      <c r="F273" s="105"/>
      <c r="G273" s="8"/>
      <c r="H273" s="105"/>
    </row>
    <row r="274" spans="4:8" ht="16.5" x14ac:dyDescent="0.3">
      <c r="D274" s="231"/>
      <c r="E274" s="232"/>
      <c r="F274" s="105"/>
      <c r="G274" s="8"/>
      <c r="H274" s="105"/>
    </row>
    <row r="275" spans="4:8" ht="16.5" x14ac:dyDescent="0.3">
      <c r="D275" s="231"/>
      <c r="E275" s="232"/>
      <c r="F275" s="105"/>
      <c r="G275" s="8"/>
      <c r="H275" s="105"/>
    </row>
    <row r="276" spans="4:8" ht="16.5" x14ac:dyDescent="0.3">
      <c r="D276" s="231"/>
      <c r="E276" s="232"/>
      <c r="F276" s="105"/>
      <c r="G276" s="8"/>
      <c r="H276" s="105"/>
    </row>
    <row r="277" spans="4:8" ht="16.5" x14ac:dyDescent="0.3">
      <c r="D277" s="231"/>
      <c r="E277" s="232"/>
      <c r="F277" s="105"/>
      <c r="G277" s="8"/>
      <c r="H277" s="105"/>
    </row>
    <row r="278" spans="4:8" ht="16.5" x14ac:dyDescent="0.3">
      <c r="D278" s="231"/>
      <c r="E278" s="232"/>
      <c r="F278" s="105"/>
      <c r="G278" s="8"/>
      <c r="H278" s="105"/>
    </row>
    <row r="279" spans="4:8" ht="16.5" x14ac:dyDescent="0.3">
      <c r="D279" s="231"/>
      <c r="E279" s="232"/>
      <c r="F279" s="105"/>
      <c r="G279" s="8"/>
      <c r="H279" s="105"/>
    </row>
    <row r="280" spans="4:8" ht="16.5" x14ac:dyDescent="0.3">
      <c r="D280" s="231"/>
      <c r="E280" s="232"/>
      <c r="F280" s="105"/>
      <c r="G280" s="8"/>
      <c r="H280" s="105"/>
    </row>
    <row r="281" spans="4:8" ht="16.5" x14ac:dyDescent="0.3">
      <c r="D281" s="231"/>
      <c r="E281" s="232"/>
      <c r="F281" s="105"/>
      <c r="G281" s="8"/>
      <c r="H281" s="105"/>
    </row>
    <row r="282" spans="4:8" ht="16.5" x14ac:dyDescent="0.3">
      <c r="D282" s="231"/>
      <c r="E282" s="232"/>
      <c r="F282" s="105"/>
      <c r="G282" s="8"/>
      <c r="H282" s="105"/>
    </row>
    <row r="283" spans="4:8" ht="16.5" x14ac:dyDescent="0.3">
      <c r="D283" s="231"/>
      <c r="E283" s="232"/>
      <c r="F283" s="105"/>
      <c r="G283" s="8"/>
      <c r="H283" s="105"/>
    </row>
    <row r="284" spans="4:8" ht="16.5" x14ac:dyDescent="0.3">
      <c r="D284" s="231"/>
      <c r="E284" s="232"/>
      <c r="F284" s="105"/>
      <c r="G284" s="8"/>
      <c r="H284" s="105"/>
    </row>
    <row r="285" spans="4:8" ht="16.5" x14ac:dyDescent="0.3">
      <c r="D285" s="231"/>
      <c r="E285" s="232"/>
      <c r="F285" s="105"/>
      <c r="G285" s="8"/>
      <c r="H285" s="105"/>
    </row>
    <row r="286" spans="4:8" ht="16.5" x14ac:dyDescent="0.3">
      <c r="D286" s="231"/>
      <c r="E286" s="232"/>
      <c r="F286" s="105"/>
      <c r="G286" s="8"/>
      <c r="H286" s="105"/>
    </row>
    <row r="287" spans="4:8" ht="16.5" x14ac:dyDescent="0.3">
      <c r="D287" s="231"/>
      <c r="E287" s="232"/>
      <c r="F287" s="105"/>
      <c r="G287" s="8"/>
      <c r="H287" s="105"/>
    </row>
    <row r="288" spans="4:8" ht="16.5" x14ac:dyDescent="0.3">
      <c r="D288" s="231"/>
      <c r="E288" s="232"/>
      <c r="F288" s="105"/>
      <c r="G288" s="8"/>
      <c r="H288" s="105"/>
    </row>
    <row r="289" spans="4:8" ht="16.5" x14ac:dyDescent="0.3">
      <c r="D289" s="231"/>
      <c r="E289" s="232"/>
      <c r="F289" s="105"/>
      <c r="G289" s="8"/>
      <c r="H289" s="105"/>
    </row>
    <row r="290" spans="4:8" ht="16.5" x14ac:dyDescent="0.3">
      <c r="D290" s="231"/>
      <c r="E290" s="232"/>
      <c r="F290" s="105"/>
      <c r="G290" s="8"/>
      <c r="H290" s="105"/>
    </row>
    <row r="291" spans="4:8" ht="16.5" x14ac:dyDescent="0.3">
      <c r="D291" s="231"/>
      <c r="E291" s="232"/>
      <c r="F291" s="105"/>
      <c r="G291" s="8"/>
      <c r="H291" s="105"/>
    </row>
    <row r="292" spans="4:8" ht="16.5" x14ac:dyDescent="0.3">
      <c r="D292" s="231"/>
      <c r="E292" s="232"/>
      <c r="F292" s="105"/>
      <c r="G292" s="8"/>
      <c r="H292" s="105"/>
    </row>
    <row r="293" spans="4:8" ht="16.5" x14ac:dyDescent="0.3">
      <c r="D293" s="231"/>
      <c r="E293" s="232"/>
      <c r="F293" s="105"/>
      <c r="G293" s="8"/>
      <c r="H293" s="105"/>
    </row>
    <row r="294" spans="4:8" ht="16.5" x14ac:dyDescent="0.3">
      <c r="D294" s="231"/>
      <c r="E294" s="232"/>
      <c r="F294" s="105"/>
      <c r="G294" s="8"/>
      <c r="H294" s="105"/>
    </row>
    <row r="295" spans="4:8" ht="16.5" x14ac:dyDescent="0.3">
      <c r="D295" s="231"/>
      <c r="E295" s="232"/>
      <c r="F295" s="105"/>
      <c r="G295" s="8"/>
      <c r="H295" s="105"/>
    </row>
    <row r="296" spans="4:8" ht="16.5" x14ac:dyDescent="0.3">
      <c r="D296" s="231"/>
      <c r="E296" s="232"/>
      <c r="F296" s="105"/>
      <c r="G296" s="8"/>
      <c r="H296" s="105"/>
    </row>
    <row r="297" spans="4:8" ht="16.5" x14ac:dyDescent="0.3">
      <c r="D297" s="231"/>
      <c r="E297" s="232"/>
      <c r="F297" s="105"/>
      <c r="G297" s="8"/>
      <c r="H297" s="105"/>
    </row>
    <row r="298" spans="4:8" ht="16.5" x14ac:dyDescent="0.3">
      <c r="D298" s="231"/>
      <c r="E298" s="232"/>
      <c r="F298" s="105"/>
      <c r="G298" s="8"/>
      <c r="H298" s="105"/>
    </row>
    <row r="299" spans="4:8" ht="16.5" x14ac:dyDescent="0.3">
      <c r="D299" s="231"/>
      <c r="E299" s="232"/>
      <c r="F299" s="105"/>
      <c r="G299" s="8"/>
      <c r="H299" s="105"/>
    </row>
    <row r="300" spans="4:8" ht="16.5" x14ac:dyDescent="0.3">
      <c r="D300" s="231"/>
      <c r="E300" s="232"/>
      <c r="F300" s="105"/>
      <c r="G300" s="8"/>
      <c r="H300" s="105"/>
    </row>
    <row r="301" spans="4:8" ht="16.5" x14ac:dyDescent="0.3">
      <c r="D301" s="231"/>
      <c r="E301" s="232"/>
      <c r="F301" s="105"/>
      <c r="G301" s="8"/>
      <c r="H301" s="105"/>
    </row>
    <row r="302" spans="4:8" ht="16.5" x14ac:dyDescent="0.3">
      <c r="D302" s="231"/>
      <c r="E302" s="232"/>
      <c r="F302" s="105"/>
      <c r="G302" s="8"/>
      <c r="H302" s="105"/>
    </row>
    <row r="303" spans="4:8" ht="16.5" x14ac:dyDescent="0.3">
      <c r="D303" s="231"/>
      <c r="E303" s="232"/>
      <c r="F303" s="105"/>
      <c r="G303" s="8"/>
      <c r="H303" s="105"/>
    </row>
    <row r="304" spans="4:8" ht="16.5" x14ac:dyDescent="0.3">
      <c r="D304" s="231"/>
      <c r="E304" s="232"/>
      <c r="F304" s="105"/>
      <c r="G304" s="8"/>
      <c r="H304" s="105"/>
    </row>
    <row r="305" spans="4:8" ht="16.5" x14ac:dyDescent="0.3">
      <c r="D305" s="231"/>
      <c r="E305" s="232"/>
      <c r="F305" s="105"/>
      <c r="G305" s="8"/>
      <c r="H305" s="105"/>
    </row>
    <row r="306" spans="4:8" ht="16.5" x14ac:dyDescent="0.3">
      <c r="D306" s="231"/>
      <c r="E306" s="232"/>
      <c r="F306" s="105"/>
      <c r="G306" s="8"/>
      <c r="H306" s="105"/>
    </row>
    <row r="307" spans="4:8" ht="16.5" x14ac:dyDescent="0.3">
      <c r="D307" s="231"/>
      <c r="E307" s="232"/>
      <c r="F307" s="105"/>
      <c r="G307" s="8"/>
      <c r="H307" s="105"/>
    </row>
    <row r="308" spans="4:8" ht="16.5" x14ac:dyDescent="0.3">
      <c r="D308" s="231"/>
      <c r="E308" s="232"/>
      <c r="F308" s="105"/>
      <c r="G308" s="8"/>
      <c r="H308" s="105"/>
    </row>
    <row r="309" spans="4:8" ht="16.5" x14ac:dyDescent="0.3">
      <c r="D309" s="231"/>
      <c r="E309" s="232"/>
      <c r="F309" s="105"/>
      <c r="G309" s="8"/>
      <c r="H309" s="105"/>
    </row>
    <row r="310" spans="4:8" ht="16.5" x14ac:dyDescent="0.3">
      <c r="D310" s="231"/>
      <c r="E310" s="232"/>
      <c r="F310" s="105"/>
      <c r="G310" s="8"/>
      <c r="H310" s="105"/>
    </row>
    <row r="311" spans="4:8" ht="16.5" x14ac:dyDescent="0.3">
      <c r="D311" s="231"/>
      <c r="E311" s="232"/>
      <c r="F311" s="105"/>
      <c r="G311" s="8"/>
      <c r="H311" s="105"/>
    </row>
    <row r="312" spans="4:8" ht="16.5" x14ac:dyDescent="0.3">
      <c r="D312" s="231"/>
      <c r="E312" s="232"/>
      <c r="F312" s="105"/>
      <c r="G312" s="8"/>
      <c r="H312" s="105"/>
    </row>
    <row r="313" spans="4:8" ht="16.5" x14ac:dyDescent="0.3">
      <c r="D313" s="231"/>
      <c r="E313" s="232"/>
      <c r="F313" s="105"/>
      <c r="G313" s="8"/>
      <c r="H313" s="105"/>
    </row>
    <row r="314" spans="4:8" ht="16.5" x14ac:dyDescent="0.3">
      <c r="D314" s="231"/>
      <c r="E314" s="232"/>
      <c r="F314" s="105"/>
      <c r="G314" s="8"/>
      <c r="H314" s="105"/>
    </row>
    <row r="315" spans="4:8" ht="16.5" x14ac:dyDescent="0.3">
      <c r="D315" s="231"/>
      <c r="E315" s="232"/>
      <c r="F315" s="105"/>
      <c r="G315" s="8"/>
      <c r="H315" s="105"/>
    </row>
    <row r="316" spans="4:8" ht="16.5" x14ac:dyDescent="0.3">
      <c r="D316" s="231"/>
      <c r="E316" s="232"/>
      <c r="F316" s="105"/>
      <c r="G316" s="8"/>
      <c r="H316" s="105"/>
    </row>
    <row r="317" spans="4:8" ht="16.5" x14ac:dyDescent="0.3">
      <c r="D317" s="231"/>
      <c r="E317" s="232"/>
      <c r="F317" s="105"/>
      <c r="G317" s="8"/>
      <c r="H317" s="105"/>
    </row>
    <row r="318" spans="4:8" ht="16.5" x14ac:dyDescent="0.3">
      <c r="D318" s="231"/>
      <c r="E318" s="232"/>
      <c r="F318" s="105"/>
      <c r="G318" s="8"/>
      <c r="H318" s="105"/>
    </row>
    <row r="319" spans="4:8" ht="16.5" x14ac:dyDescent="0.3">
      <c r="D319" s="231"/>
      <c r="E319" s="232"/>
      <c r="F319" s="105"/>
      <c r="G319" s="8"/>
      <c r="H319" s="105"/>
    </row>
    <row r="320" spans="4:8" ht="16.5" x14ac:dyDescent="0.3">
      <c r="D320" s="231"/>
      <c r="E320" s="232"/>
      <c r="F320" s="105"/>
      <c r="G320" s="8"/>
      <c r="H320" s="105"/>
    </row>
    <row r="321" spans="4:8" ht="16.5" x14ac:dyDescent="0.3">
      <c r="D321" s="231"/>
      <c r="E321" s="232"/>
      <c r="F321" s="105"/>
      <c r="G321" s="8"/>
      <c r="H321" s="105"/>
    </row>
    <row r="322" spans="4:8" ht="16.5" x14ac:dyDescent="0.3">
      <c r="D322" s="231"/>
      <c r="E322" s="232"/>
      <c r="F322" s="105"/>
      <c r="G322" s="8"/>
      <c r="H322" s="105"/>
    </row>
    <row r="323" spans="4:8" ht="16.5" x14ac:dyDescent="0.3">
      <c r="D323" s="231"/>
      <c r="E323" s="232"/>
      <c r="F323" s="105"/>
      <c r="G323" s="8"/>
      <c r="H323" s="105"/>
    </row>
    <row r="324" spans="4:8" ht="16.5" x14ac:dyDescent="0.3">
      <c r="D324" s="231"/>
      <c r="E324" s="232"/>
      <c r="F324" s="105"/>
      <c r="G324" s="8"/>
      <c r="H324" s="105"/>
    </row>
    <row r="325" spans="4:8" ht="16.5" x14ac:dyDescent="0.3">
      <c r="D325" s="231"/>
      <c r="E325" s="232"/>
      <c r="F325" s="105"/>
      <c r="G325" s="8"/>
      <c r="H325" s="105"/>
    </row>
    <row r="326" spans="4:8" ht="16.5" x14ac:dyDescent="0.3">
      <c r="D326" s="231"/>
      <c r="E326" s="232"/>
      <c r="F326" s="105"/>
      <c r="G326" s="8"/>
      <c r="H326" s="105"/>
    </row>
    <row r="327" spans="4:8" ht="16.5" x14ac:dyDescent="0.3">
      <c r="D327" s="231"/>
      <c r="E327" s="232"/>
      <c r="F327" s="105"/>
      <c r="G327" s="8"/>
      <c r="H327" s="105"/>
    </row>
    <row r="328" spans="4:8" ht="16.5" x14ac:dyDescent="0.3">
      <c r="D328" s="231"/>
      <c r="E328" s="232"/>
      <c r="F328" s="105"/>
      <c r="G328" s="8"/>
      <c r="H328" s="105"/>
    </row>
    <row r="329" spans="4:8" ht="16.5" x14ac:dyDescent="0.3">
      <c r="D329" s="231"/>
      <c r="E329" s="232"/>
      <c r="F329" s="105"/>
      <c r="G329" s="8"/>
      <c r="H329" s="105"/>
    </row>
    <row r="330" spans="4:8" ht="16.5" x14ac:dyDescent="0.3">
      <c r="D330" s="231"/>
      <c r="E330" s="232"/>
      <c r="F330" s="105"/>
      <c r="G330" s="8"/>
      <c r="H330" s="105"/>
    </row>
    <row r="331" spans="4:8" ht="16.5" x14ac:dyDescent="0.3">
      <c r="D331" s="231"/>
      <c r="E331" s="232"/>
      <c r="F331" s="105"/>
      <c r="G331" s="8"/>
      <c r="H331" s="105"/>
    </row>
    <row r="332" spans="4:8" ht="16.5" x14ac:dyDescent="0.3">
      <c r="D332" s="231"/>
      <c r="E332" s="232"/>
      <c r="F332" s="105"/>
      <c r="G332" s="8"/>
      <c r="H332" s="105"/>
    </row>
    <row r="333" spans="4:8" ht="16.5" x14ac:dyDescent="0.3">
      <c r="D333" s="231"/>
      <c r="E333" s="232"/>
      <c r="F333" s="105"/>
      <c r="G333" s="8"/>
      <c r="H333" s="105"/>
    </row>
    <row r="334" spans="4:8" ht="16.5" x14ac:dyDescent="0.3">
      <c r="D334" s="231"/>
      <c r="E334" s="232"/>
      <c r="F334" s="105"/>
      <c r="G334" s="8"/>
      <c r="H334" s="105"/>
    </row>
    <row r="335" spans="4:8" ht="16.5" x14ac:dyDescent="0.3">
      <c r="D335" s="231"/>
      <c r="E335" s="232"/>
      <c r="F335" s="105"/>
      <c r="G335" s="8"/>
      <c r="H335" s="105"/>
    </row>
    <row r="336" spans="4:8" ht="16.5" x14ac:dyDescent="0.3">
      <c r="D336" s="231"/>
      <c r="E336" s="232"/>
      <c r="F336" s="105"/>
      <c r="G336" s="8"/>
      <c r="H336" s="105"/>
    </row>
    <row r="337" spans="4:8" ht="16.5" x14ac:dyDescent="0.3">
      <c r="D337" s="231"/>
      <c r="E337" s="232"/>
      <c r="F337" s="105"/>
      <c r="G337" s="8"/>
      <c r="H337" s="105"/>
    </row>
    <row r="338" spans="4:8" ht="16.5" x14ac:dyDescent="0.3">
      <c r="D338" s="231"/>
      <c r="E338" s="232"/>
      <c r="F338" s="105"/>
      <c r="G338" s="8"/>
      <c r="H338" s="105"/>
    </row>
    <row r="339" spans="4:8" ht="16.5" x14ac:dyDescent="0.3">
      <c r="D339" s="231"/>
      <c r="E339" s="232"/>
      <c r="F339" s="105"/>
      <c r="G339" s="8"/>
      <c r="H339" s="105"/>
    </row>
    <row r="340" spans="4:8" ht="16.5" x14ac:dyDescent="0.3">
      <c r="D340" s="231"/>
      <c r="E340" s="232"/>
      <c r="F340" s="105"/>
      <c r="G340" s="8"/>
      <c r="H340" s="105"/>
    </row>
    <row r="341" spans="4:8" ht="16.5" x14ac:dyDescent="0.3">
      <c r="D341" s="231"/>
      <c r="E341" s="232"/>
      <c r="F341" s="105"/>
      <c r="G341" s="8"/>
      <c r="H341" s="105"/>
    </row>
    <row r="342" spans="4:8" ht="16.5" x14ac:dyDescent="0.3">
      <c r="D342" s="231"/>
      <c r="E342" s="232"/>
      <c r="F342" s="105"/>
      <c r="G342" s="8"/>
      <c r="H342" s="105"/>
    </row>
    <row r="343" spans="4:8" ht="16.5" x14ac:dyDescent="0.3">
      <c r="D343" s="231"/>
      <c r="E343" s="232"/>
      <c r="F343" s="105"/>
      <c r="G343" s="8"/>
      <c r="H343" s="105"/>
    </row>
    <row r="344" spans="4:8" ht="16.5" x14ac:dyDescent="0.3">
      <c r="D344" s="231"/>
      <c r="E344" s="232"/>
      <c r="F344" s="105"/>
      <c r="G344" s="8"/>
      <c r="H344" s="105"/>
    </row>
    <row r="345" spans="4:8" ht="16.5" x14ac:dyDescent="0.3">
      <c r="D345" s="231"/>
      <c r="E345" s="232"/>
      <c r="F345" s="105"/>
      <c r="G345" s="8"/>
      <c r="H345" s="105"/>
    </row>
    <row r="346" spans="4:8" ht="16.5" x14ac:dyDescent="0.3">
      <c r="D346" s="231"/>
      <c r="E346" s="232"/>
      <c r="F346" s="105"/>
      <c r="G346" s="8"/>
      <c r="H346" s="105"/>
    </row>
    <row r="347" spans="4:8" ht="16.5" x14ac:dyDescent="0.3">
      <c r="D347" s="231"/>
      <c r="E347" s="232"/>
      <c r="F347" s="105"/>
      <c r="G347" s="8"/>
      <c r="H347" s="105"/>
    </row>
    <row r="348" spans="4:8" ht="16.5" x14ac:dyDescent="0.3">
      <c r="D348" s="231"/>
      <c r="E348" s="232"/>
      <c r="F348" s="105"/>
      <c r="G348" s="8"/>
      <c r="H348" s="105"/>
    </row>
    <row r="349" spans="4:8" ht="16.5" x14ac:dyDescent="0.3">
      <c r="D349" s="231"/>
      <c r="E349" s="232"/>
      <c r="F349" s="105"/>
      <c r="G349" s="8"/>
      <c r="H349" s="105"/>
    </row>
    <row r="350" spans="4:8" ht="16.5" x14ac:dyDescent="0.3">
      <c r="D350" s="231"/>
      <c r="E350" s="232"/>
      <c r="F350" s="105"/>
      <c r="G350" s="8"/>
      <c r="H350" s="105"/>
    </row>
    <row r="351" spans="4:8" ht="16.5" x14ac:dyDescent="0.3">
      <c r="D351" s="231"/>
      <c r="E351" s="232"/>
      <c r="F351" s="105"/>
      <c r="G351" s="8"/>
      <c r="H351" s="105"/>
    </row>
    <row r="352" spans="4:8" ht="16.5" x14ac:dyDescent="0.3">
      <c r="D352" s="231"/>
      <c r="E352" s="232"/>
      <c r="F352" s="105"/>
      <c r="G352" s="8"/>
      <c r="H352" s="105"/>
    </row>
    <row r="353" spans="4:8" ht="16.5" x14ac:dyDescent="0.3">
      <c r="D353" s="231"/>
      <c r="E353" s="232"/>
      <c r="F353" s="105"/>
      <c r="G353" s="8"/>
      <c r="H353" s="105"/>
    </row>
    <row r="354" spans="4:8" ht="16.5" x14ac:dyDescent="0.3">
      <c r="D354" s="231"/>
      <c r="E354" s="232"/>
      <c r="F354" s="105"/>
      <c r="G354" s="8"/>
      <c r="H354" s="105"/>
    </row>
    <row r="355" spans="4:8" ht="16.5" x14ac:dyDescent="0.3">
      <c r="D355" s="231"/>
      <c r="E355" s="232"/>
      <c r="F355" s="105"/>
      <c r="G355" s="8"/>
      <c r="H355" s="105"/>
    </row>
    <row r="356" spans="4:8" ht="16.5" x14ac:dyDescent="0.3">
      <c r="D356" s="231"/>
      <c r="E356" s="232"/>
      <c r="F356" s="105"/>
      <c r="G356" s="8"/>
      <c r="H356" s="105"/>
    </row>
    <row r="357" spans="4:8" ht="16.5" x14ac:dyDescent="0.3">
      <c r="D357" s="231"/>
      <c r="E357" s="232"/>
      <c r="F357" s="105"/>
      <c r="G357" s="8"/>
      <c r="H357" s="105"/>
    </row>
    <row r="358" spans="4:8" ht="16.5" x14ac:dyDescent="0.3">
      <c r="D358" s="231"/>
      <c r="E358" s="232"/>
      <c r="F358" s="105"/>
      <c r="G358" s="8"/>
      <c r="H358" s="105"/>
    </row>
    <row r="359" spans="4:8" ht="16.5" x14ac:dyDescent="0.3">
      <c r="D359" s="231"/>
      <c r="E359" s="232"/>
      <c r="F359" s="105"/>
      <c r="G359" s="8"/>
      <c r="H359" s="105"/>
    </row>
    <row r="360" spans="4:8" ht="16.5" x14ac:dyDescent="0.3">
      <c r="D360" s="231"/>
      <c r="E360" s="232"/>
      <c r="F360" s="105"/>
      <c r="G360" s="8"/>
      <c r="H360" s="105"/>
    </row>
    <row r="361" spans="4:8" ht="16.5" x14ac:dyDescent="0.3">
      <c r="D361" s="231"/>
      <c r="E361" s="232"/>
      <c r="F361" s="105"/>
      <c r="G361" s="8"/>
      <c r="H361" s="105"/>
    </row>
    <row r="362" spans="4:8" ht="16.5" x14ac:dyDescent="0.3">
      <c r="D362" s="231"/>
      <c r="E362" s="232"/>
      <c r="F362" s="105"/>
      <c r="G362" s="8"/>
      <c r="H362" s="105"/>
    </row>
    <row r="363" spans="4:8" ht="16.5" x14ac:dyDescent="0.3">
      <c r="D363" s="231"/>
      <c r="E363" s="232"/>
      <c r="F363" s="105"/>
      <c r="G363" s="8"/>
      <c r="H363" s="105"/>
    </row>
    <row r="364" spans="4:8" ht="16.5" x14ac:dyDescent="0.3">
      <c r="D364" s="231"/>
      <c r="E364" s="232"/>
      <c r="F364" s="105"/>
      <c r="G364" s="8"/>
      <c r="H364" s="105"/>
    </row>
    <row r="365" spans="4:8" ht="16.5" x14ac:dyDescent="0.3">
      <c r="D365" s="231"/>
      <c r="E365" s="232"/>
      <c r="F365" s="105"/>
      <c r="G365" s="8"/>
      <c r="H365" s="105"/>
    </row>
    <row r="366" spans="4:8" ht="16.5" x14ac:dyDescent="0.3">
      <c r="D366" s="231"/>
      <c r="E366" s="232"/>
      <c r="F366" s="105"/>
      <c r="G366" s="8"/>
      <c r="H366" s="105"/>
    </row>
    <row r="367" spans="4:8" ht="16.5" x14ac:dyDescent="0.3">
      <c r="D367" s="231"/>
      <c r="E367" s="232"/>
      <c r="F367" s="105"/>
      <c r="G367" s="8"/>
      <c r="H367" s="105"/>
    </row>
    <row r="368" spans="4:8" ht="16.5" x14ac:dyDescent="0.3">
      <c r="D368" s="231"/>
      <c r="E368" s="232"/>
      <c r="F368" s="105"/>
      <c r="G368" s="8"/>
      <c r="H368" s="105"/>
    </row>
    <row r="369" spans="4:8" ht="16.5" x14ac:dyDescent="0.3">
      <c r="D369" s="231"/>
      <c r="E369" s="232"/>
      <c r="F369" s="105"/>
      <c r="G369" s="8"/>
      <c r="H369" s="105"/>
    </row>
    <row r="370" spans="4:8" ht="16.5" x14ac:dyDescent="0.3">
      <c r="D370" s="231"/>
      <c r="E370" s="232"/>
      <c r="F370" s="105"/>
      <c r="G370" s="8"/>
      <c r="H370" s="105"/>
    </row>
    <row r="371" spans="4:8" ht="16.5" x14ac:dyDescent="0.3">
      <c r="D371" s="231"/>
      <c r="E371" s="232"/>
      <c r="F371" s="105"/>
      <c r="G371" s="8"/>
      <c r="H371" s="105"/>
    </row>
    <row r="372" spans="4:8" ht="16.5" x14ac:dyDescent="0.3">
      <c r="D372" s="231"/>
      <c r="E372" s="232"/>
      <c r="F372" s="105"/>
      <c r="G372" s="8"/>
      <c r="H372" s="105"/>
    </row>
    <row r="373" spans="4:8" ht="16.5" x14ac:dyDescent="0.3">
      <c r="D373" s="231"/>
      <c r="E373" s="232"/>
      <c r="F373" s="105"/>
      <c r="G373" s="8"/>
      <c r="H373" s="105"/>
    </row>
    <row r="374" spans="4:8" ht="16.5" x14ac:dyDescent="0.3">
      <c r="D374" s="231"/>
      <c r="E374" s="232"/>
      <c r="F374" s="105"/>
      <c r="G374" s="8"/>
      <c r="H374" s="105"/>
    </row>
    <row r="375" spans="4:8" ht="16.5" x14ac:dyDescent="0.3">
      <c r="D375" s="231"/>
      <c r="E375" s="232"/>
      <c r="F375" s="105"/>
      <c r="G375" s="8"/>
      <c r="H375" s="105"/>
    </row>
    <row r="376" spans="4:8" ht="16.5" x14ac:dyDescent="0.3">
      <c r="D376" s="231"/>
      <c r="E376" s="232"/>
      <c r="F376" s="105"/>
      <c r="G376" s="8"/>
      <c r="H376" s="105"/>
    </row>
    <row r="377" spans="4:8" ht="16.5" x14ac:dyDescent="0.3">
      <c r="D377" s="231"/>
      <c r="E377" s="232"/>
      <c r="F377" s="105"/>
      <c r="G377" s="8"/>
      <c r="H377" s="105"/>
    </row>
    <row r="378" spans="4:8" ht="16.5" x14ac:dyDescent="0.3">
      <c r="D378" s="231"/>
      <c r="E378" s="232"/>
      <c r="F378" s="105"/>
      <c r="G378" s="8"/>
      <c r="H378" s="105"/>
    </row>
    <row r="379" spans="4:8" ht="16.5" x14ac:dyDescent="0.3">
      <c r="D379" s="231"/>
      <c r="E379" s="232"/>
      <c r="F379" s="105"/>
      <c r="G379" s="8"/>
      <c r="H379" s="105"/>
    </row>
    <row r="380" spans="4:8" ht="16.5" x14ac:dyDescent="0.3">
      <c r="D380" s="231"/>
      <c r="E380" s="232"/>
      <c r="F380" s="105"/>
      <c r="G380" s="8"/>
      <c r="H380" s="105"/>
    </row>
    <row r="381" spans="4:8" ht="16.5" x14ac:dyDescent="0.3">
      <c r="D381" s="231"/>
      <c r="E381" s="232"/>
      <c r="F381" s="105"/>
      <c r="G381" s="8"/>
      <c r="H381" s="105"/>
    </row>
    <row r="382" spans="4:8" ht="16.5" x14ac:dyDescent="0.3">
      <c r="D382" s="231"/>
      <c r="E382" s="232"/>
      <c r="F382" s="105"/>
      <c r="G382" s="8"/>
      <c r="H382" s="105"/>
    </row>
    <row r="383" spans="4:8" ht="16.5" x14ac:dyDescent="0.3">
      <c r="D383" s="231"/>
      <c r="E383" s="232"/>
      <c r="F383" s="105"/>
      <c r="G383" s="8"/>
      <c r="H383" s="105"/>
    </row>
    <row r="384" spans="4:8" ht="16.5" x14ac:dyDescent="0.3">
      <c r="D384" s="231"/>
      <c r="E384" s="232"/>
      <c r="F384" s="105"/>
      <c r="G384" s="8"/>
      <c r="H384" s="105"/>
    </row>
    <row r="385" spans="4:8" ht="16.5" x14ac:dyDescent="0.3">
      <c r="D385" s="231"/>
      <c r="E385" s="232"/>
      <c r="F385" s="105"/>
      <c r="G385" s="8"/>
      <c r="H385" s="105"/>
    </row>
    <row r="386" spans="4:8" ht="16.5" x14ac:dyDescent="0.3">
      <c r="D386" s="231"/>
      <c r="E386" s="232"/>
      <c r="F386" s="105"/>
      <c r="G386" s="8"/>
      <c r="H386" s="105"/>
    </row>
    <row r="387" spans="4:8" ht="16.5" x14ac:dyDescent="0.3">
      <c r="D387" s="231"/>
      <c r="E387" s="232"/>
      <c r="F387" s="105"/>
      <c r="G387" s="8"/>
      <c r="H387" s="105"/>
    </row>
    <row r="388" spans="4:8" ht="16.5" x14ac:dyDescent="0.3">
      <c r="D388" s="231"/>
      <c r="E388" s="232"/>
      <c r="F388" s="105"/>
      <c r="G388" s="8"/>
      <c r="H388" s="105"/>
    </row>
    <row r="389" spans="4:8" ht="16.5" x14ac:dyDescent="0.3">
      <c r="D389" s="231"/>
      <c r="E389" s="232"/>
      <c r="F389" s="105"/>
      <c r="G389" s="8"/>
      <c r="H389" s="105"/>
    </row>
    <row r="390" spans="4:8" ht="16.5" x14ac:dyDescent="0.3">
      <c r="D390" s="231"/>
      <c r="E390" s="232"/>
      <c r="F390" s="105"/>
      <c r="G390" s="8"/>
      <c r="H390" s="105"/>
    </row>
    <row r="391" spans="4:8" ht="16.5" x14ac:dyDescent="0.3">
      <c r="D391" s="231"/>
      <c r="E391" s="232"/>
      <c r="F391" s="105"/>
      <c r="G391" s="8"/>
      <c r="H391" s="105"/>
    </row>
    <row r="392" spans="4:8" ht="16.5" x14ac:dyDescent="0.3">
      <c r="D392" s="231"/>
      <c r="E392" s="232"/>
      <c r="F392" s="105"/>
      <c r="G392" s="8"/>
      <c r="H392" s="105"/>
    </row>
    <row r="393" spans="4:8" ht="16.5" x14ac:dyDescent="0.3">
      <c r="D393" s="231"/>
      <c r="E393" s="232"/>
      <c r="F393" s="105"/>
      <c r="G393" s="8"/>
      <c r="H393" s="105"/>
    </row>
    <row r="394" spans="4:8" ht="16.5" x14ac:dyDescent="0.3">
      <c r="D394" s="231"/>
      <c r="E394" s="232"/>
      <c r="F394" s="105"/>
      <c r="G394" s="8"/>
      <c r="H394" s="105"/>
    </row>
    <row r="395" spans="4:8" ht="16.5" x14ac:dyDescent="0.3">
      <c r="D395" s="231"/>
      <c r="E395" s="232"/>
      <c r="F395" s="105"/>
      <c r="G395" s="8"/>
      <c r="H395" s="105"/>
    </row>
    <row r="396" spans="4:8" ht="16.5" x14ac:dyDescent="0.3">
      <c r="D396" s="231"/>
      <c r="E396" s="232"/>
      <c r="F396" s="105"/>
      <c r="G396" s="8"/>
      <c r="H396" s="105"/>
    </row>
    <row r="397" spans="4:8" ht="16.5" x14ac:dyDescent="0.3">
      <c r="D397" s="231"/>
      <c r="E397" s="232"/>
      <c r="F397" s="105"/>
      <c r="G397" s="8"/>
      <c r="H397" s="105"/>
    </row>
    <row r="398" spans="4:8" ht="16.5" x14ac:dyDescent="0.3">
      <c r="D398" s="231"/>
      <c r="E398" s="232"/>
      <c r="F398" s="105"/>
      <c r="G398" s="8"/>
      <c r="H398" s="105"/>
    </row>
    <row r="399" spans="4:8" ht="16.5" x14ac:dyDescent="0.3">
      <c r="D399" s="231"/>
      <c r="E399" s="232"/>
      <c r="F399" s="105"/>
      <c r="G399" s="8"/>
      <c r="H399" s="105"/>
    </row>
    <row r="400" spans="4:8" ht="16.5" x14ac:dyDescent="0.3">
      <c r="D400" s="231"/>
      <c r="E400" s="232"/>
      <c r="F400" s="105"/>
      <c r="G400" s="8"/>
      <c r="H400" s="105"/>
    </row>
    <row r="401" spans="4:8" ht="16.5" x14ac:dyDescent="0.3">
      <c r="D401" s="231"/>
      <c r="E401" s="232"/>
      <c r="F401" s="105"/>
      <c r="G401" s="8"/>
      <c r="H401" s="105"/>
    </row>
    <row r="402" spans="4:8" ht="16.5" x14ac:dyDescent="0.3">
      <c r="D402" s="231"/>
      <c r="E402" s="232"/>
      <c r="F402" s="105"/>
      <c r="G402" s="8"/>
      <c r="H402" s="105"/>
    </row>
    <row r="403" spans="4:8" ht="16.5" x14ac:dyDescent="0.3">
      <c r="D403" s="231"/>
      <c r="E403" s="232"/>
      <c r="F403" s="105"/>
      <c r="G403" s="8"/>
      <c r="H403" s="105"/>
    </row>
    <row r="404" spans="4:8" ht="16.5" x14ac:dyDescent="0.3">
      <c r="D404" s="231"/>
      <c r="E404" s="232"/>
      <c r="F404" s="105"/>
      <c r="G404" s="8"/>
      <c r="H404" s="105"/>
    </row>
    <row r="405" spans="4:8" ht="16.5" x14ac:dyDescent="0.3">
      <c r="D405" s="231"/>
      <c r="E405" s="232"/>
      <c r="F405" s="105"/>
      <c r="G405" s="8"/>
      <c r="H405" s="105"/>
    </row>
    <row r="406" spans="4:8" ht="16.5" x14ac:dyDescent="0.3">
      <c r="D406" s="231"/>
      <c r="E406" s="232"/>
      <c r="F406" s="105"/>
      <c r="G406" s="8"/>
      <c r="H406" s="105"/>
    </row>
    <row r="407" spans="4:8" ht="16.5" x14ac:dyDescent="0.3">
      <c r="D407" s="231"/>
      <c r="E407" s="232"/>
      <c r="F407" s="105"/>
      <c r="G407" s="8"/>
      <c r="H407" s="105"/>
    </row>
    <row r="408" spans="4:8" ht="16.5" x14ac:dyDescent="0.3">
      <c r="D408" s="231"/>
      <c r="E408" s="232"/>
      <c r="F408" s="105"/>
      <c r="G408" s="8"/>
      <c r="H408" s="105"/>
    </row>
    <row r="409" spans="4:8" ht="16.5" x14ac:dyDescent="0.3">
      <c r="D409" s="231"/>
      <c r="E409" s="232"/>
      <c r="F409" s="105"/>
      <c r="G409" s="8"/>
      <c r="H409" s="105"/>
    </row>
    <row r="410" spans="4:8" ht="16.5" x14ac:dyDescent="0.3">
      <c r="D410" s="231"/>
      <c r="E410" s="232"/>
      <c r="F410" s="105"/>
      <c r="G410" s="8"/>
      <c r="H410" s="105"/>
    </row>
    <row r="411" spans="4:8" ht="16.5" x14ac:dyDescent="0.3">
      <c r="D411" s="231"/>
      <c r="E411" s="232"/>
      <c r="F411" s="105"/>
      <c r="G411" s="8"/>
      <c r="H411" s="105"/>
    </row>
    <row r="412" spans="4:8" ht="16.5" x14ac:dyDescent="0.3">
      <c r="D412" s="231"/>
      <c r="E412" s="232"/>
      <c r="F412" s="105"/>
      <c r="G412" s="8"/>
      <c r="H412" s="105"/>
    </row>
    <row r="413" spans="4:8" ht="16.5" x14ac:dyDescent="0.3">
      <c r="D413" s="231"/>
      <c r="E413" s="232"/>
      <c r="F413" s="105"/>
      <c r="G413" s="8"/>
      <c r="H413" s="105"/>
    </row>
    <row r="414" spans="4:8" ht="16.5" x14ac:dyDescent="0.3">
      <c r="D414" s="231"/>
      <c r="E414" s="232"/>
      <c r="F414" s="105"/>
      <c r="G414" s="8"/>
      <c r="H414" s="105"/>
    </row>
    <row r="415" spans="4:8" ht="16.5" x14ac:dyDescent="0.3">
      <c r="D415" s="231"/>
      <c r="E415" s="232"/>
      <c r="F415" s="105"/>
      <c r="G415" s="8"/>
      <c r="H415" s="105"/>
    </row>
    <row r="416" spans="4:8" ht="16.5" x14ac:dyDescent="0.3">
      <c r="D416" s="231"/>
      <c r="E416" s="232"/>
      <c r="F416" s="105"/>
      <c r="G416" s="8"/>
      <c r="H416" s="105"/>
    </row>
    <row r="417" spans="4:8" ht="16.5" x14ac:dyDescent="0.3">
      <c r="D417" s="231"/>
      <c r="E417" s="232"/>
      <c r="F417" s="105"/>
      <c r="G417" s="8"/>
      <c r="H417" s="105"/>
    </row>
    <row r="418" spans="4:8" ht="16.5" x14ac:dyDescent="0.3">
      <c r="D418" s="231"/>
      <c r="E418" s="232"/>
      <c r="F418" s="105"/>
      <c r="G418" s="8"/>
      <c r="H418" s="105"/>
    </row>
    <row r="419" spans="4:8" ht="16.5" x14ac:dyDescent="0.3">
      <c r="D419" s="231"/>
      <c r="E419" s="232"/>
      <c r="F419" s="105"/>
      <c r="G419" s="8"/>
      <c r="H419" s="105"/>
    </row>
    <row r="420" spans="4:8" ht="16.5" x14ac:dyDescent="0.3">
      <c r="D420" s="231"/>
      <c r="E420" s="232"/>
      <c r="F420" s="105"/>
      <c r="G420" s="8"/>
      <c r="H420" s="105"/>
    </row>
    <row r="421" spans="4:8" ht="16.5" x14ac:dyDescent="0.3">
      <c r="D421" s="231"/>
      <c r="E421" s="232"/>
      <c r="F421" s="105"/>
      <c r="G421" s="8"/>
      <c r="H421" s="105"/>
    </row>
    <row r="422" spans="4:8" ht="16.5" x14ac:dyDescent="0.3">
      <c r="D422" s="231"/>
      <c r="E422" s="232"/>
      <c r="F422" s="105"/>
      <c r="G422" s="8"/>
      <c r="H422" s="105"/>
    </row>
    <row r="423" spans="4:8" ht="16.5" x14ac:dyDescent="0.3">
      <c r="D423" s="231"/>
      <c r="E423" s="232"/>
      <c r="F423" s="105"/>
      <c r="G423" s="8"/>
      <c r="H423" s="105"/>
    </row>
    <row r="424" spans="4:8" ht="16.5" x14ac:dyDescent="0.3">
      <c r="D424" s="231"/>
      <c r="E424" s="232"/>
      <c r="F424" s="105"/>
      <c r="G424" s="8"/>
      <c r="H424" s="105"/>
    </row>
    <row r="425" spans="4:8" ht="16.5" x14ac:dyDescent="0.3">
      <c r="D425" s="231"/>
      <c r="E425" s="232"/>
      <c r="F425" s="105"/>
      <c r="G425" s="8"/>
      <c r="H425" s="105"/>
    </row>
    <row r="426" spans="4:8" ht="16.5" x14ac:dyDescent="0.3">
      <c r="D426" s="231"/>
      <c r="E426" s="232"/>
      <c r="F426" s="105"/>
      <c r="G426" s="8"/>
      <c r="H426" s="105"/>
    </row>
    <row r="427" spans="4:8" ht="16.5" x14ac:dyDescent="0.3">
      <c r="D427" s="231"/>
      <c r="E427" s="232"/>
      <c r="F427" s="105"/>
      <c r="G427" s="8"/>
      <c r="H427" s="105"/>
    </row>
    <row r="428" spans="4:8" ht="16.5" x14ac:dyDescent="0.3">
      <c r="D428" s="231"/>
      <c r="E428" s="232"/>
      <c r="F428" s="105"/>
      <c r="G428" s="8"/>
      <c r="H428" s="105"/>
    </row>
    <row r="429" spans="4:8" ht="16.5" x14ac:dyDescent="0.3">
      <c r="D429" s="231"/>
      <c r="E429" s="232"/>
      <c r="F429" s="105"/>
      <c r="G429" s="8"/>
      <c r="H429" s="105"/>
    </row>
    <row r="430" spans="4:8" ht="16.5" x14ac:dyDescent="0.3">
      <c r="D430" s="231"/>
      <c r="E430" s="232"/>
      <c r="F430" s="105"/>
      <c r="G430" s="8"/>
      <c r="H430" s="105"/>
    </row>
    <row r="431" spans="4:8" ht="16.5" x14ac:dyDescent="0.3">
      <c r="D431" s="231"/>
      <c r="E431" s="232"/>
      <c r="F431" s="105"/>
      <c r="G431" s="8"/>
      <c r="H431" s="105"/>
    </row>
    <row r="432" spans="4:8" ht="16.5" x14ac:dyDescent="0.3">
      <c r="D432" s="231"/>
      <c r="E432" s="232"/>
      <c r="F432" s="105"/>
      <c r="G432" s="8"/>
      <c r="H432" s="105"/>
    </row>
    <row r="433" spans="4:8" ht="16.5" x14ac:dyDescent="0.3">
      <c r="D433" s="231"/>
      <c r="E433" s="232"/>
      <c r="F433" s="105"/>
      <c r="G433" s="8"/>
      <c r="H433" s="105"/>
    </row>
    <row r="434" spans="4:8" ht="16.5" x14ac:dyDescent="0.3">
      <c r="D434" s="231"/>
      <c r="E434" s="232"/>
      <c r="F434" s="105"/>
      <c r="G434" s="8"/>
      <c r="H434" s="105"/>
    </row>
    <row r="435" spans="4:8" ht="16.5" x14ac:dyDescent="0.3">
      <c r="D435" s="231"/>
      <c r="E435" s="232"/>
      <c r="F435" s="105"/>
      <c r="G435" s="8"/>
      <c r="H435" s="105"/>
    </row>
    <row r="436" spans="4:8" ht="16.5" x14ac:dyDescent="0.3">
      <c r="D436" s="231"/>
      <c r="E436" s="232"/>
      <c r="F436" s="105"/>
      <c r="G436" s="8"/>
      <c r="H436" s="105"/>
    </row>
    <row r="437" spans="4:8" ht="16.5" x14ac:dyDescent="0.3">
      <c r="D437" s="231"/>
      <c r="E437" s="232"/>
      <c r="F437" s="105"/>
      <c r="G437" s="8"/>
      <c r="H437" s="105"/>
    </row>
    <row r="438" spans="4:8" ht="16.5" x14ac:dyDescent="0.3">
      <c r="D438" s="231"/>
      <c r="E438" s="232"/>
      <c r="F438" s="105"/>
      <c r="G438" s="8"/>
      <c r="H438" s="105"/>
    </row>
    <row r="439" spans="4:8" ht="16.5" x14ac:dyDescent="0.3">
      <c r="D439" s="231"/>
      <c r="E439" s="232"/>
      <c r="F439" s="105"/>
      <c r="G439" s="8"/>
      <c r="H439" s="105"/>
    </row>
    <row r="440" spans="4:8" ht="16.5" x14ac:dyDescent="0.3">
      <c r="D440" s="231"/>
      <c r="E440" s="232"/>
      <c r="F440" s="105"/>
      <c r="G440" s="8"/>
      <c r="H440" s="105"/>
    </row>
    <row r="441" spans="4:8" ht="16.5" x14ac:dyDescent="0.3">
      <c r="D441" s="231"/>
      <c r="E441" s="232"/>
      <c r="F441" s="105"/>
      <c r="G441" s="8"/>
      <c r="H441" s="105"/>
    </row>
    <row r="442" spans="4:8" ht="16.5" x14ac:dyDescent="0.3">
      <c r="D442" s="231"/>
      <c r="E442" s="232"/>
      <c r="F442" s="105"/>
      <c r="G442" s="8"/>
      <c r="H442" s="105"/>
    </row>
    <row r="443" spans="4:8" ht="16.5" x14ac:dyDescent="0.3">
      <c r="D443" s="231"/>
      <c r="E443" s="232"/>
      <c r="F443" s="105"/>
      <c r="G443" s="8"/>
      <c r="H443" s="105"/>
    </row>
    <row r="444" spans="4:8" ht="16.5" x14ac:dyDescent="0.3">
      <c r="D444" s="231"/>
      <c r="E444" s="232"/>
      <c r="F444" s="105"/>
      <c r="G444" s="8"/>
      <c r="H444" s="105"/>
    </row>
    <row r="445" spans="4:8" ht="16.5" x14ac:dyDescent="0.3">
      <c r="D445" s="231"/>
      <c r="E445" s="232"/>
      <c r="F445" s="105"/>
      <c r="G445" s="8"/>
      <c r="H445" s="105"/>
    </row>
    <row r="446" spans="4:8" ht="16.5" x14ac:dyDescent="0.3">
      <c r="F446" s="77"/>
      <c r="H446" s="226"/>
    </row>
  </sheetData>
  <pageMargins left="0.7" right="0.7" top="0.75" bottom="0.75" header="0.3" footer="0.3"/>
  <pageSetup orientation="portrait" horizontalDpi="300" verticalDpi="0" copies="0" r:id="rId1"/>
  <ignoredErrors>
    <ignoredError sqref="L8:L9"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AA29-2675-494E-AE24-4796472EF72F}">
  <dimension ref="A6:P46"/>
  <sheetViews>
    <sheetView showGridLines="0" topLeftCell="A10" zoomScaleNormal="100" workbookViewId="0">
      <selection activeCell="K28" sqref="K28"/>
    </sheetView>
  </sheetViews>
  <sheetFormatPr defaultRowHeight="15" x14ac:dyDescent="0.25"/>
  <cols>
    <col min="1" max="3" width="1.28515625" customWidth="1"/>
    <col min="7" max="7" width="35.140625" customWidth="1"/>
    <col min="9" max="9" width="22.5703125" bestFit="1" customWidth="1"/>
    <col min="10" max="10" width="15.28515625" customWidth="1"/>
    <col min="11" max="11" width="11.85546875" customWidth="1"/>
    <col min="12" max="12" width="12.28515625" customWidth="1"/>
    <col min="13" max="13" width="11.140625" customWidth="1"/>
    <col min="14" max="14" width="11.28515625" customWidth="1"/>
    <col min="15" max="15" width="10.5703125" bestFit="1" customWidth="1"/>
  </cols>
  <sheetData>
    <row r="6" spans="1:16" ht="31.5" x14ac:dyDescent="0.5">
      <c r="A6" s="115" t="str">
        <f>Model!A6</f>
        <v>CESC Limited</v>
      </c>
      <c r="B6" s="118"/>
      <c r="C6" s="118"/>
      <c r="D6" s="112"/>
      <c r="E6" s="112"/>
      <c r="F6" s="112"/>
      <c r="G6" s="112"/>
      <c r="H6" s="112"/>
      <c r="I6" s="112"/>
      <c r="J6" s="112"/>
      <c r="K6" s="112"/>
      <c r="L6" s="112"/>
      <c r="M6" s="112"/>
      <c r="N6" s="112"/>
      <c r="O6" s="112"/>
    </row>
    <row r="7" spans="1:16" ht="21" x14ac:dyDescent="0.35">
      <c r="A7" s="125" t="s">
        <v>323</v>
      </c>
      <c r="B7" s="112"/>
      <c r="C7" s="112"/>
      <c r="D7" s="112"/>
      <c r="E7" s="112"/>
      <c r="F7" s="112"/>
      <c r="G7" s="112"/>
      <c r="H7" s="112"/>
      <c r="I7" s="112"/>
      <c r="J7" s="112"/>
      <c r="K7" s="112"/>
      <c r="L7" s="112"/>
      <c r="M7" s="112"/>
      <c r="N7" s="112"/>
      <c r="O7" s="112"/>
    </row>
    <row r="9" spans="1:16" x14ac:dyDescent="0.25">
      <c r="A9" s="113"/>
      <c r="B9" s="152"/>
      <c r="C9" s="152"/>
      <c r="D9" s="152" t="s">
        <v>273</v>
      </c>
      <c r="E9" s="152"/>
      <c r="F9" s="152"/>
      <c r="G9" s="152"/>
      <c r="H9" s="152"/>
      <c r="I9" s="152"/>
      <c r="J9" s="152"/>
      <c r="K9" s="152"/>
      <c r="L9" s="152"/>
      <c r="M9" s="152"/>
      <c r="N9" s="152"/>
      <c r="O9" s="152"/>
    </row>
    <row r="10" spans="1:16" ht="16.5" x14ac:dyDescent="0.3">
      <c r="D10" s="24"/>
      <c r="E10" s="24"/>
      <c r="F10" s="24"/>
      <c r="G10" s="24"/>
      <c r="H10" s="24"/>
      <c r="I10" s="24"/>
      <c r="J10" s="24"/>
      <c r="K10" s="24"/>
      <c r="L10" s="24"/>
      <c r="M10" s="24"/>
      <c r="N10" s="24"/>
    </row>
    <row r="11" spans="1:16" ht="16.5" x14ac:dyDescent="0.3">
      <c r="D11" s="24"/>
      <c r="E11" s="24"/>
      <c r="F11" s="5"/>
      <c r="G11" s="5"/>
      <c r="H11" s="32"/>
      <c r="I11" s="32" t="s">
        <v>50</v>
      </c>
      <c r="J11" s="32" t="s">
        <v>275</v>
      </c>
      <c r="K11" s="32" t="s">
        <v>276</v>
      </c>
      <c r="L11" s="32" t="s">
        <v>276</v>
      </c>
      <c r="M11" s="32" t="s">
        <v>259</v>
      </c>
      <c r="N11" s="32" t="s">
        <v>277</v>
      </c>
      <c r="O11" s="32" t="s">
        <v>278</v>
      </c>
      <c r="P11" s="24"/>
    </row>
    <row r="12" spans="1:16" ht="16.5" x14ac:dyDescent="0.3">
      <c r="D12" s="24"/>
      <c r="E12" s="24"/>
      <c r="F12" s="5"/>
      <c r="G12" s="26" t="s">
        <v>274</v>
      </c>
      <c r="H12" s="79"/>
      <c r="I12" s="79" t="s">
        <v>279</v>
      </c>
      <c r="J12" s="79" t="s">
        <v>153</v>
      </c>
      <c r="K12" s="79" t="s">
        <v>50</v>
      </c>
      <c r="L12" s="79" t="s">
        <v>280</v>
      </c>
      <c r="M12" s="79" t="s">
        <v>281</v>
      </c>
      <c r="N12" s="79" t="s">
        <v>282</v>
      </c>
      <c r="O12" s="79" t="s">
        <v>282</v>
      </c>
      <c r="P12" s="24"/>
    </row>
    <row r="13" spans="1:16" ht="16.5" x14ac:dyDescent="0.3">
      <c r="D13" s="24"/>
      <c r="E13" s="24"/>
      <c r="F13" s="24"/>
      <c r="G13" s="24" t="s">
        <v>244</v>
      </c>
      <c r="H13" s="24"/>
      <c r="I13" s="13">
        <f>comps!K11</f>
        <v>81698.600000000006</v>
      </c>
      <c r="J13" s="13">
        <f>comps!L11</f>
        <v>11711.35</v>
      </c>
      <c r="K13" s="74">
        <f t="shared" ref="K13:K16" si="0">J13/I13</f>
        <v>0.14334823362946245</v>
      </c>
      <c r="L13" s="74">
        <f t="shared" ref="L13:L16" si="1">J13/(I13+J13)</f>
        <v>0.12537582987679577</v>
      </c>
      <c r="M13" s="81">
        <f>'comps data'!M12</f>
        <v>0.25919999999999999</v>
      </c>
      <c r="N13" s="82">
        <v>0.39</v>
      </c>
      <c r="O13" s="78">
        <f t="shared" ref="O13:O16" si="2">N13/(1+K13*(1-M13))</f>
        <v>0.35256073903382806</v>
      </c>
      <c r="P13" s="24"/>
    </row>
    <row r="14" spans="1:16" ht="16.5" x14ac:dyDescent="0.3">
      <c r="D14" s="24"/>
      <c r="E14" s="24"/>
      <c r="F14" s="24"/>
      <c r="G14" s="24" t="s">
        <v>247</v>
      </c>
      <c r="H14" s="24"/>
      <c r="I14" s="13">
        <f>comps!K12</f>
        <v>51806.602960000004</v>
      </c>
      <c r="J14" s="13">
        <f>comps!L12</f>
        <v>20462.189999999999</v>
      </c>
      <c r="K14" s="74">
        <f t="shared" si="0"/>
        <v>0.39497262570562486</v>
      </c>
      <c r="L14" s="74">
        <f t="shared" si="1"/>
        <v>0.28314005481350157</v>
      </c>
      <c r="M14" s="81">
        <f>'comps data'!M13</f>
        <v>0.21640000000000001</v>
      </c>
      <c r="N14" s="82">
        <v>0.43</v>
      </c>
      <c r="O14" s="78">
        <f t="shared" si="2"/>
        <v>0.32836946892708324</v>
      </c>
      <c r="P14" s="24"/>
    </row>
    <row r="15" spans="1:16" ht="16.5" x14ac:dyDescent="0.3">
      <c r="D15" s="24"/>
      <c r="E15" s="24"/>
      <c r="F15" s="24"/>
      <c r="G15" s="24" t="s">
        <v>250</v>
      </c>
      <c r="H15" s="24"/>
      <c r="I15" s="13">
        <f>comps!K13</f>
        <v>10562.9462</v>
      </c>
      <c r="J15" s="13">
        <f>comps!L13</f>
        <v>0</v>
      </c>
      <c r="K15" s="74">
        <f t="shared" si="0"/>
        <v>0</v>
      </c>
      <c r="L15" s="74">
        <f t="shared" si="1"/>
        <v>0</v>
      </c>
      <c r="M15" s="81">
        <f>'comps data'!M14</f>
        <v>5.8099999999999999E-2</v>
      </c>
      <c r="N15" s="197">
        <v>0</v>
      </c>
      <c r="O15" s="78">
        <f t="shared" si="2"/>
        <v>0</v>
      </c>
      <c r="P15" s="24"/>
    </row>
    <row r="16" spans="1:16" ht="16.5" x14ac:dyDescent="0.3">
      <c r="D16" s="24"/>
      <c r="E16" s="24"/>
      <c r="F16" s="24"/>
      <c r="G16" s="24" t="s">
        <v>252</v>
      </c>
      <c r="H16" s="24"/>
      <c r="I16" s="13">
        <f>comps!K14</f>
        <v>8272.5799800000004</v>
      </c>
      <c r="J16" s="13">
        <f>comps!L14</f>
        <v>9807.9509999999991</v>
      </c>
      <c r="K16" s="74">
        <f t="shared" si="0"/>
        <v>1.1855976036148277</v>
      </c>
      <c r="L16" s="74">
        <f t="shared" si="1"/>
        <v>0.5424592347895747</v>
      </c>
      <c r="M16" s="81">
        <f>'comps data'!M15</f>
        <v>-5.0200000000000002E-2</v>
      </c>
      <c r="N16" s="82">
        <v>2.23</v>
      </c>
      <c r="O16" s="78">
        <f t="shared" si="2"/>
        <v>0.99326778094358026</v>
      </c>
      <c r="P16" s="24"/>
    </row>
    <row r="17" spans="1:16" ht="15" customHeight="1" x14ac:dyDescent="0.3">
      <c r="D17" s="24"/>
      <c r="E17" s="24"/>
      <c r="F17" s="24"/>
      <c r="G17" s="24"/>
      <c r="H17" s="24"/>
      <c r="I17" s="80"/>
      <c r="J17" s="80"/>
      <c r="K17" s="33"/>
      <c r="L17" s="33"/>
      <c r="M17" s="80"/>
      <c r="N17" s="82"/>
      <c r="O17" s="33"/>
      <c r="P17" s="24"/>
    </row>
    <row r="18" spans="1:16" ht="16.5" x14ac:dyDescent="0.3">
      <c r="A18" s="119"/>
      <c r="B18" s="113"/>
      <c r="C18" s="113"/>
      <c r="D18" s="119"/>
      <c r="E18" s="119"/>
      <c r="F18" s="243"/>
      <c r="G18" s="243" t="s">
        <v>227</v>
      </c>
      <c r="H18" s="243"/>
      <c r="I18" s="244"/>
      <c r="J18" s="244"/>
      <c r="K18" s="245">
        <f>AVERAGE(K13:K16)</f>
        <v>0.43097961573747878</v>
      </c>
      <c r="L18" s="245">
        <f>AVERAGE(L13:L16)</f>
        <v>0.237743779869968</v>
      </c>
      <c r="M18" s="245">
        <f>AVERAGE(M13:M16)</f>
        <v>0.12087500000000001</v>
      </c>
      <c r="N18" s="246">
        <f>AVERAGE(N13:N16)</f>
        <v>0.76249999999999996</v>
      </c>
      <c r="O18" s="246">
        <f>AVERAGE(O13:O16)</f>
        <v>0.41854949722612289</v>
      </c>
      <c r="P18" s="24"/>
    </row>
    <row r="19" spans="1:16" ht="16.5" x14ac:dyDescent="0.3">
      <c r="A19" s="119"/>
      <c r="B19" s="113"/>
      <c r="C19" s="113"/>
      <c r="D19" s="119"/>
      <c r="E19" s="119"/>
      <c r="F19" s="243"/>
      <c r="G19" s="243" t="s">
        <v>260</v>
      </c>
      <c r="H19" s="243"/>
      <c r="I19" s="244"/>
      <c r="J19" s="244"/>
      <c r="K19" s="245">
        <f>MEDIAN(K13:K16)</f>
        <v>0.26916042966754361</v>
      </c>
      <c r="L19" s="245">
        <f>MEDIAN(L13:L16)</f>
        <v>0.20425794234514866</v>
      </c>
      <c r="M19" s="245">
        <f>MEDIAN(M13:M16)</f>
        <v>0.13724999999999998</v>
      </c>
      <c r="N19" s="246">
        <f>MEDIAN(N13:N16)</f>
        <v>0.41000000000000003</v>
      </c>
      <c r="O19" s="246">
        <f>MEDIAN(O13:O16)</f>
        <v>0.34046510398045565</v>
      </c>
      <c r="P19" s="24"/>
    </row>
    <row r="20" spans="1:16" ht="16.5" x14ac:dyDescent="0.3">
      <c r="D20" s="24"/>
      <c r="E20" s="24"/>
      <c r="F20" s="24"/>
      <c r="G20" s="24"/>
      <c r="H20" s="24"/>
      <c r="I20" s="80"/>
      <c r="J20" s="80"/>
      <c r="K20" s="33"/>
      <c r="L20" s="33"/>
      <c r="M20" s="33"/>
      <c r="N20" s="33"/>
      <c r="O20" s="27"/>
    </row>
    <row r="21" spans="1:16" ht="16.5" x14ac:dyDescent="0.3">
      <c r="A21" s="119"/>
      <c r="B21" s="119"/>
      <c r="C21" s="113"/>
      <c r="D21" s="119"/>
      <c r="E21" s="119"/>
      <c r="F21" s="119"/>
      <c r="G21" s="243" t="s">
        <v>119</v>
      </c>
      <c r="H21" s="243"/>
      <c r="I21" s="247">
        <f>comps!K19</f>
        <v>24661.691919999997</v>
      </c>
      <c r="J21" s="247">
        <f>comps!L19</f>
        <v>14643.094000000001</v>
      </c>
      <c r="K21" s="244"/>
      <c r="L21" s="244"/>
      <c r="M21" s="244"/>
      <c r="N21" s="244"/>
      <c r="O21" s="248"/>
    </row>
    <row r="22" spans="1:16" ht="16.5" x14ac:dyDescent="0.3">
      <c r="D22" s="24"/>
      <c r="E22" s="24"/>
      <c r="F22" s="24"/>
      <c r="G22" s="24"/>
      <c r="H22" s="24"/>
      <c r="I22" s="24"/>
      <c r="J22" s="24"/>
      <c r="K22" s="24"/>
      <c r="L22" s="24"/>
      <c r="M22" s="24"/>
      <c r="N22" s="24"/>
    </row>
    <row r="23" spans="1:16" x14ac:dyDescent="0.25">
      <c r="C23" s="113"/>
      <c r="D23" s="152" t="s">
        <v>283</v>
      </c>
      <c r="E23" s="152"/>
      <c r="F23" s="152"/>
      <c r="G23" s="152"/>
      <c r="H23" s="152"/>
      <c r="I23" s="152"/>
      <c r="J23" s="152"/>
      <c r="K23" s="152"/>
      <c r="L23" s="152"/>
      <c r="M23" s="152"/>
      <c r="N23" s="152"/>
      <c r="O23" s="148"/>
    </row>
    <row r="24" spans="1:16" ht="16.5" x14ac:dyDescent="0.3">
      <c r="D24" s="24"/>
      <c r="E24" s="24"/>
      <c r="F24" s="85" t="s">
        <v>284</v>
      </c>
      <c r="G24" s="85"/>
      <c r="H24" s="85"/>
      <c r="I24" s="85"/>
      <c r="J24" s="24"/>
      <c r="K24" s="24"/>
      <c r="L24" s="24"/>
      <c r="M24" s="24"/>
      <c r="N24" s="24"/>
    </row>
    <row r="25" spans="1:16" ht="16.5" x14ac:dyDescent="0.3">
      <c r="D25" s="24"/>
      <c r="E25" s="24"/>
      <c r="F25" s="24"/>
      <c r="G25" s="24"/>
      <c r="H25" s="24"/>
      <c r="I25" s="24"/>
      <c r="J25" s="24"/>
      <c r="K25" s="24"/>
      <c r="L25" s="24"/>
      <c r="M25" s="24"/>
      <c r="N25" s="24"/>
    </row>
    <row r="26" spans="1:16" ht="16.5" x14ac:dyDescent="0.3">
      <c r="D26" s="24"/>
      <c r="E26" s="24"/>
      <c r="F26" s="24"/>
      <c r="G26" s="24" t="s">
        <v>288</v>
      </c>
      <c r="H26" s="24"/>
      <c r="I26" s="68">
        <f>L18</f>
        <v>0.237743779869968</v>
      </c>
      <c r="J26" s="24"/>
      <c r="K26" s="24"/>
      <c r="L26" s="24"/>
      <c r="M26" s="24"/>
      <c r="N26" s="24"/>
    </row>
    <row r="27" spans="1:16" ht="16.5" x14ac:dyDescent="0.3">
      <c r="D27" s="24"/>
      <c r="E27" s="24"/>
      <c r="F27" s="24"/>
      <c r="G27" s="24" t="s">
        <v>289</v>
      </c>
      <c r="H27" s="24"/>
      <c r="I27" s="68">
        <f>1-I26</f>
        <v>0.76225622013003203</v>
      </c>
      <c r="J27" s="24"/>
      <c r="K27" s="24"/>
      <c r="L27" s="24"/>
      <c r="M27" s="24"/>
      <c r="N27" s="24"/>
    </row>
    <row r="28" spans="1:16" ht="16.5" x14ac:dyDescent="0.3">
      <c r="D28" s="24"/>
      <c r="E28" s="24"/>
      <c r="F28" s="85" t="s">
        <v>285</v>
      </c>
      <c r="G28" s="85"/>
      <c r="H28" s="85"/>
      <c r="I28" s="85"/>
      <c r="J28" s="24"/>
      <c r="K28" s="24"/>
      <c r="L28" s="24"/>
      <c r="M28" s="24"/>
      <c r="N28" s="24"/>
    </row>
    <row r="29" spans="1:16" ht="16.5" x14ac:dyDescent="0.3">
      <c r="D29" s="24"/>
      <c r="E29" s="24"/>
      <c r="F29" s="24"/>
      <c r="G29" s="24" t="s">
        <v>290</v>
      </c>
      <c r="H29" s="24"/>
      <c r="I29" s="84">
        <f>I21</f>
        <v>24661.691919999997</v>
      </c>
      <c r="J29" s="24"/>
      <c r="K29" s="24"/>
      <c r="L29" s="24"/>
      <c r="M29" s="24"/>
      <c r="N29" s="24"/>
    </row>
    <row r="30" spans="1:16" ht="16.5" x14ac:dyDescent="0.3">
      <c r="D30" s="24"/>
      <c r="E30" s="24"/>
      <c r="F30" s="24"/>
      <c r="G30" s="24" t="s">
        <v>291</v>
      </c>
      <c r="H30" s="24"/>
      <c r="I30" s="84">
        <f>J21</f>
        <v>14643.094000000001</v>
      </c>
      <c r="J30" s="24"/>
      <c r="K30" s="24"/>
      <c r="L30" s="24"/>
      <c r="M30" s="24"/>
      <c r="N30" s="24"/>
    </row>
    <row r="31" spans="1:16" ht="16.5" x14ac:dyDescent="0.3">
      <c r="D31" s="24"/>
      <c r="E31" s="24"/>
      <c r="F31" s="24"/>
      <c r="G31" s="24" t="s">
        <v>292</v>
      </c>
      <c r="H31" s="24"/>
      <c r="I31" s="83">
        <f>I30/I29</f>
        <v>0.59375869455756314</v>
      </c>
      <c r="J31" s="24"/>
      <c r="K31" s="24"/>
      <c r="L31" s="24"/>
      <c r="M31" s="24"/>
      <c r="N31" s="24"/>
    </row>
    <row r="32" spans="1:16" ht="16.5" x14ac:dyDescent="0.3">
      <c r="D32" s="24"/>
      <c r="E32" s="24"/>
      <c r="F32" s="24"/>
      <c r="G32" s="24"/>
      <c r="H32" s="24"/>
      <c r="I32" s="24"/>
      <c r="J32" s="24"/>
      <c r="K32" s="24"/>
      <c r="L32" s="24"/>
      <c r="M32" s="24"/>
      <c r="N32" s="24"/>
    </row>
    <row r="33" spans="4:14" ht="16.5" x14ac:dyDescent="0.3">
      <c r="D33" s="24"/>
      <c r="E33" s="24"/>
      <c r="F33" s="85" t="s">
        <v>286</v>
      </c>
      <c r="G33" s="85"/>
      <c r="H33" s="85"/>
      <c r="I33" s="85"/>
      <c r="J33" s="24"/>
      <c r="K33" s="24"/>
      <c r="L33" s="24"/>
      <c r="M33" s="24"/>
      <c r="N33" s="24"/>
    </row>
    <row r="34" spans="4:14" ht="16.5" x14ac:dyDescent="0.3">
      <c r="D34" s="24"/>
      <c r="E34" s="24"/>
      <c r="F34" s="24"/>
      <c r="G34" s="24" t="s">
        <v>293</v>
      </c>
      <c r="H34" s="24"/>
      <c r="I34" s="68">
        <f>Model!M18</f>
        <v>8.6511522249425793E-2</v>
      </c>
      <c r="J34" s="24"/>
      <c r="K34" s="24"/>
      <c r="L34" s="24"/>
      <c r="M34" s="24"/>
      <c r="N34" s="24"/>
    </row>
    <row r="35" spans="4:14" ht="16.5" x14ac:dyDescent="0.3">
      <c r="D35" s="24"/>
      <c r="E35" s="24"/>
      <c r="F35" s="24"/>
      <c r="G35" s="24" t="s">
        <v>294</v>
      </c>
      <c r="H35" s="24"/>
      <c r="I35" s="68">
        <f>Model!M20</f>
        <v>0.14082049514891895</v>
      </c>
      <c r="J35" s="24"/>
      <c r="K35" s="24"/>
      <c r="L35" s="24"/>
      <c r="M35" s="24"/>
      <c r="N35" s="24"/>
    </row>
    <row r="36" spans="4:14" ht="16.5" x14ac:dyDescent="0.3">
      <c r="D36" s="24"/>
      <c r="E36" s="24"/>
      <c r="F36" s="88"/>
      <c r="G36" s="88" t="s">
        <v>295</v>
      </c>
      <c r="H36" s="88"/>
      <c r="I36" s="89">
        <f>I34*(1-I35)</f>
        <v>7.4328926850174934E-2</v>
      </c>
      <c r="J36" s="24"/>
      <c r="K36" s="24"/>
      <c r="L36" s="24"/>
      <c r="M36" s="24"/>
      <c r="N36" s="24"/>
    </row>
    <row r="37" spans="4:14" ht="16.5" x14ac:dyDescent="0.3">
      <c r="D37" s="24"/>
      <c r="E37" s="24"/>
      <c r="F37" s="24"/>
      <c r="G37" s="24"/>
      <c r="H37" s="24"/>
      <c r="I37" s="24"/>
      <c r="J37" s="24"/>
      <c r="K37" s="24"/>
      <c r="L37" s="24"/>
      <c r="M37" s="24"/>
      <c r="N37" s="24"/>
    </row>
    <row r="38" spans="4:14" ht="16.5" x14ac:dyDescent="0.3">
      <c r="D38" s="24"/>
      <c r="E38" s="24"/>
      <c r="F38" s="85" t="s">
        <v>287</v>
      </c>
      <c r="G38" s="85"/>
      <c r="H38" s="85"/>
      <c r="I38" s="85"/>
      <c r="J38" s="24"/>
      <c r="K38" s="24"/>
      <c r="L38" s="24"/>
      <c r="M38" s="24"/>
      <c r="N38" s="24"/>
    </row>
    <row r="39" spans="4:14" ht="16.5" x14ac:dyDescent="0.3">
      <c r="D39" s="24"/>
      <c r="E39" s="24"/>
      <c r="F39" s="24" t="s">
        <v>285</v>
      </c>
      <c r="G39" s="24" t="s">
        <v>296</v>
      </c>
      <c r="H39" s="24"/>
      <c r="I39" s="68">
        <v>6.9000000000000006E-2</v>
      </c>
      <c r="J39" s="24"/>
      <c r="K39" s="24"/>
      <c r="L39" s="24"/>
      <c r="M39" s="24"/>
      <c r="N39" s="24"/>
    </row>
    <row r="40" spans="4:14" ht="16.5" x14ac:dyDescent="0.3">
      <c r="D40" s="24"/>
      <c r="E40" s="24"/>
      <c r="F40" s="24"/>
      <c r="G40" s="24" t="s">
        <v>266</v>
      </c>
      <c r="H40" s="24"/>
      <c r="I40" s="68">
        <f>'market data'!I14</f>
        <v>8.204335491052217E-2</v>
      </c>
      <c r="J40" s="24"/>
      <c r="K40" s="24"/>
      <c r="L40" s="24"/>
      <c r="M40" s="24"/>
      <c r="N40" s="24"/>
    </row>
    <row r="41" spans="4:14" ht="16.5" x14ac:dyDescent="0.3">
      <c r="D41" s="24"/>
      <c r="E41" s="24"/>
      <c r="F41" s="24"/>
      <c r="G41" s="24" t="s">
        <v>297</v>
      </c>
      <c r="H41" s="24"/>
      <c r="I41" s="68">
        <f>I40-I39</f>
        <v>1.3043354910522165E-2</v>
      </c>
      <c r="J41" s="24"/>
      <c r="K41" s="24"/>
      <c r="L41" s="24"/>
      <c r="M41" s="24"/>
      <c r="N41" s="24"/>
    </row>
    <row r="42" spans="4:14" ht="16.5" x14ac:dyDescent="0.3">
      <c r="D42" s="24"/>
      <c r="E42" s="24"/>
      <c r="F42" s="24"/>
      <c r="G42" s="24" t="s">
        <v>298</v>
      </c>
      <c r="H42" s="24"/>
      <c r="I42" s="77">
        <f>O19*(1+I31*(1-I35))</f>
        <v>0.51415177699558734</v>
      </c>
      <c r="J42" s="24"/>
      <c r="K42" s="24"/>
      <c r="L42" s="24"/>
      <c r="M42" s="24"/>
      <c r="N42" s="24"/>
    </row>
    <row r="43" spans="4:14" ht="16.5" x14ac:dyDescent="0.3">
      <c r="D43" s="24"/>
      <c r="E43" s="24"/>
      <c r="F43" s="24"/>
      <c r="G43" s="88" t="s">
        <v>287</v>
      </c>
      <c r="H43" s="88"/>
      <c r="I43" s="89">
        <f>I39+I41*I42</f>
        <v>7.5706264105229099E-2</v>
      </c>
      <c r="J43" s="24"/>
      <c r="K43" s="24"/>
      <c r="L43" s="24"/>
      <c r="M43" s="24"/>
      <c r="N43" s="24"/>
    </row>
    <row r="44" spans="4:14" ht="16.5" x14ac:dyDescent="0.3">
      <c r="D44" s="24"/>
      <c r="E44" s="24"/>
      <c r="F44" s="5"/>
      <c r="G44" s="5"/>
      <c r="H44" s="5"/>
      <c r="I44" s="5"/>
      <c r="J44" s="24"/>
      <c r="K44" s="24"/>
      <c r="L44" s="24"/>
      <c r="M44" s="24"/>
      <c r="N44" s="24"/>
    </row>
    <row r="45" spans="4:14" ht="17.25" thickBot="1" x14ac:dyDescent="0.35">
      <c r="D45" s="24"/>
      <c r="E45" s="24"/>
      <c r="F45" s="5"/>
      <c r="G45" s="86" t="s">
        <v>299</v>
      </c>
      <c r="H45" s="86"/>
      <c r="I45" s="87">
        <f>I36*I26+I43*I27</f>
        <v>7.5378810740056798E-2</v>
      </c>
      <c r="J45" s="24"/>
      <c r="K45" s="24"/>
      <c r="L45" s="24"/>
      <c r="M45" s="24"/>
      <c r="N45" s="24"/>
    </row>
    <row r="46" spans="4:14" ht="15.75" thickTop="1" x14ac:dyDescent="0.25"/>
  </sheetData>
  <pageMargins left="0.7" right="0.7" top="0.75" bottom="0.75" header="0.3" footer="0.3"/>
  <pageSetup orientation="portrait" horizontalDpi="300" verticalDpi="0" copies="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61FD-EFA3-4407-9A2C-E4C3EC43D519}">
  <dimension ref="A1:BG64"/>
  <sheetViews>
    <sheetView showGridLines="0" tabSelected="1" zoomScale="90" zoomScaleNormal="90" workbookViewId="0">
      <pane xSplit="4" topLeftCell="R1" activePane="topRight" state="frozen"/>
      <selection pane="topRight" activeCell="U63" sqref="U63:BG63"/>
    </sheetView>
  </sheetViews>
  <sheetFormatPr defaultRowHeight="15" x14ac:dyDescent="0.25"/>
  <cols>
    <col min="1" max="3" width="1.28515625" customWidth="1"/>
    <col min="4" max="4" width="28" customWidth="1"/>
    <col min="5" max="5" width="14" customWidth="1"/>
    <col min="6" max="6" width="10.28515625" bestFit="1" customWidth="1"/>
    <col min="7" max="8" width="10.85546875" bestFit="1" customWidth="1"/>
    <col min="9" max="9" width="10.85546875" style="153" bestFit="1" customWidth="1"/>
    <col min="10" max="13" width="10.85546875" bestFit="1" customWidth="1"/>
    <col min="14" max="14" width="11.42578125" customWidth="1"/>
    <col min="15" max="19" width="10.28515625" bestFit="1" customWidth="1"/>
    <col min="20" max="20" width="19" customWidth="1"/>
    <col min="21" max="40" width="9.140625" style="187"/>
    <col min="41" max="43" width="9.140625" style="187" customWidth="1"/>
    <col min="44" max="59" width="9.140625" style="187"/>
  </cols>
  <sheetData>
    <row r="1" spans="1:59" x14ac:dyDescent="0.25">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286"/>
      <c r="AU1" s="286"/>
      <c r="AV1" s="286"/>
      <c r="AW1" s="286"/>
      <c r="AX1" s="286"/>
      <c r="AY1" s="286"/>
      <c r="AZ1" s="286"/>
      <c r="BA1" s="286"/>
      <c r="BB1" s="286"/>
      <c r="BC1" s="286"/>
      <c r="BD1" s="286"/>
      <c r="BE1" s="286"/>
      <c r="BF1" s="286"/>
      <c r="BG1" s="286"/>
    </row>
    <row r="2" spans="1:59" x14ac:dyDescent="0.25">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6"/>
      <c r="AT2" s="286"/>
      <c r="AU2" s="286"/>
      <c r="AV2" s="286"/>
      <c r="AW2" s="286"/>
      <c r="AX2" s="286"/>
      <c r="AY2" s="286"/>
      <c r="AZ2" s="286"/>
      <c r="BA2" s="286"/>
      <c r="BB2" s="286"/>
      <c r="BC2" s="286"/>
      <c r="BD2" s="286"/>
      <c r="BE2" s="286"/>
      <c r="BF2" s="286"/>
      <c r="BG2" s="286"/>
    </row>
    <row r="3" spans="1:59" x14ac:dyDescent="0.25">
      <c r="U3" s="286"/>
      <c r="V3" s="286"/>
      <c r="W3" s="286"/>
      <c r="X3" s="286"/>
      <c r="Y3" s="286"/>
      <c r="Z3" s="286"/>
      <c r="AA3" s="286"/>
      <c r="AB3" s="286"/>
      <c r="AC3" s="286"/>
      <c r="AD3" s="286"/>
      <c r="AE3" s="286"/>
      <c r="AF3" s="286"/>
      <c r="AG3" s="286"/>
      <c r="AH3" s="286"/>
      <c r="AI3" s="286"/>
      <c r="AJ3" s="286"/>
      <c r="AK3" s="286"/>
      <c r="AL3" s="286"/>
      <c r="AM3" s="286"/>
      <c r="AN3" s="286"/>
      <c r="AO3" s="286"/>
      <c r="AP3" s="286"/>
      <c r="AQ3" s="286"/>
      <c r="AR3" s="286"/>
      <c r="AS3" s="286"/>
      <c r="AT3" s="286"/>
      <c r="AU3" s="286"/>
      <c r="AV3" s="286"/>
      <c r="AW3" s="286"/>
      <c r="AX3" s="286"/>
      <c r="AY3" s="286"/>
      <c r="AZ3" s="286"/>
      <c r="BA3" s="286"/>
      <c r="BB3" s="286"/>
      <c r="BC3" s="286"/>
      <c r="BD3" s="286"/>
      <c r="BE3" s="286"/>
      <c r="BF3" s="286"/>
      <c r="BG3" s="286"/>
    </row>
    <row r="4" spans="1:59" x14ac:dyDescent="0.25">
      <c r="U4" s="286"/>
      <c r="V4" s="286"/>
      <c r="W4" s="286"/>
      <c r="X4" s="286"/>
      <c r="Y4" s="286"/>
      <c r="Z4" s="286"/>
      <c r="AA4" s="286"/>
      <c r="AB4" s="286"/>
      <c r="AC4" s="286"/>
      <c r="AD4" s="286"/>
      <c r="AE4" s="286"/>
      <c r="AF4" s="286"/>
      <c r="AG4" s="286"/>
      <c r="AH4" s="286"/>
      <c r="AI4" s="286"/>
      <c r="AJ4" s="286"/>
      <c r="AK4" s="286"/>
      <c r="AL4" s="286"/>
      <c r="AM4" s="286"/>
      <c r="AN4" s="286"/>
      <c r="AO4" s="286"/>
      <c r="AP4" s="286"/>
      <c r="AQ4" s="286"/>
      <c r="AR4" s="286"/>
      <c r="AS4" s="286"/>
      <c r="AT4" s="286"/>
      <c r="AU4" s="286"/>
      <c r="AV4" s="286"/>
      <c r="AW4" s="286"/>
      <c r="AX4" s="286"/>
      <c r="AY4" s="286"/>
      <c r="AZ4" s="286"/>
      <c r="BA4" s="286"/>
      <c r="BB4" s="286"/>
      <c r="BC4" s="286"/>
      <c r="BD4" s="286"/>
      <c r="BE4" s="286"/>
      <c r="BF4" s="286"/>
      <c r="BG4" s="286"/>
    </row>
    <row r="5" spans="1:59" x14ac:dyDescent="0.25">
      <c r="U5" s="286"/>
      <c r="V5" s="286"/>
      <c r="W5" s="286"/>
      <c r="X5" s="286"/>
      <c r="Y5" s="286"/>
      <c r="Z5" s="286"/>
      <c r="AA5" s="286"/>
      <c r="AB5" s="286"/>
      <c r="AC5" s="286"/>
      <c r="AD5" s="286"/>
      <c r="AE5" s="286"/>
      <c r="AF5" s="286"/>
      <c r="AG5" s="286"/>
      <c r="AH5" s="286"/>
      <c r="AI5" s="286"/>
      <c r="AJ5" s="286"/>
      <c r="AK5" s="286"/>
      <c r="AL5" s="286"/>
      <c r="AM5" s="286"/>
      <c r="AN5" s="286"/>
      <c r="AO5" s="286"/>
      <c r="AP5" s="286"/>
      <c r="AQ5" s="286"/>
      <c r="AR5" s="286"/>
      <c r="AS5" s="286"/>
      <c r="AT5" s="286"/>
      <c r="AU5" s="286"/>
      <c r="AV5" s="286"/>
      <c r="AW5" s="286"/>
      <c r="AX5" s="286"/>
      <c r="AY5" s="286"/>
      <c r="AZ5" s="286"/>
      <c r="BA5" s="286"/>
      <c r="BB5" s="286"/>
      <c r="BC5" s="286"/>
      <c r="BD5" s="286"/>
      <c r="BE5" s="286"/>
      <c r="BF5" s="286"/>
      <c r="BG5" s="286"/>
    </row>
    <row r="6" spans="1:59" ht="26.25" x14ac:dyDescent="0.4">
      <c r="A6" s="115" t="s">
        <v>119</v>
      </c>
      <c r="B6" s="121"/>
      <c r="C6" s="121"/>
      <c r="D6" s="121"/>
      <c r="E6" s="121"/>
      <c r="F6" s="121"/>
      <c r="G6" s="121"/>
      <c r="H6" s="121"/>
      <c r="I6" s="121"/>
      <c r="J6" s="121"/>
      <c r="K6" s="121"/>
      <c r="L6" s="121"/>
      <c r="M6" s="121"/>
      <c r="N6" s="113"/>
      <c r="O6" s="113"/>
      <c r="P6" s="113"/>
      <c r="Q6" s="113"/>
      <c r="R6" s="113"/>
      <c r="S6" s="113"/>
      <c r="U6" s="286"/>
      <c r="V6" s="286"/>
      <c r="W6" s="286"/>
      <c r="X6" s="286"/>
      <c r="Y6" s="286"/>
      <c r="Z6" s="286"/>
      <c r="AA6" s="286"/>
      <c r="AB6" s="286"/>
      <c r="AC6" s="286"/>
      <c r="AD6" s="286"/>
      <c r="AE6" s="286"/>
      <c r="AF6" s="286"/>
      <c r="AG6" s="286"/>
      <c r="AH6" s="286"/>
      <c r="AI6" s="286"/>
      <c r="AJ6" s="286"/>
      <c r="AK6" s="286"/>
      <c r="AL6" s="286"/>
      <c r="AM6" s="286"/>
      <c r="AN6" s="286"/>
      <c r="AO6" s="286"/>
      <c r="AP6" s="286"/>
      <c r="AQ6" s="286"/>
      <c r="AR6" s="286"/>
      <c r="AS6" s="286"/>
      <c r="AT6" s="286"/>
      <c r="AU6" s="286"/>
      <c r="AV6" s="286"/>
      <c r="AW6" s="286"/>
      <c r="AX6" s="286"/>
      <c r="AY6" s="286"/>
      <c r="AZ6" s="286"/>
      <c r="BA6" s="286"/>
      <c r="BB6" s="286"/>
      <c r="BC6" s="286"/>
      <c r="BD6" s="286"/>
      <c r="BE6" s="286"/>
      <c r="BF6" s="286"/>
      <c r="BG6" s="286"/>
    </row>
    <row r="7" spans="1:59" ht="21" x14ac:dyDescent="0.35">
      <c r="A7" s="121"/>
      <c r="B7" s="125" t="s">
        <v>330</v>
      </c>
      <c r="C7" s="121"/>
      <c r="D7" s="121"/>
      <c r="E7" s="121"/>
      <c r="F7" s="121"/>
      <c r="G7" s="121"/>
      <c r="H7" s="121"/>
      <c r="I7" s="121"/>
      <c r="J7" s="121"/>
      <c r="K7" s="121"/>
      <c r="L7" s="121"/>
      <c r="M7" s="121"/>
      <c r="N7" s="113"/>
      <c r="O7" s="113"/>
      <c r="P7" s="113"/>
      <c r="Q7" s="113"/>
      <c r="R7" s="113"/>
      <c r="S7" s="113"/>
      <c r="U7" s="286"/>
      <c r="V7" s="286"/>
      <c r="W7" s="286"/>
      <c r="X7" s="286"/>
      <c r="Y7" s="286"/>
      <c r="Z7" s="286"/>
      <c r="AA7" s="286"/>
      <c r="AB7" s="286"/>
      <c r="AC7" s="286"/>
      <c r="AD7" s="286"/>
      <c r="AE7" s="286"/>
      <c r="AF7" s="286"/>
      <c r="AG7" s="286"/>
      <c r="AH7" s="286"/>
      <c r="AI7" s="286"/>
      <c r="AJ7" s="286"/>
      <c r="AK7" s="286"/>
      <c r="AL7" s="286"/>
      <c r="AM7" s="286"/>
      <c r="AN7" s="286"/>
      <c r="AO7" s="286"/>
      <c r="AP7" s="286"/>
      <c r="AQ7" s="286"/>
      <c r="AR7" s="286"/>
      <c r="AS7" s="286"/>
      <c r="AT7" s="286"/>
      <c r="AU7" s="286"/>
      <c r="AV7" s="286"/>
      <c r="AW7" s="286"/>
      <c r="AX7" s="286"/>
      <c r="AY7" s="286"/>
      <c r="AZ7" s="286"/>
      <c r="BA7" s="286"/>
      <c r="BB7" s="286"/>
      <c r="BC7" s="286"/>
      <c r="BD7" s="286"/>
      <c r="BE7" s="286"/>
      <c r="BF7" s="286"/>
      <c r="BG7" s="286"/>
    </row>
    <row r="8" spans="1:59" ht="16.5" x14ac:dyDescent="0.3">
      <c r="A8" s="121"/>
      <c r="B8" s="121"/>
      <c r="C8" s="121"/>
      <c r="D8" s="121"/>
      <c r="E8" s="111">
        <f>Model!H7</f>
        <v>2020</v>
      </c>
      <c r="F8" s="111">
        <f>Model!I7</f>
        <v>2021</v>
      </c>
      <c r="G8" s="111">
        <f>Model!J7</f>
        <v>2022</v>
      </c>
      <c r="H8" s="111">
        <f>Model!K7</f>
        <v>2023</v>
      </c>
      <c r="I8" s="111">
        <f>Model!L7</f>
        <v>2024</v>
      </c>
      <c r="J8" s="111">
        <f>Model!M7</f>
        <v>2025</v>
      </c>
      <c r="K8" s="111">
        <f>Model!N7</f>
        <v>2026</v>
      </c>
      <c r="L8" s="111">
        <f>Model!O7</f>
        <v>2027</v>
      </c>
      <c r="M8" s="111">
        <f>Model!P7</f>
        <v>2028</v>
      </c>
      <c r="N8" s="111">
        <f>Model!Q7</f>
        <v>2029</v>
      </c>
      <c r="O8" s="111">
        <f>Model!R7</f>
        <v>2030</v>
      </c>
      <c r="P8" s="111">
        <f>Model!S7</f>
        <v>2031</v>
      </c>
      <c r="Q8" s="111">
        <f>Model!T7</f>
        <v>2032</v>
      </c>
      <c r="R8" s="111">
        <f>Model!U7</f>
        <v>2033</v>
      </c>
      <c r="S8" s="111">
        <f>Model!V7</f>
        <v>2034</v>
      </c>
      <c r="T8" s="63"/>
      <c r="U8" s="287"/>
      <c r="V8" s="287"/>
      <c r="W8" s="287"/>
      <c r="X8" s="287"/>
      <c r="Y8" s="287"/>
      <c r="Z8" s="287"/>
      <c r="AA8" s="287"/>
      <c r="AB8" s="287"/>
      <c r="AC8" s="287"/>
      <c r="AD8" s="287"/>
      <c r="AE8" s="287"/>
      <c r="AF8" s="287"/>
      <c r="AG8" s="287"/>
      <c r="AH8" s="287"/>
      <c r="AI8" s="287"/>
      <c r="AJ8" s="287"/>
      <c r="AK8" s="287"/>
      <c r="AL8" s="287"/>
      <c r="AM8" s="287"/>
      <c r="AN8" s="287"/>
      <c r="AO8" s="287"/>
      <c r="AP8" s="287"/>
      <c r="AQ8" s="287"/>
      <c r="AR8" s="287"/>
      <c r="AS8" s="287"/>
      <c r="AT8" s="287"/>
      <c r="AU8" s="287"/>
      <c r="AV8" s="287"/>
      <c r="AW8" s="287"/>
      <c r="AX8" s="287"/>
      <c r="AY8" s="287"/>
      <c r="AZ8" s="287"/>
      <c r="BA8" s="287"/>
      <c r="BB8" s="287"/>
      <c r="BC8" s="287"/>
      <c r="BD8" s="287"/>
      <c r="BE8" s="287"/>
      <c r="BF8" s="287"/>
      <c r="BG8" s="287"/>
    </row>
    <row r="9" spans="1:59" ht="16.5" x14ac:dyDescent="0.3">
      <c r="A9" s="121"/>
      <c r="B9" s="121"/>
      <c r="C9" s="121"/>
      <c r="D9" s="121"/>
      <c r="E9" s="169" t="s">
        <v>414</v>
      </c>
      <c r="F9" s="169" t="str">
        <f>E9</f>
        <v>Audited</v>
      </c>
      <c r="G9" s="169" t="str">
        <f t="shared" ref="G9:I9" si="0">F9</f>
        <v>Audited</v>
      </c>
      <c r="H9" s="169" t="str">
        <f t="shared" si="0"/>
        <v>Audited</v>
      </c>
      <c r="I9" s="169" t="str">
        <f t="shared" si="0"/>
        <v>Audited</v>
      </c>
      <c r="J9" s="169" t="s">
        <v>416</v>
      </c>
      <c r="K9" s="169" t="str">
        <f>J9</f>
        <v>Projected</v>
      </c>
      <c r="L9" s="169" t="str">
        <f t="shared" ref="L9:S9" si="1">K9</f>
        <v>Projected</v>
      </c>
      <c r="M9" s="169" t="str">
        <f t="shared" si="1"/>
        <v>Projected</v>
      </c>
      <c r="N9" s="169" t="str">
        <f t="shared" si="1"/>
        <v>Projected</v>
      </c>
      <c r="O9" s="169" t="str">
        <f t="shared" si="1"/>
        <v>Projected</v>
      </c>
      <c r="P9" s="169" t="str">
        <f t="shared" si="1"/>
        <v>Projected</v>
      </c>
      <c r="Q9" s="169" t="str">
        <f t="shared" si="1"/>
        <v>Projected</v>
      </c>
      <c r="R9" s="169" t="str">
        <f t="shared" si="1"/>
        <v>Projected</v>
      </c>
      <c r="S9" s="169" t="str">
        <f t="shared" si="1"/>
        <v>Projected</v>
      </c>
      <c r="T9" s="63"/>
      <c r="U9" s="287"/>
      <c r="V9" s="287"/>
      <c r="W9" s="287"/>
      <c r="X9" s="287"/>
      <c r="Y9" s="287"/>
      <c r="Z9" s="287"/>
      <c r="AA9" s="287"/>
      <c r="AB9" s="287"/>
      <c r="AC9" s="287"/>
      <c r="AD9" s="287"/>
      <c r="AE9" s="287"/>
      <c r="AF9" s="287"/>
      <c r="AG9" s="287"/>
      <c r="AH9" s="287"/>
      <c r="AI9" s="287"/>
      <c r="AJ9" s="287"/>
      <c r="AK9" s="287"/>
      <c r="AL9" s="287"/>
      <c r="AM9" s="287"/>
      <c r="AN9" s="287"/>
      <c r="AO9" s="287"/>
      <c r="AP9" s="287"/>
      <c r="AQ9" s="287"/>
      <c r="AR9" s="287"/>
      <c r="AS9" s="287"/>
      <c r="AT9" s="287"/>
      <c r="AU9" s="287"/>
      <c r="AV9" s="287"/>
      <c r="AW9" s="287"/>
      <c r="AX9" s="287"/>
      <c r="AY9" s="287"/>
      <c r="AZ9" s="287"/>
      <c r="BA9" s="287"/>
      <c r="BB9" s="287"/>
      <c r="BC9" s="287"/>
      <c r="BD9" s="287"/>
      <c r="BE9" s="287"/>
      <c r="BF9" s="287"/>
      <c r="BG9" s="287"/>
    </row>
    <row r="10" spans="1:59" x14ac:dyDescent="0.25">
      <c r="D10" s="5" t="s">
        <v>331</v>
      </c>
      <c r="E10" s="5"/>
      <c r="U10" s="286"/>
      <c r="V10" s="286"/>
      <c r="W10" s="286"/>
      <c r="X10" s="286"/>
      <c r="Y10" s="286"/>
      <c r="Z10" s="286"/>
      <c r="AA10" s="286"/>
      <c r="AB10" s="286"/>
      <c r="AC10" s="286"/>
      <c r="AD10" s="286"/>
      <c r="AE10" s="286"/>
      <c r="AF10" s="286"/>
      <c r="AG10" s="286"/>
      <c r="AH10" s="286"/>
      <c r="AI10" s="286"/>
      <c r="AJ10" s="286"/>
      <c r="AK10" s="286"/>
      <c r="AL10" s="286"/>
      <c r="AM10" s="286"/>
      <c r="AN10" s="286"/>
      <c r="AO10" s="286"/>
      <c r="AP10" s="286"/>
      <c r="AQ10" s="286"/>
      <c r="AR10" s="286"/>
      <c r="AS10" s="286"/>
      <c r="AT10" s="286"/>
      <c r="AU10" s="286"/>
      <c r="AV10" s="286"/>
      <c r="AW10" s="286"/>
      <c r="AX10" s="286"/>
      <c r="AY10" s="286"/>
      <c r="AZ10" s="286"/>
      <c r="BA10" s="286"/>
      <c r="BB10" s="286"/>
      <c r="BC10" s="286"/>
      <c r="BD10" s="286"/>
      <c r="BE10" s="286"/>
      <c r="BF10" s="286"/>
      <c r="BG10" s="286"/>
    </row>
    <row r="11" spans="1:59" ht="16.5" x14ac:dyDescent="0.3">
      <c r="D11" s="24" t="s">
        <v>332</v>
      </c>
      <c r="E11" s="105">
        <f>Model!H37/Model!H35</f>
        <v>0.47013090833127036</v>
      </c>
      <c r="F11" s="105">
        <f>Model!I37/Model!I35</f>
        <v>0.49086617731842552</v>
      </c>
      <c r="G11" s="105">
        <f>Model!J37/Model!J35</f>
        <v>0.4571057758843356</v>
      </c>
      <c r="H11" s="105">
        <f>Model!K37/Model!K35</f>
        <v>0.35807838498983957</v>
      </c>
      <c r="I11" s="154">
        <f>Model!L37/Model!L35</f>
        <v>0.34757255017095823</v>
      </c>
      <c r="J11" s="105">
        <f>Model!M37/Model!M35</f>
        <v>0.42475075933896572</v>
      </c>
      <c r="K11" s="105">
        <f>Model!N37/Model!N35</f>
        <v>0.42475075933896578</v>
      </c>
      <c r="L11" s="105">
        <f>Model!O37/Model!O35</f>
        <v>0.42475075933896578</v>
      </c>
      <c r="M11" s="105">
        <f>Model!P37/Model!P35</f>
        <v>0.42475075933896583</v>
      </c>
      <c r="N11" s="105">
        <f>Model!Q37/Model!Q35</f>
        <v>0.42475075933896578</v>
      </c>
      <c r="O11" s="105">
        <f>Model!R37/Model!R35</f>
        <v>0.42475075933896578</v>
      </c>
      <c r="P11" s="105">
        <f>Model!S37/Model!S35</f>
        <v>0.42475075933896572</v>
      </c>
      <c r="Q11" s="105">
        <f>Model!T37/Model!T35</f>
        <v>0.42475075933896578</v>
      </c>
      <c r="R11" s="105">
        <f>Model!U37/Model!U35</f>
        <v>0.42475075933896583</v>
      </c>
      <c r="S11" s="105">
        <f>Model!V37/Model!V35</f>
        <v>0.42475075933896578</v>
      </c>
      <c r="U11" s="283" t="s">
        <v>447</v>
      </c>
      <c r="V11" s="284"/>
      <c r="W11" s="284"/>
      <c r="X11" s="284"/>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c r="AW11" s="284"/>
      <c r="AX11" s="284"/>
      <c r="AY11" s="284"/>
      <c r="AZ11" s="284"/>
      <c r="BA11" s="284"/>
      <c r="BB11" s="284"/>
      <c r="BC11" s="284"/>
      <c r="BD11" s="284"/>
      <c r="BE11" s="284"/>
      <c r="BF11" s="284"/>
      <c r="BG11" s="285"/>
    </row>
    <row r="12" spans="1:59" ht="16.5" x14ac:dyDescent="0.3">
      <c r="D12" s="24"/>
      <c r="E12" s="105"/>
      <c r="F12" s="105"/>
      <c r="G12" s="105"/>
      <c r="H12" s="105"/>
      <c r="I12" s="154"/>
      <c r="J12" s="105"/>
      <c r="K12" s="105"/>
      <c r="L12" s="105"/>
      <c r="M12" s="105"/>
      <c r="N12" s="105"/>
      <c r="O12" s="105"/>
      <c r="P12" s="105"/>
      <c r="Q12" s="105"/>
      <c r="R12" s="105"/>
      <c r="S12" s="105"/>
      <c r="U12" s="280" t="s">
        <v>448</v>
      </c>
      <c r="V12" s="281"/>
      <c r="W12" s="281"/>
      <c r="X12" s="281"/>
      <c r="Y12" s="281"/>
      <c r="Z12" s="281"/>
      <c r="AA12" s="281"/>
      <c r="AB12" s="281"/>
      <c r="AC12" s="281"/>
      <c r="AD12" s="281"/>
      <c r="AE12" s="281"/>
      <c r="AF12" s="281"/>
      <c r="AG12" s="281"/>
      <c r="AH12" s="281"/>
      <c r="AI12" s="281"/>
      <c r="AJ12" s="281"/>
      <c r="AK12" s="281"/>
      <c r="AL12" s="281"/>
      <c r="AM12" s="281"/>
      <c r="AN12" s="281"/>
      <c r="AO12" s="281"/>
      <c r="AP12" s="281"/>
      <c r="AQ12" s="281"/>
      <c r="AR12" s="281"/>
      <c r="AS12" s="281"/>
      <c r="AT12" s="281"/>
      <c r="AU12" s="281"/>
      <c r="AV12" s="281"/>
      <c r="AW12" s="281"/>
      <c r="AX12" s="281"/>
      <c r="AY12" s="281"/>
      <c r="AZ12" s="281"/>
      <c r="BA12" s="281"/>
      <c r="BB12" s="281"/>
      <c r="BC12" s="281"/>
      <c r="BD12" s="281"/>
      <c r="BE12" s="281"/>
      <c r="BF12" s="281"/>
      <c r="BG12" s="282"/>
    </row>
    <row r="13" spans="1:59" ht="16.5" x14ac:dyDescent="0.3">
      <c r="D13" s="24" t="s">
        <v>333</v>
      </c>
      <c r="E13" s="105">
        <f>Model!H41/Model!H35</f>
        <v>0.2585754127227074</v>
      </c>
      <c r="F13" s="105">
        <f>Model!I41/Model!I35</f>
        <v>0.27370278753218819</v>
      </c>
      <c r="G13" s="105">
        <f>Model!J41/Model!J35</f>
        <v>0.23252773464031853</v>
      </c>
      <c r="H13" s="105">
        <f>Model!K41/Model!K35</f>
        <v>0.150866011294121</v>
      </c>
      <c r="I13" s="154">
        <f>Model!L41/Model!L35</f>
        <v>0.13897932481146866</v>
      </c>
      <c r="J13" s="105">
        <f>Model!M41/Model!M35</f>
        <v>0.21093025420016062</v>
      </c>
      <c r="K13" s="105">
        <f>Model!N41/Model!N35</f>
        <v>0.21093025420016068</v>
      </c>
      <c r="L13" s="105">
        <f>Model!O41/Model!O35</f>
        <v>0.21093025420016065</v>
      </c>
      <c r="M13" s="105">
        <f>Model!P41/Model!P35</f>
        <v>0.21093025420016068</v>
      </c>
      <c r="N13" s="105">
        <f>Model!Q41/Model!Q35</f>
        <v>0.21093025420016068</v>
      </c>
      <c r="O13" s="105">
        <f>Model!R41/Model!R35</f>
        <v>0.21093025420016073</v>
      </c>
      <c r="P13" s="105">
        <f>Model!S41/Model!S35</f>
        <v>0.21093025420016065</v>
      </c>
      <c r="Q13" s="105">
        <f>Model!T41/Model!T35</f>
        <v>0.21093025420016065</v>
      </c>
      <c r="R13" s="105">
        <f>Model!U41/Model!U35</f>
        <v>0.21093025420016071</v>
      </c>
      <c r="S13" s="105">
        <f>Model!V41/Model!V35</f>
        <v>0.21093025420016068</v>
      </c>
      <c r="U13" s="278" t="s">
        <v>452</v>
      </c>
      <c r="V13" s="253"/>
      <c r="W13" s="253"/>
      <c r="X13" s="253"/>
      <c r="Y13" s="253"/>
      <c r="Z13" s="253"/>
      <c r="AA13" s="253"/>
      <c r="AB13" s="253"/>
      <c r="AC13" s="253"/>
      <c r="AD13" s="253"/>
      <c r="AE13" s="253"/>
      <c r="AF13" s="253"/>
      <c r="AG13" s="253"/>
      <c r="AH13" s="253"/>
      <c r="AI13" s="253"/>
      <c r="AJ13" s="253"/>
      <c r="AK13" s="253"/>
      <c r="AL13" s="253"/>
      <c r="AM13" s="253"/>
      <c r="AN13" s="253"/>
      <c r="AO13" s="253"/>
      <c r="AP13" s="253"/>
      <c r="AQ13" s="253"/>
      <c r="AR13" s="253"/>
      <c r="AS13" s="253"/>
      <c r="AT13" s="253"/>
      <c r="AU13" s="253"/>
      <c r="AV13" s="253"/>
      <c r="AW13" s="253"/>
      <c r="AX13" s="253"/>
      <c r="AY13" s="253"/>
      <c r="AZ13" s="253"/>
      <c r="BA13" s="253"/>
      <c r="BB13" s="253"/>
      <c r="BC13" s="253"/>
      <c r="BD13" s="253"/>
      <c r="BE13" s="253"/>
      <c r="BF13" s="253"/>
      <c r="BG13" s="279"/>
    </row>
    <row r="14" spans="1:59" ht="16.5" x14ac:dyDescent="0.3">
      <c r="D14" s="24"/>
      <c r="E14" s="105"/>
      <c r="F14" s="105"/>
      <c r="G14" s="105"/>
      <c r="H14" s="105"/>
      <c r="I14" s="154"/>
      <c r="J14" s="105"/>
      <c r="K14" s="105"/>
      <c r="L14" s="105"/>
      <c r="M14" s="105"/>
      <c r="N14" s="105"/>
      <c r="O14" s="105"/>
      <c r="P14" s="105"/>
      <c r="Q14" s="105"/>
      <c r="R14" s="105"/>
      <c r="S14" s="105"/>
      <c r="U14" s="280" t="s">
        <v>466</v>
      </c>
      <c r="V14" s="281"/>
      <c r="W14" s="281"/>
      <c r="X14" s="281"/>
      <c r="Y14" s="281"/>
      <c r="Z14" s="281"/>
      <c r="AA14" s="281"/>
      <c r="AB14" s="281"/>
      <c r="AC14" s="281"/>
      <c r="AD14" s="281"/>
      <c r="AE14" s="281"/>
      <c r="AF14" s="281"/>
      <c r="AG14" s="281"/>
      <c r="AH14" s="281"/>
      <c r="AI14" s="281"/>
      <c r="AJ14" s="281"/>
      <c r="AK14" s="281"/>
      <c r="AL14" s="281"/>
      <c r="AM14" s="281"/>
      <c r="AN14" s="281"/>
      <c r="AO14" s="281"/>
      <c r="AP14" s="281"/>
      <c r="AQ14" s="281"/>
      <c r="AR14" s="281"/>
      <c r="AS14" s="281"/>
      <c r="AT14" s="281"/>
      <c r="AU14" s="281"/>
      <c r="AV14" s="281"/>
      <c r="AW14" s="281"/>
      <c r="AX14" s="281"/>
      <c r="AY14" s="281"/>
      <c r="AZ14" s="281"/>
      <c r="BA14" s="281"/>
      <c r="BB14" s="281"/>
      <c r="BC14" s="281"/>
      <c r="BD14" s="281"/>
      <c r="BE14" s="281"/>
      <c r="BF14" s="281"/>
      <c r="BG14" s="282"/>
    </row>
    <row r="15" spans="1:59" ht="16.5" x14ac:dyDescent="0.3">
      <c r="D15" s="24" t="s">
        <v>334</v>
      </c>
      <c r="E15" s="105">
        <f>Model!H43/Model!H35</f>
        <v>0.18883384914247928</v>
      </c>
      <c r="F15" s="105">
        <f>Model!I43/Model!I35</f>
        <v>0.1992394280760332</v>
      </c>
      <c r="G15" s="105">
        <f>Model!J43/Model!J35</f>
        <v>0.162002506401528</v>
      </c>
      <c r="H15" s="105">
        <f>Model!K43/Model!K35</f>
        <v>8.9245315466768754E-2</v>
      </c>
      <c r="I15" s="154">
        <f>Model!L43/Model!L35</f>
        <v>5.9419180145960239E-2</v>
      </c>
      <c r="J15" s="105">
        <f>Model!M43/Model!M35</f>
        <v>0.13774210605372447</v>
      </c>
      <c r="K15" s="105">
        <f>Model!N43/Model!N35</f>
        <v>0.14389894557315966</v>
      </c>
      <c r="L15" s="105">
        <f>Model!O43/Model!O35</f>
        <v>0.14917657212730676</v>
      </c>
      <c r="M15" s="105">
        <f>Model!P43/Model!P35</f>
        <v>0.15428708627326213</v>
      </c>
      <c r="N15" s="105">
        <f>Model!Q43/Model!Q35</f>
        <v>0.15866806038584969</v>
      </c>
      <c r="O15" s="105">
        <f>Model!R43/Model!R35</f>
        <v>0.16292013319737983</v>
      </c>
      <c r="P15" s="105">
        <f>Model!S43/Model!S35</f>
        <v>0.16656547807632321</v>
      </c>
      <c r="Q15" s="105">
        <f>Model!T43/Model!T35</f>
        <v>0.17011222465868481</v>
      </c>
      <c r="R15" s="105">
        <f>Model!U43/Model!U35</f>
        <v>0.17315315489859964</v>
      </c>
      <c r="S15" s="105">
        <f>Model!V43/Model!V35</f>
        <v>0.176119440139692</v>
      </c>
      <c r="U15" s="278" t="s">
        <v>449</v>
      </c>
      <c r="V15" s="253"/>
      <c r="W15" s="253"/>
      <c r="X15" s="253"/>
      <c r="Y15" s="253"/>
      <c r="Z15" s="253"/>
      <c r="AA15" s="253"/>
      <c r="AB15" s="253"/>
      <c r="AC15" s="253"/>
      <c r="AD15" s="253"/>
      <c r="AE15" s="253"/>
      <c r="AF15" s="253"/>
      <c r="AG15" s="253"/>
      <c r="AH15" s="253"/>
      <c r="AI15" s="253"/>
      <c r="AJ15" s="253"/>
      <c r="AK15" s="253"/>
      <c r="AL15" s="253"/>
      <c r="AM15" s="253"/>
      <c r="AN15" s="253"/>
      <c r="AO15" s="253"/>
      <c r="AP15" s="253"/>
      <c r="AQ15" s="253"/>
      <c r="AR15" s="253"/>
      <c r="AS15" s="253"/>
      <c r="AT15" s="253"/>
      <c r="AU15" s="253"/>
      <c r="AV15" s="253"/>
      <c r="AW15" s="253"/>
      <c r="AX15" s="253"/>
      <c r="AY15" s="253"/>
      <c r="AZ15" s="253"/>
      <c r="BA15" s="253"/>
      <c r="BB15" s="253"/>
      <c r="BC15" s="253"/>
      <c r="BD15" s="253"/>
      <c r="BE15" s="253"/>
      <c r="BF15" s="253"/>
      <c r="BG15" s="279"/>
    </row>
    <row r="16" spans="1:59" ht="16.5" x14ac:dyDescent="0.3">
      <c r="D16" s="24"/>
      <c r="E16" s="105"/>
      <c r="F16" s="105"/>
      <c r="G16" s="105"/>
      <c r="H16" s="105"/>
      <c r="I16" s="154"/>
      <c r="J16" s="105"/>
      <c r="K16" s="105"/>
      <c r="L16" s="105"/>
      <c r="M16" s="105"/>
      <c r="N16" s="105"/>
      <c r="O16" s="105"/>
      <c r="P16" s="105"/>
      <c r="Q16" s="105"/>
      <c r="R16" s="105"/>
      <c r="S16" s="105"/>
      <c r="U16" s="280" t="s">
        <v>471</v>
      </c>
      <c r="V16" s="281"/>
      <c r="W16" s="281"/>
      <c r="X16" s="281"/>
      <c r="Y16" s="281"/>
      <c r="Z16" s="281"/>
      <c r="AA16" s="281"/>
      <c r="AB16" s="281"/>
      <c r="AC16" s="281"/>
      <c r="AD16" s="281"/>
      <c r="AE16" s="281"/>
      <c r="AF16" s="281"/>
      <c r="AG16" s="281"/>
      <c r="AH16" s="281"/>
      <c r="AI16" s="281"/>
      <c r="AJ16" s="281"/>
      <c r="AK16" s="281"/>
      <c r="AL16" s="281"/>
      <c r="AM16" s="281"/>
      <c r="AN16" s="281"/>
      <c r="AO16" s="281"/>
      <c r="AP16" s="281"/>
      <c r="AQ16" s="281"/>
      <c r="AR16" s="281"/>
      <c r="AS16" s="281"/>
      <c r="AT16" s="281"/>
      <c r="AU16" s="281"/>
      <c r="AV16" s="281"/>
      <c r="AW16" s="281"/>
      <c r="AX16" s="281"/>
      <c r="AY16" s="281"/>
      <c r="AZ16" s="281"/>
      <c r="BA16" s="281"/>
      <c r="BB16" s="281"/>
      <c r="BC16" s="281"/>
      <c r="BD16" s="281"/>
      <c r="BE16" s="281"/>
      <c r="BF16" s="281"/>
      <c r="BG16" s="282"/>
    </row>
    <row r="17" spans="4:59" ht="16.5" x14ac:dyDescent="0.3">
      <c r="D17" s="24" t="s">
        <v>335</v>
      </c>
      <c r="E17" s="105">
        <f>Model!H47/Model!H35</f>
        <v>0.14529533534722328</v>
      </c>
      <c r="F17" s="105">
        <f>Model!I47/Model!I35</f>
        <v>0.15049391636973838</v>
      </c>
      <c r="G17" s="105">
        <f>Model!J47/Model!J35</f>
        <v>0.15270235365771989</v>
      </c>
      <c r="H17" s="105">
        <f>Model!K47/Model!K35</f>
        <v>0.122073373179797</v>
      </c>
      <c r="I17" s="154">
        <f>Model!L47/Model!L35</f>
        <v>0.11005733917209012</v>
      </c>
      <c r="J17" s="105">
        <f>Model!M47/Model!M35</f>
        <v>0.18813041052837537</v>
      </c>
      <c r="K17" s="105">
        <f>Model!N47/Model!N35</f>
        <v>0.19251764296825646</v>
      </c>
      <c r="L17" s="105">
        <f>Model!O47/Model!O35</f>
        <v>0.19612747912092257</v>
      </c>
      <c r="M17" s="105">
        <f>Model!P47/Model!P35</f>
        <v>0.19966616138656409</v>
      </c>
      <c r="N17" s="105">
        <f>Model!Q47/Model!Q35</f>
        <v>0.20256574103988575</v>
      </c>
      <c r="O17" s="105">
        <f>Model!R47/Model!R35</f>
        <v>0.20542165337685825</v>
      </c>
      <c r="P17" s="105">
        <f>Model!S47/Model!S35</f>
        <v>0.2077511677161876</v>
      </c>
      <c r="Q17" s="105">
        <f>Model!T47/Model!T35</f>
        <v>0.21005779180508766</v>
      </c>
      <c r="R17" s="105">
        <f>Model!U47/Model!U35</f>
        <v>0.21192995163537182</v>
      </c>
      <c r="S17" s="105">
        <f>Model!V47/Model!V35</f>
        <v>0.21379471321438201</v>
      </c>
      <c r="U17" s="278" t="s">
        <v>467</v>
      </c>
      <c r="V17" s="253"/>
      <c r="W17" s="253"/>
      <c r="X17" s="253"/>
      <c r="Y17" s="253"/>
      <c r="Z17" s="253"/>
      <c r="AA17" s="253"/>
      <c r="AB17" s="253"/>
      <c r="AC17" s="253"/>
      <c r="AD17" s="253"/>
      <c r="AE17" s="253"/>
      <c r="AF17" s="253"/>
      <c r="AG17" s="253"/>
      <c r="AH17" s="253"/>
      <c r="AI17" s="253"/>
      <c r="AJ17" s="253"/>
      <c r="AK17" s="253"/>
      <c r="AL17" s="253"/>
      <c r="AM17" s="253"/>
      <c r="AN17" s="253"/>
      <c r="AO17" s="253"/>
      <c r="AP17" s="253"/>
      <c r="AQ17" s="253"/>
      <c r="AR17" s="253"/>
      <c r="AS17" s="253"/>
      <c r="AT17" s="253"/>
      <c r="AU17" s="253"/>
      <c r="AV17" s="253"/>
      <c r="AW17" s="253"/>
      <c r="AX17" s="253"/>
      <c r="AY17" s="253"/>
      <c r="AZ17" s="253"/>
      <c r="BA17" s="253"/>
      <c r="BB17" s="253"/>
      <c r="BC17" s="253"/>
      <c r="BD17" s="253"/>
      <c r="BE17" s="253"/>
      <c r="BF17" s="253"/>
      <c r="BG17" s="279"/>
    </row>
    <row r="18" spans="4:59" ht="16.5" x14ac:dyDescent="0.3">
      <c r="D18" s="24"/>
      <c r="E18" s="105"/>
      <c r="F18" s="105"/>
      <c r="G18" s="105"/>
      <c r="H18" s="105"/>
      <c r="I18" s="154"/>
      <c r="J18" s="105"/>
      <c r="K18" s="105"/>
      <c r="L18" s="105"/>
      <c r="M18" s="105"/>
      <c r="N18" s="105"/>
      <c r="O18" s="105"/>
      <c r="P18" s="105"/>
      <c r="Q18" s="105"/>
      <c r="R18" s="105"/>
      <c r="S18" s="105"/>
      <c r="U18" s="280" t="s">
        <v>472</v>
      </c>
      <c r="V18" s="281"/>
      <c r="W18" s="281"/>
      <c r="X18" s="281"/>
      <c r="Y18" s="281"/>
      <c r="Z18" s="281"/>
      <c r="AA18" s="281"/>
      <c r="AB18" s="281"/>
      <c r="AC18" s="281"/>
      <c r="AD18" s="281"/>
      <c r="AE18" s="281"/>
      <c r="AF18" s="281"/>
      <c r="AG18" s="281"/>
      <c r="AH18" s="281"/>
      <c r="AI18" s="281"/>
      <c r="AJ18" s="281"/>
      <c r="AK18" s="281"/>
      <c r="AL18" s="281"/>
      <c r="AM18" s="281"/>
      <c r="AN18" s="281"/>
      <c r="AO18" s="281"/>
      <c r="AP18" s="281"/>
      <c r="AQ18" s="281"/>
      <c r="AR18" s="281"/>
      <c r="AS18" s="281"/>
      <c r="AT18" s="281"/>
      <c r="AU18" s="281"/>
      <c r="AV18" s="281"/>
      <c r="AW18" s="281"/>
      <c r="AX18" s="281"/>
      <c r="AY18" s="281"/>
      <c r="AZ18" s="281"/>
      <c r="BA18" s="281"/>
      <c r="BB18" s="281"/>
      <c r="BC18" s="281"/>
      <c r="BD18" s="281"/>
      <c r="BE18" s="281"/>
      <c r="BF18" s="281"/>
      <c r="BG18" s="282"/>
    </row>
    <row r="19" spans="4:59" ht="16.5" x14ac:dyDescent="0.3">
      <c r="D19" s="24" t="s">
        <v>336</v>
      </c>
      <c r="E19" s="105">
        <f>-Model!H48/Model!H47</f>
        <v>0.25960161437312856</v>
      </c>
      <c r="F19" s="105">
        <f>-Model!I48/Model!I47</f>
        <v>0.22193612478162064</v>
      </c>
      <c r="G19" s="105">
        <f>-Model!J48/Model!J47</f>
        <v>0.2669826884123041</v>
      </c>
      <c r="H19" s="105">
        <f>-Model!K48/Model!K47</f>
        <v>0.19652118912080951</v>
      </c>
      <c r="I19" s="154">
        <f>-Model!L48/Model!L47</f>
        <v>0.14011989567056612</v>
      </c>
      <c r="J19" s="105">
        <f>-Model!M48/Model!M47</f>
        <v>0.14082049514891895</v>
      </c>
      <c r="K19" s="105">
        <f>-Model!N48/Model!N47</f>
        <v>0.14082049514891895</v>
      </c>
      <c r="L19" s="105">
        <f>-Model!O48/Model!O47</f>
        <v>0.14152459762466352</v>
      </c>
      <c r="M19" s="105">
        <f>-Model!P48/Model!P47</f>
        <v>0.14152459762466352</v>
      </c>
      <c r="N19" s="105">
        <f>-Model!Q48/Model!Q47</f>
        <v>0.14223222061278681</v>
      </c>
      <c r="O19" s="105">
        <f>-Model!R48/Model!R47</f>
        <v>0.14223222061278681</v>
      </c>
      <c r="P19" s="105">
        <f>-Model!S48/Model!S47</f>
        <v>0.14294338171585072</v>
      </c>
      <c r="Q19" s="105">
        <f>-Model!T48/Model!T47</f>
        <v>0.14294338171585072</v>
      </c>
      <c r="R19" s="105">
        <f>-Model!U48/Model!U47</f>
        <v>0.14365809862442996</v>
      </c>
      <c r="S19" s="105">
        <f>-Model!V48/Model!V47</f>
        <v>0.14365809862442996</v>
      </c>
      <c r="U19" s="278"/>
      <c r="V19" s="253"/>
      <c r="W19" s="253"/>
      <c r="X19" s="253"/>
      <c r="Y19" s="253"/>
      <c r="Z19" s="253"/>
      <c r="AA19" s="253"/>
      <c r="AB19" s="253"/>
      <c r="AC19" s="253"/>
      <c r="AD19" s="253"/>
      <c r="AE19" s="253"/>
      <c r="AF19" s="253"/>
      <c r="AG19" s="253"/>
      <c r="AH19" s="253"/>
      <c r="AI19" s="253"/>
      <c r="AJ19" s="253"/>
      <c r="AK19" s="253"/>
      <c r="AL19" s="253"/>
      <c r="AM19" s="253"/>
      <c r="AN19" s="253"/>
      <c r="AO19" s="253"/>
      <c r="AP19" s="253"/>
      <c r="AQ19" s="253"/>
      <c r="AR19" s="253"/>
      <c r="AS19" s="253"/>
      <c r="AT19" s="253"/>
      <c r="AU19" s="253"/>
      <c r="AV19" s="253"/>
      <c r="AW19" s="253"/>
      <c r="AX19" s="253"/>
      <c r="AY19" s="253"/>
      <c r="AZ19" s="253"/>
      <c r="BA19" s="253"/>
      <c r="BB19" s="253"/>
      <c r="BC19" s="253"/>
      <c r="BD19" s="253"/>
      <c r="BE19" s="253"/>
      <c r="BF19" s="253"/>
      <c r="BG19" s="279"/>
    </row>
    <row r="20" spans="4:59" ht="16.5" x14ac:dyDescent="0.3">
      <c r="D20" s="24"/>
      <c r="E20" s="105"/>
      <c r="F20" s="105"/>
      <c r="G20" s="105"/>
      <c r="H20" s="105"/>
      <c r="I20" s="154"/>
      <c r="J20" s="105"/>
      <c r="K20" s="105"/>
      <c r="L20" s="105"/>
      <c r="M20" s="105"/>
      <c r="N20" s="105"/>
      <c r="O20" s="105"/>
      <c r="P20" s="105"/>
      <c r="Q20" s="105"/>
      <c r="R20" s="105"/>
      <c r="S20" s="105"/>
      <c r="U20" s="195"/>
      <c r="V20" s="184"/>
      <c r="W20" s="184"/>
      <c r="X20" s="184"/>
      <c r="Y20" s="184"/>
      <c r="Z20" s="184"/>
      <c r="AA20" s="184"/>
      <c r="AB20" s="184"/>
      <c r="AC20" s="184"/>
      <c r="AD20" s="184"/>
      <c r="AE20" s="184"/>
      <c r="AF20" s="184"/>
      <c r="AG20" s="184"/>
      <c r="AH20" s="184"/>
      <c r="AI20" s="184"/>
      <c r="AJ20" s="184"/>
      <c r="AK20" s="184"/>
      <c r="AL20" s="184"/>
      <c r="AM20" s="184"/>
      <c r="AN20" s="184"/>
      <c r="AO20" s="184"/>
      <c r="AP20" s="184"/>
      <c r="AQ20" s="184"/>
      <c r="AR20" s="184"/>
      <c r="AS20" s="184"/>
      <c r="AT20" s="184"/>
      <c r="AU20" s="184"/>
      <c r="AV20" s="184"/>
      <c r="AW20" s="184"/>
      <c r="AX20" s="184"/>
      <c r="AY20" s="184"/>
      <c r="AZ20" s="184"/>
      <c r="BA20" s="184"/>
      <c r="BB20" s="184"/>
      <c r="BC20" s="184"/>
      <c r="BD20" s="184"/>
      <c r="BE20" s="184"/>
      <c r="BF20" s="184"/>
      <c r="BG20" s="196"/>
    </row>
    <row r="21" spans="4:59" ht="16.5" x14ac:dyDescent="0.3">
      <c r="D21" s="24" t="s">
        <v>337</v>
      </c>
      <c r="E21" s="105">
        <f>Model!H49/Model!H35</f>
        <v>0.10757643173019904</v>
      </c>
      <c r="F21" s="105">
        <f>Model!I49/Model!I35</f>
        <v>0.11709387976742934</v>
      </c>
      <c r="G21" s="105">
        <f>Model!J49/Model!J35</f>
        <v>0.11193346875129538</v>
      </c>
      <c r="H21" s="105">
        <f>Model!K49/Model!K35</f>
        <v>9.8083368722514969E-2</v>
      </c>
      <c r="I21" s="154">
        <f>Model!L49/Model!L35</f>
        <v>9.463611628951675E-2</v>
      </c>
      <c r="J21" s="105">
        <f>Model!M49/Model!M35</f>
        <v>0.16163779296520014</v>
      </c>
      <c r="K21" s="105">
        <f>Model!N49/Model!N35</f>
        <v>0.16540721316056378</v>
      </c>
      <c r="L21" s="105">
        <f>Model!O49/Model!O35</f>
        <v>0.16837061655519442</v>
      </c>
      <c r="M21" s="105">
        <f>Model!P49/Model!P35</f>
        <v>0.1714084882370695</v>
      </c>
      <c r="N21" s="105">
        <f>Model!Q49/Model!Q35</f>
        <v>0.17375436587170806</v>
      </c>
      <c r="O21" s="105">
        <f>Model!R49/Model!R35</f>
        <v>0.17620407545511751</v>
      </c>
      <c r="P21" s="105">
        <f>Model!S49/Model!S35</f>
        <v>0.17805451324741886</v>
      </c>
      <c r="Q21" s="105">
        <f>Model!T49/Model!T35</f>
        <v>0.18003142068870429</v>
      </c>
      <c r="R21" s="105">
        <f>Model!U49/Model!U35</f>
        <v>0.18148449774186692</v>
      </c>
      <c r="S21" s="105">
        <f>Model!V49/Model!V35</f>
        <v>0.1830813712180486</v>
      </c>
      <c r="U21" s="283" t="s">
        <v>450</v>
      </c>
      <c r="V21" s="284"/>
      <c r="W21" s="284"/>
      <c r="X21" s="284"/>
      <c r="Y21" s="284"/>
      <c r="Z21" s="284"/>
      <c r="AA21" s="284"/>
      <c r="AB21" s="284"/>
      <c r="AC21" s="284"/>
      <c r="AD21" s="284"/>
      <c r="AE21" s="284"/>
      <c r="AF21" s="284"/>
      <c r="AG21" s="284"/>
      <c r="AH21" s="284"/>
      <c r="AI21" s="284"/>
      <c r="AJ21" s="284"/>
      <c r="AK21" s="284"/>
      <c r="AL21" s="284"/>
      <c r="AM21" s="284"/>
      <c r="AN21" s="284"/>
      <c r="AO21" s="284"/>
      <c r="AP21" s="284"/>
      <c r="AQ21" s="284"/>
      <c r="AR21" s="284"/>
      <c r="AS21" s="284"/>
      <c r="AT21" s="284"/>
      <c r="AU21" s="284"/>
      <c r="AV21" s="284"/>
      <c r="AW21" s="284"/>
      <c r="AX21" s="284"/>
      <c r="AY21" s="284"/>
      <c r="AZ21" s="284"/>
      <c r="BA21" s="284"/>
      <c r="BB21" s="284"/>
      <c r="BC21" s="284"/>
      <c r="BD21" s="284"/>
      <c r="BE21" s="284"/>
      <c r="BF21" s="284"/>
      <c r="BG21" s="285"/>
    </row>
    <row r="22" spans="4:59" s="192" customFormat="1" ht="16.5" x14ac:dyDescent="0.3">
      <c r="D22" s="191"/>
      <c r="E22" s="105"/>
      <c r="F22" s="105"/>
      <c r="G22" s="105"/>
      <c r="H22" s="105"/>
      <c r="I22" s="154"/>
      <c r="J22" s="105"/>
      <c r="K22" s="105"/>
      <c r="L22" s="105"/>
      <c r="M22" s="105"/>
      <c r="N22" s="105"/>
      <c r="O22" s="105"/>
      <c r="P22" s="105"/>
      <c r="Q22" s="105"/>
      <c r="R22" s="105"/>
      <c r="S22" s="105"/>
      <c r="U22" s="280" t="s">
        <v>473</v>
      </c>
      <c r="V22" s="281"/>
      <c r="W22" s="281"/>
      <c r="X22" s="281"/>
      <c r="Y22" s="281"/>
      <c r="Z22" s="281"/>
      <c r="AA22" s="281"/>
      <c r="AB22" s="281"/>
      <c r="AC22" s="281"/>
      <c r="AD22" s="281"/>
      <c r="AE22" s="281"/>
      <c r="AF22" s="281"/>
      <c r="AG22" s="281"/>
      <c r="AH22" s="281"/>
      <c r="AI22" s="281"/>
      <c r="AJ22" s="281"/>
      <c r="AK22" s="281"/>
      <c r="AL22" s="281"/>
      <c r="AM22" s="281"/>
      <c r="AN22" s="281"/>
      <c r="AO22" s="281"/>
      <c r="AP22" s="281"/>
      <c r="AQ22" s="281"/>
      <c r="AR22" s="281"/>
      <c r="AS22" s="281"/>
      <c r="AT22" s="281"/>
      <c r="AU22" s="281"/>
      <c r="AV22" s="281"/>
      <c r="AW22" s="281"/>
      <c r="AX22" s="281"/>
      <c r="AY22" s="281"/>
      <c r="AZ22" s="281"/>
      <c r="BA22" s="281"/>
      <c r="BB22" s="281"/>
      <c r="BC22" s="281"/>
      <c r="BD22" s="281"/>
      <c r="BE22" s="281"/>
      <c r="BF22" s="281"/>
      <c r="BG22" s="282"/>
    </row>
    <row r="23" spans="4:59" ht="16.5" x14ac:dyDescent="0.3">
      <c r="D23" s="24"/>
      <c r="E23" s="24"/>
      <c r="U23" s="278"/>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79"/>
    </row>
    <row r="24" spans="4:59" ht="16.5" customHeight="1" x14ac:dyDescent="0.3">
      <c r="D24" s="5" t="s">
        <v>338</v>
      </c>
      <c r="E24" s="5"/>
      <c r="U24" s="278"/>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79"/>
    </row>
    <row r="25" spans="4:59" ht="16.5" x14ac:dyDescent="0.3">
      <c r="D25" s="24" t="s">
        <v>339</v>
      </c>
      <c r="E25" s="8">
        <v>0</v>
      </c>
      <c r="F25" s="74">
        <f>Model!I35/AVERAGE(Model!H64:I64)</f>
        <v>0.32638380898097341</v>
      </c>
      <c r="G25" s="74">
        <f>Model!J35/AVERAGE(Model!I64:J64)</f>
        <v>0.34200477131756524</v>
      </c>
      <c r="H25" s="74">
        <f>Model!K35/AVERAGE(Model!J64:K64)</f>
        <v>0.37886528300642403</v>
      </c>
      <c r="I25" s="155">
        <f>Model!L35/AVERAGE(Model!K64:L64)</f>
        <v>0.40847428948338044</v>
      </c>
      <c r="J25" s="74">
        <f>Model!M35/AVERAGE(Model!L64:M64)</f>
        <v>0.42719856421475538</v>
      </c>
      <c r="K25" s="74">
        <f>Model!N35/AVERAGE(Model!M64:N64)</f>
        <v>0.43354314079764489</v>
      </c>
      <c r="L25" s="74">
        <f>Model!O35/AVERAGE(Model!N64:O64)</f>
        <v>0.43903463838676743</v>
      </c>
      <c r="M25" s="74">
        <f>Model!P35/AVERAGE(Model!O64:P64)</f>
        <v>0.44398720686156246</v>
      </c>
      <c r="N25" s="74">
        <f>Model!Q35/AVERAGE(Model!P64:Q64)</f>
        <v>0.44843756551178099</v>
      </c>
      <c r="O25" s="74">
        <f>Model!R35/AVERAGE(Model!Q64:R64)</f>
        <v>0.45242232963250745</v>
      </c>
      <c r="P25" s="74">
        <f>Model!S35/AVERAGE(Model!R64:S64)</f>
        <v>0.45597853064337179</v>
      </c>
      <c r="Q25" s="74">
        <f>Model!T35/AVERAGE(Model!S64:T64)</f>
        <v>0.45914162221568139</v>
      </c>
      <c r="R25" s="74">
        <f>Model!U35/AVERAGE(Model!T64:U64)</f>
        <v>0.46194659573523905</v>
      </c>
      <c r="S25" s="74">
        <f>Model!V35/AVERAGE(Model!U64:V64)</f>
        <v>0.46442594815333321</v>
      </c>
      <c r="U25" s="283" t="s">
        <v>451</v>
      </c>
      <c r="V25" s="284"/>
      <c r="W25" s="284"/>
      <c r="X25" s="284"/>
      <c r="Y25" s="284"/>
      <c r="Z25" s="284"/>
      <c r="AA25" s="284"/>
      <c r="AB25" s="284"/>
      <c r="AC25" s="284"/>
      <c r="AD25" s="284"/>
      <c r="AE25" s="284"/>
      <c r="AF25" s="284"/>
      <c r="AG25" s="284"/>
      <c r="AH25" s="284"/>
      <c r="AI25" s="284"/>
      <c r="AJ25" s="284"/>
      <c r="AK25" s="284"/>
      <c r="AL25" s="284"/>
      <c r="AM25" s="284"/>
      <c r="AN25" s="284"/>
      <c r="AO25" s="284"/>
      <c r="AP25" s="284"/>
      <c r="AQ25" s="284"/>
      <c r="AR25" s="284"/>
      <c r="AS25" s="284"/>
      <c r="AT25" s="284"/>
      <c r="AU25" s="284"/>
      <c r="AV25" s="284"/>
      <c r="AW25" s="284"/>
      <c r="AX25" s="284"/>
      <c r="AY25" s="284"/>
      <c r="AZ25" s="284"/>
      <c r="BA25" s="284"/>
      <c r="BB25" s="284"/>
      <c r="BC25" s="284"/>
      <c r="BD25" s="284"/>
      <c r="BE25" s="284"/>
      <c r="BF25" s="284"/>
      <c r="BG25" s="285"/>
    </row>
    <row r="26" spans="4:59" ht="16.5" x14ac:dyDescent="0.3">
      <c r="D26" s="24"/>
      <c r="E26" s="51"/>
      <c r="F26" s="74"/>
      <c r="G26" s="74"/>
      <c r="H26" s="74"/>
      <c r="I26" s="155"/>
      <c r="J26" s="74"/>
      <c r="K26" s="74"/>
      <c r="L26" s="74"/>
      <c r="M26" s="74"/>
      <c r="N26" s="74"/>
      <c r="O26" s="74"/>
      <c r="P26" s="74"/>
      <c r="Q26" s="74"/>
      <c r="R26" s="74"/>
      <c r="S26" s="74"/>
      <c r="U26" s="280" t="s">
        <v>468</v>
      </c>
      <c r="V26" s="281"/>
      <c r="W26" s="281"/>
      <c r="X26" s="281"/>
      <c r="Y26" s="281"/>
      <c r="Z26" s="281"/>
      <c r="AA26" s="281"/>
      <c r="AB26" s="281"/>
      <c r="AC26" s="281"/>
      <c r="AD26" s="281"/>
      <c r="AE26" s="281"/>
      <c r="AF26" s="281"/>
      <c r="AG26" s="281"/>
      <c r="AH26" s="281"/>
      <c r="AI26" s="281"/>
      <c r="AJ26" s="281"/>
      <c r="AK26" s="281"/>
      <c r="AL26" s="281"/>
      <c r="AM26" s="281"/>
      <c r="AN26" s="281"/>
      <c r="AO26" s="281"/>
      <c r="AP26" s="281"/>
      <c r="AQ26" s="281"/>
      <c r="AR26" s="281"/>
      <c r="AS26" s="281"/>
      <c r="AT26" s="281"/>
      <c r="AU26" s="281"/>
      <c r="AV26" s="281"/>
      <c r="AW26" s="281"/>
      <c r="AX26" s="281"/>
      <c r="AY26" s="281"/>
      <c r="AZ26" s="281"/>
      <c r="BA26" s="281"/>
      <c r="BB26" s="281"/>
      <c r="BC26" s="281"/>
      <c r="BD26" s="281"/>
      <c r="BE26" s="281"/>
      <c r="BF26" s="281"/>
      <c r="BG26" s="282"/>
    </row>
    <row r="27" spans="4:59" ht="16.5" x14ac:dyDescent="0.3">
      <c r="D27" s="24" t="s">
        <v>340</v>
      </c>
      <c r="E27" s="8">
        <v>0</v>
      </c>
      <c r="F27" s="74">
        <f>Model!I47/AVERAGE(Model!H64:I64)</f>
        <v>4.9118777653219273E-2</v>
      </c>
      <c r="G27" s="74">
        <f>Model!J47/AVERAGE(Model!I64:J64)</f>
        <v>5.2224933542362462E-2</v>
      </c>
      <c r="H27" s="74">
        <f>Model!K47/AVERAGE(Model!J64:K64)</f>
        <v>4.6249363077312602E-2</v>
      </c>
      <c r="I27" s="155">
        <f>Model!L47/AVERAGE(Model!K64:L64)</f>
        <v>4.4955593420750929E-2</v>
      </c>
      <c r="J27" s="74">
        <f>Model!M47/AVERAGE(Model!L64:M64)</f>
        <v>8.0369041262854463E-2</v>
      </c>
      <c r="K27" s="74">
        <f>Model!N47/AVERAGE(Model!M64:N64)</f>
        <v>8.3464703591417541E-2</v>
      </c>
      <c r="L27" s="74">
        <f>Model!O47/AVERAGE(Model!N64:O64)</f>
        <v>8.6106756873562521E-2</v>
      </c>
      <c r="M27" s="74">
        <f>Model!P47/AVERAGE(Model!O64:P64)</f>
        <v>8.8649221298790548E-2</v>
      </c>
      <c r="N27" s="74">
        <f>Model!Q47/AVERAGE(Model!P64:Q64)</f>
        <v>9.0838087768016218E-2</v>
      </c>
      <c r="O27" s="74">
        <f>Model!R47/AVERAGE(Model!Q64:R64)</f>
        <v>9.2937342977719647E-2</v>
      </c>
      <c r="P27" s="74">
        <f>Model!S47/AVERAGE(Model!R64:S64)</f>
        <v>9.4730072194671916E-2</v>
      </c>
      <c r="Q27" s="74">
        <f>Model!T47/AVERAGE(Model!S64:T64)</f>
        <v>9.6446275288431818E-2</v>
      </c>
      <c r="R27" s="74">
        <f>Model!U47/AVERAGE(Model!T64:U64)</f>
        <v>9.7900319692293875E-2</v>
      </c>
      <c r="S27" s="74">
        <f>Model!V47/AVERAGE(Model!U64:V64)</f>
        <v>9.929181239475933E-2</v>
      </c>
      <c r="U27" s="278" t="s">
        <v>451</v>
      </c>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79"/>
    </row>
    <row r="28" spans="4:59" ht="16.5" x14ac:dyDescent="0.3">
      <c r="D28" s="24"/>
      <c r="E28" s="51"/>
      <c r="F28" s="74"/>
      <c r="G28" s="74"/>
      <c r="H28" s="74"/>
      <c r="I28" s="155"/>
      <c r="J28" s="74"/>
      <c r="K28" s="74"/>
      <c r="L28" s="74"/>
      <c r="M28" s="74"/>
      <c r="N28" s="74"/>
      <c r="O28" s="74"/>
      <c r="P28" s="74"/>
      <c r="Q28" s="74"/>
      <c r="R28" s="74"/>
      <c r="S28" s="74"/>
      <c r="U28" s="280" t="s">
        <v>468</v>
      </c>
      <c r="V28" s="281"/>
      <c r="W28" s="281"/>
      <c r="X28" s="281"/>
      <c r="Y28" s="281"/>
      <c r="Z28" s="281"/>
      <c r="AA28" s="281"/>
      <c r="AB28" s="281"/>
      <c r="AC28" s="281"/>
      <c r="AD28" s="281"/>
      <c r="AE28" s="281"/>
      <c r="AF28" s="281"/>
      <c r="AG28" s="281"/>
      <c r="AH28" s="281"/>
      <c r="AI28" s="281"/>
      <c r="AJ28" s="281"/>
      <c r="AK28" s="281"/>
      <c r="AL28" s="281"/>
      <c r="AM28" s="281"/>
      <c r="AN28" s="281"/>
      <c r="AO28" s="281"/>
      <c r="AP28" s="281"/>
      <c r="AQ28" s="281"/>
      <c r="AR28" s="281"/>
      <c r="AS28" s="281"/>
      <c r="AT28" s="281"/>
      <c r="AU28" s="281"/>
      <c r="AV28" s="281"/>
      <c r="AW28" s="281"/>
      <c r="AX28" s="281"/>
      <c r="AY28" s="281"/>
      <c r="AZ28" s="281"/>
      <c r="BA28" s="281"/>
      <c r="BB28" s="281"/>
      <c r="BC28" s="281"/>
      <c r="BD28" s="281"/>
      <c r="BE28" s="281"/>
      <c r="BF28" s="281"/>
      <c r="BG28" s="282"/>
    </row>
    <row r="29" spans="4:59" ht="16.5" x14ac:dyDescent="0.3">
      <c r="D29" s="24" t="s">
        <v>341</v>
      </c>
      <c r="E29" s="74">
        <f>Model!H49/Model!H47</f>
        <v>0.74039838562687155</v>
      </c>
      <c r="F29" s="74">
        <f>Model!I49/Model!I47</f>
        <v>0.77806387521837939</v>
      </c>
      <c r="G29" s="74">
        <f>Model!J49/Model!J47</f>
        <v>0.7330173115876959</v>
      </c>
      <c r="H29" s="74">
        <f>Model!K49/Model!K47</f>
        <v>0.80347881087919049</v>
      </c>
      <c r="I29" s="155">
        <f>Model!L49/Model!L47</f>
        <v>0.85988010432943396</v>
      </c>
      <c r="J29" s="74">
        <f>Model!M49/Model!M47</f>
        <v>0.85917950485108108</v>
      </c>
      <c r="K29" s="74">
        <f>Model!N49/Model!N47</f>
        <v>0.85917950485108097</v>
      </c>
      <c r="L29" s="74">
        <f>Model!O49/Model!O47</f>
        <v>0.85847540237533648</v>
      </c>
      <c r="M29" s="74">
        <f>Model!P49/Model!P47</f>
        <v>0.85847540237533648</v>
      </c>
      <c r="N29" s="74">
        <f>Model!Q49/Model!Q47</f>
        <v>0.85776777938721316</v>
      </c>
      <c r="O29" s="74">
        <f>Model!R49/Model!R47</f>
        <v>0.85776777938721316</v>
      </c>
      <c r="P29" s="74">
        <f>Model!S49/Model!S47</f>
        <v>0.85705661828414936</v>
      </c>
      <c r="Q29" s="74">
        <f>Model!T49/Model!T47</f>
        <v>0.85705661828414925</v>
      </c>
      <c r="R29" s="74">
        <f>Model!U49/Model!U47</f>
        <v>0.85634190137557009</v>
      </c>
      <c r="S29" s="74">
        <f>Model!V49/Model!V47</f>
        <v>0.85634190137557009</v>
      </c>
      <c r="U29" s="278"/>
      <c r="V29" s="253"/>
      <c r="W29" s="253"/>
      <c r="X29" s="253"/>
      <c r="Y29" s="253"/>
      <c r="Z29" s="253"/>
      <c r="AA29" s="253"/>
      <c r="AB29" s="253"/>
      <c r="AC29" s="253"/>
      <c r="AD29" s="253"/>
      <c r="AE29" s="253"/>
      <c r="AF29" s="253"/>
      <c r="AG29" s="253"/>
      <c r="AH29" s="253"/>
      <c r="AI29" s="253"/>
      <c r="AJ29" s="253"/>
      <c r="AK29" s="253"/>
      <c r="AL29" s="253"/>
      <c r="AM29" s="253"/>
      <c r="AN29" s="253"/>
      <c r="AO29" s="253"/>
      <c r="AP29" s="253"/>
      <c r="AQ29" s="253"/>
      <c r="AR29" s="253"/>
      <c r="AS29" s="253"/>
      <c r="AT29" s="253"/>
      <c r="AU29" s="253"/>
      <c r="AV29" s="253"/>
      <c r="AW29" s="253"/>
      <c r="AX29" s="253"/>
      <c r="AY29" s="253"/>
      <c r="AZ29" s="253"/>
      <c r="BA29" s="253"/>
      <c r="BB29" s="253"/>
      <c r="BC29" s="253"/>
      <c r="BD29" s="253"/>
      <c r="BE29" s="253"/>
      <c r="BF29" s="253"/>
      <c r="BG29" s="279"/>
    </row>
    <row r="30" spans="4:59" ht="16.5" x14ac:dyDescent="0.3">
      <c r="D30" s="24"/>
      <c r="E30" s="74"/>
      <c r="F30" s="74"/>
      <c r="G30" s="74"/>
      <c r="H30" s="74"/>
      <c r="I30" s="155"/>
      <c r="J30" s="74"/>
      <c r="K30" s="74"/>
      <c r="L30" s="74"/>
      <c r="M30" s="74"/>
      <c r="N30" s="74"/>
      <c r="O30" s="74"/>
      <c r="P30" s="74"/>
      <c r="Q30" s="74"/>
      <c r="R30" s="74"/>
      <c r="S30" s="74"/>
      <c r="U30" s="278"/>
      <c r="V30" s="253"/>
      <c r="W30" s="253"/>
      <c r="X30" s="253"/>
      <c r="Y30" s="253"/>
      <c r="Z30" s="253"/>
      <c r="AA30" s="253"/>
      <c r="AB30" s="253"/>
      <c r="AC30" s="253"/>
      <c r="AD30" s="253"/>
      <c r="AE30" s="253"/>
      <c r="AF30" s="253"/>
      <c r="AG30" s="253"/>
      <c r="AH30" s="253"/>
      <c r="AI30" s="253"/>
      <c r="AJ30" s="253"/>
      <c r="AK30" s="253"/>
      <c r="AL30" s="253"/>
      <c r="AM30" s="253"/>
      <c r="AN30" s="253"/>
      <c r="AO30" s="253"/>
      <c r="AP30" s="253"/>
      <c r="AQ30" s="253"/>
      <c r="AR30" s="253"/>
      <c r="AS30" s="253"/>
      <c r="AT30" s="253"/>
      <c r="AU30" s="253"/>
      <c r="AV30" s="253"/>
      <c r="AW30" s="253"/>
      <c r="AX30" s="253"/>
      <c r="AY30" s="253"/>
      <c r="AZ30" s="253"/>
      <c r="BA30" s="253"/>
      <c r="BB30" s="253"/>
      <c r="BC30" s="253"/>
      <c r="BD30" s="253"/>
      <c r="BE30" s="253"/>
      <c r="BF30" s="253"/>
      <c r="BG30" s="279"/>
    </row>
    <row r="31" spans="4:59" ht="16.5" x14ac:dyDescent="0.3">
      <c r="D31" s="24" t="s">
        <v>342</v>
      </c>
      <c r="E31" s="8">
        <v>0</v>
      </c>
      <c r="F31" s="74">
        <f>Model!I49/AVERAGE(Model!H80:I80)</f>
        <v>0.14133792978995488</v>
      </c>
      <c r="G31" s="74">
        <f>Model!J49/AVERAGE(Model!I80:J80)</f>
        <v>0.13854314006317947</v>
      </c>
      <c r="H31" s="74">
        <f>Model!K49/AVERAGE(Model!J80:K80)</f>
        <v>0.13116282125894094</v>
      </c>
      <c r="I31" s="155">
        <f>Model!L49/AVERAGE(Model!K80:L80)</f>
        <v>0.12947659264779363</v>
      </c>
      <c r="J31" s="74">
        <f>Model!M49/AVERAGE(Model!L80:M80)</f>
        <v>0.21414845725323145</v>
      </c>
      <c r="K31" s="74">
        <f>Model!N49/AVERAGE(Model!M80:N80)</f>
        <v>0.20457129967615906</v>
      </c>
      <c r="L31" s="74">
        <f>Model!O49/AVERAGE(Model!N80:O80)</f>
        <v>0.19550306768964468</v>
      </c>
      <c r="M31" s="74">
        <f>Model!P49/AVERAGE(Model!O80:P80)</f>
        <v>0.1878176027557095</v>
      </c>
      <c r="N31" s="74">
        <f>Model!Q49/AVERAGE(Model!P80:Q80)</f>
        <v>0.1804896629787425</v>
      </c>
      <c r="O31" s="74">
        <f>Model!R49/AVERAGE(Model!Q80:R80)</f>
        <v>0.17423874495798652</v>
      </c>
      <c r="P31" s="74">
        <f>Model!S49/AVERAGE(Model!R80:S80)</f>
        <v>0.16823751832573478</v>
      </c>
      <c r="Q31" s="74">
        <f>Model!T49/AVERAGE(Model!S80:T80)</f>
        <v>0.16309347638576507</v>
      </c>
      <c r="R31" s="74">
        <f>Model!U49/AVERAGE(Model!T80:U80)</f>
        <v>0.15812159685601837</v>
      </c>
      <c r="S31" s="74">
        <f>Model!V49/AVERAGE(Model!U80:V80)</f>
        <v>0.1538456435067368</v>
      </c>
      <c r="U31" s="283" t="s">
        <v>453</v>
      </c>
      <c r="V31" s="284"/>
      <c r="W31" s="284"/>
      <c r="X31" s="284"/>
      <c r="Y31" s="284"/>
      <c r="Z31" s="284"/>
      <c r="AA31" s="284"/>
      <c r="AB31" s="284"/>
      <c r="AC31" s="284"/>
      <c r="AD31" s="284"/>
      <c r="AE31" s="284"/>
      <c r="AF31" s="284"/>
      <c r="AG31" s="284"/>
      <c r="AH31" s="284"/>
      <c r="AI31" s="284"/>
      <c r="AJ31" s="284"/>
      <c r="AK31" s="284"/>
      <c r="AL31" s="284"/>
      <c r="AM31" s="284"/>
      <c r="AN31" s="284"/>
      <c r="AO31" s="284"/>
      <c r="AP31" s="284"/>
      <c r="AQ31" s="284"/>
      <c r="AR31" s="284"/>
      <c r="AS31" s="284"/>
      <c r="AT31" s="284"/>
      <c r="AU31" s="284"/>
      <c r="AV31" s="284"/>
      <c r="AW31" s="284"/>
      <c r="AX31" s="284"/>
      <c r="AY31" s="284"/>
      <c r="AZ31" s="284"/>
      <c r="BA31" s="284"/>
      <c r="BB31" s="284"/>
      <c r="BC31" s="284"/>
      <c r="BD31" s="284"/>
      <c r="BE31" s="284"/>
      <c r="BF31" s="284"/>
      <c r="BG31" s="285"/>
    </row>
    <row r="32" spans="4:59" ht="16.5" x14ac:dyDescent="0.3">
      <c r="D32" s="24"/>
      <c r="E32" s="51"/>
      <c r="F32" s="74"/>
      <c r="G32" s="74"/>
      <c r="H32" s="74"/>
      <c r="I32" s="155"/>
      <c r="J32" s="74"/>
      <c r="K32" s="74"/>
      <c r="L32" s="74"/>
      <c r="M32" s="74"/>
      <c r="N32" s="74"/>
      <c r="O32" s="74"/>
      <c r="P32" s="74"/>
      <c r="Q32" s="74"/>
      <c r="R32" s="74"/>
      <c r="S32" s="74"/>
      <c r="U32" s="280" t="s">
        <v>454</v>
      </c>
      <c r="V32" s="281"/>
      <c r="W32" s="281"/>
      <c r="X32" s="281"/>
      <c r="Y32" s="281"/>
      <c r="Z32" s="281"/>
      <c r="AA32" s="281"/>
      <c r="AB32" s="281"/>
      <c r="AC32" s="281"/>
      <c r="AD32" s="281"/>
      <c r="AE32" s="281"/>
      <c r="AF32" s="281"/>
      <c r="AG32" s="281"/>
      <c r="AH32" s="281"/>
      <c r="AI32" s="281"/>
      <c r="AJ32" s="281"/>
      <c r="AK32" s="281"/>
      <c r="AL32" s="281"/>
      <c r="AM32" s="281"/>
      <c r="AN32" s="281"/>
      <c r="AO32" s="281"/>
      <c r="AP32" s="281"/>
      <c r="AQ32" s="281"/>
      <c r="AR32" s="281"/>
      <c r="AS32" s="281"/>
      <c r="AT32" s="281"/>
      <c r="AU32" s="281"/>
      <c r="AV32" s="281"/>
      <c r="AW32" s="281"/>
      <c r="AX32" s="281"/>
      <c r="AY32" s="281"/>
      <c r="AZ32" s="281"/>
      <c r="BA32" s="281"/>
      <c r="BB32" s="281"/>
      <c r="BC32" s="281"/>
      <c r="BD32" s="281"/>
      <c r="BE32" s="281"/>
      <c r="BF32" s="281"/>
      <c r="BG32" s="282"/>
    </row>
    <row r="33" spans="4:59" ht="16.5" x14ac:dyDescent="0.3">
      <c r="D33" s="24" t="s">
        <v>343</v>
      </c>
      <c r="E33" s="74">
        <f>Model!H49/Model!H49</f>
        <v>1</v>
      </c>
      <c r="F33" s="74">
        <f>Model!I49/Model!I49</f>
        <v>1</v>
      </c>
      <c r="G33" s="74">
        <f>Model!J49/Model!J49</f>
        <v>1</v>
      </c>
      <c r="H33" s="74">
        <f>Model!K49/Model!K49</f>
        <v>1</v>
      </c>
      <c r="I33" s="155">
        <f>Model!L49/Model!L49</f>
        <v>1</v>
      </c>
      <c r="J33" s="74">
        <f>Model!M49/Model!M49</f>
        <v>1</v>
      </c>
      <c r="K33" s="74">
        <f>Model!N49/Model!N49</f>
        <v>1</v>
      </c>
      <c r="L33" s="74">
        <f>Model!O49/Model!O49</f>
        <v>1</v>
      </c>
      <c r="M33" s="74">
        <f>Model!P49/Model!P49</f>
        <v>1</v>
      </c>
      <c r="N33" s="74">
        <f>Model!Q49/Model!Q49</f>
        <v>1</v>
      </c>
      <c r="O33" s="74">
        <f>Model!R49/Model!R49</f>
        <v>1</v>
      </c>
      <c r="P33" s="74">
        <f>Model!S49/Model!S49</f>
        <v>1</v>
      </c>
      <c r="Q33" s="74">
        <f>Model!T49/Model!T49</f>
        <v>1</v>
      </c>
      <c r="R33" s="74">
        <f>Model!U49/Model!U49</f>
        <v>1</v>
      </c>
      <c r="S33" s="74">
        <f>Model!V49/Model!V49</f>
        <v>1</v>
      </c>
      <c r="U33" s="278"/>
      <c r="V33" s="253"/>
      <c r="W33" s="253"/>
      <c r="X33" s="253"/>
      <c r="Y33" s="253"/>
      <c r="Z33" s="253"/>
      <c r="AA33" s="253"/>
      <c r="AB33" s="253"/>
      <c r="AC33" s="253"/>
      <c r="AD33" s="253"/>
      <c r="AE33" s="253"/>
      <c r="AF33" s="253"/>
      <c r="AG33" s="253"/>
      <c r="AH33" s="253"/>
      <c r="AI33" s="253"/>
      <c r="AJ33" s="253"/>
      <c r="AK33" s="253"/>
      <c r="AL33" s="253"/>
      <c r="AM33" s="253"/>
      <c r="AN33" s="253"/>
      <c r="AO33" s="253"/>
      <c r="AP33" s="253"/>
      <c r="AQ33" s="253"/>
      <c r="AR33" s="253"/>
      <c r="AS33" s="253"/>
      <c r="AT33" s="253"/>
      <c r="AU33" s="253"/>
      <c r="AV33" s="253"/>
      <c r="AW33" s="253"/>
      <c r="AX33" s="253"/>
      <c r="AY33" s="253"/>
      <c r="AZ33" s="253"/>
      <c r="BA33" s="253"/>
      <c r="BB33" s="253"/>
      <c r="BC33" s="253"/>
      <c r="BD33" s="253"/>
      <c r="BE33" s="253"/>
      <c r="BF33" s="253"/>
      <c r="BG33" s="279"/>
    </row>
    <row r="34" spans="4:59" ht="16.5" x14ac:dyDescent="0.3">
      <c r="D34" s="24"/>
      <c r="E34" s="74"/>
      <c r="F34" s="74"/>
      <c r="G34" s="74"/>
      <c r="H34" s="74"/>
      <c r="I34" s="155"/>
      <c r="J34" s="74"/>
      <c r="K34" s="74"/>
      <c r="L34" s="74"/>
      <c r="M34" s="74"/>
      <c r="N34" s="74"/>
      <c r="O34" s="74"/>
      <c r="P34" s="74"/>
      <c r="Q34" s="74"/>
      <c r="R34" s="74"/>
      <c r="S34" s="74"/>
      <c r="U34" s="280" t="s">
        <v>455</v>
      </c>
      <c r="V34" s="281"/>
      <c r="W34" s="281"/>
      <c r="X34" s="281"/>
      <c r="Y34" s="281"/>
      <c r="Z34" s="281"/>
      <c r="AA34" s="281"/>
      <c r="AB34" s="281"/>
      <c r="AC34" s="281"/>
      <c r="AD34" s="281"/>
      <c r="AE34" s="281"/>
      <c r="AF34" s="281"/>
      <c r="AG34" s="281"/>
      <c r="AH34" s="281"/>
      <c r="AI34" s="281"/>
      <c r="AJ34" s="281"/>
      <c r="AK34" s="281"/>
      <c r="AL34" s="281"/>
      <c r="AM34" s="281"/>
      <c r="AN34" s="281"/>
      <c r="AO34" s="281"/>
      <c r="AP34" s="281"/>
      <c r="AQ34" s="281"/>
      <c r="AR34" s="281"/>
      <c r="AS34" s="281"/>
      <c r="AT34" s="281"/>
      <c r="AU34" s="281"/>
      <c r="AV34" s="281"/>
      <c r="AW34" s="281"/>
      <c r="AX34" s="281"/>
      <c r="AY34" s="281"/>
      <c r="AZ34" s="281"/>
      <c r="BA34" s="281"/>
      <c r="BB34" s="281"/>
      <c r="BC34" s="281"/>
      <c r="BD34" s="281"/>
      <c r="BE34" s="281"/>
      <c r="BF34" s="281"/>
      <c r="BG34" s="282"/>
    </row>
    <row r="35" spans="4:59" ht="16.5" x14ac:dyDescent="0.3">
      <c r="D35" s="24" t="s">
        <v>344</v>
      </c>
      <c r="E35" s="8">
        <v>0</v>
      </c>
      <c r="F35" s="74">
        <f>Model!I49/AVERAGE(Model!H80:I80)</f>
        <v>0.14133792978995488</v>
      </c>
      <c r="G35" s="74">
        <f>Model!J49/AVERAGE(Model!I80:J80)</f>
        <v>0.13854314006317947</v>
      </c>
      <c r="H35" s="74">
        <f>Model!K49/AVERAGE(Model!J80:K80)</f>
        <v>0.13116282125894094</v>
      </c>
      <c r="I35" s="155">
        <f>Model!L49/AVERAGE(Model!K80:L80)</f>
        <v>0.12947659264779363</v>
      </c>
      <c r="J35" s="74">
        <f>Model!M49/AVERAGE(Model!L80:M80)</f>
        <v>0.21414845725323145</v>
      </c>
      <c r="K35" s="74">
        <f>Model!N49/AVERAGE(Model!M80:N80)</f>
        <v>0.20457129967615906</v>
      </c>
      <c r="L35" s="74">
        <f>Model!O49/AVERAGE(Model!N80:O80)</f>
        <v>0.19550306768964468</v>
      </c>
      <c r="M35" s="74">
        <f>Model!P49/AVERAGE(Model!O80:P80)</f>
        <v>0.1878176027557095</v>
      </c>
      <c r="N35" s="74">
        <f>Model!Q49/AVERAGE(Model!P80:Q80)</f>
        <v>0.1804896629787425</v>
      </c>
      <c r="O35" s="74">
        <f>Model!R49/AVERAGE(Model!Q80:R80)</f>
        <v>0.17423874495798652</v>
      </c>
      <c r="P35" s="74">
        <f>Model!S49/AVERAGE(Model!R80:S80)</f>
        <v>0.16823751832573478</v>
      </c>
      <c r="Q35" s="74">
        <f>Model!T49/AVERAGE(Model!S80:T80)</f>
        <v>0.16309347638576507</v>
      </c>
      <c r="R35" s="74">
        <f>Model!U49/AVERAGE(Model!T80:U80)</f>
        <v>0.15812159685601837</v>
      </c>
      <c r="S35" s="74">
        <f>Model!V49/AVERAGE(Model!U80:V80)</f>
        <v>0.1538456435067368</v>
      </c>
      <c r="U35" s="278"/>
      <c r="V35" s="253"/>
      <c r="W35" s="253"/>
      <c r="X35" s="253"/>
      <c r="Y35" s="253"/>
      <c r="Z35" s="253"/>
      <c r="AA35" s="253"/>
      <c r="AB35" s="253"/>
      <c r="AC35" s="253"/>
      <c r="AD35" s="253"/>
      <c r="AE35" s="253"/>
      <c r="AF35" s="253"/>
      <c r="AG35" s="253"/>
      <c r="AH35" s="253"/>
      <c r="AI35" s="253"/>
      <c r="AJ35" s="253"/>
      <c r="AK35" s="253"/>
      <c r="AL35" s="253"/>
      <c r="AM35" s="253"/>
      <c r="AN35" s="253"/>
      <c r="AO35" s="253"/>
      <c r="AP35" s="253"/>
      <c r="AQ35" s="253"/>
      <c r="AR35" s="253"/>
      <c r="AS35" s="253"/>
      <c r="AT35" s="253"/>
      <c r="AU35" s="253"/>
      <c r="AV35" s="253"/>
      <c r="AW35" s="253"/>
      <c r="AX35" s="253"/>
      <c r="AY35" s="253"/>
      <c r="AZ35" s="253"/>
      <c r="BA35" s="253"/>
      <c r="BB35" s="253"/>
      <c r="BC35" s="253"/>
      <c r="BD35" s="253"/>
      <c r="BE35" s="253"/>
      <c r="BF35" s="253"/>
      <c r="BG35" s="279"/>
    </row>
    <row r="36" spans="4:59" ht="16.5" x14ac:dyDescent="0.3">
      <c r="D36" s="24"/>
      <c r="E36" s="24"/>
      <c r="U36" s="278"/>
      <c r="V36" s="253"/>
      <c r="W36" s="253"/>
      <c r="X36" s="253"/>
      <c r="Y36" s="253"/>
      <c r="Z36" s="253"/>
      <c r="AA36" s="253"/>
      <c r="AB36" s="253"/>
      <c r="AC36" s="253"/>
      <c r="AD36" s="253"/>
      <c r="AE36" s="253"/>
      <c r="AF36" s="253"/>
      <c r="AG36" s="253"/>
      <c r="AH36" s="253"/>
      <c r="AI36" s="253"/>
      <c r="AJ36" s="253"/>
      <c r="AK36" s="253"/>
      <c r="AL36" s="253"/>
      <c r="AM36" s="253"/>
      <c r="AN36" s="253"/>
      <c r="AO36" s="253"/>
      <c r="AP36" s="253"/>
      <c r="AQ36" s="253"/>
      <c r="AR36" s="253"/>
      <c r="AS36" s="253"/>
      <c r="AT36" s="253"/>
      <c r="AU36" s="253"/>
      <c r="AV36" s="253"/>
      <c r="AW36" s="253"/>
      <c r="AX36" s="253"/>
      <c r="AY36" s="253"/>
      <c r="AZ36" s="253"/>
      <c r="BA36" s="253"/>
      <c r="BB36" s="253"/>
      <c r="BC36" s="253"/>
      <c r="BD36" s="253"/>
      <c r="BE36" s="253"/>
      <c r="BF36" s="253"/>
      <c r="BG36" s="279"/>
    </row>
    <row r="37" spans="4:59" ht="16.5" customHeight="1" x14ac:dyDescent="0.3">
      <c r="D37" s="5" t="s">
        <v>345</v>
      </c>
      <c r="E37" s="5"/>
      <c r="U37" s="278"/>
      <c r="V37" s="253"/>
      <c r="W37" s="253"/>
      <c r="X37" s="253"/>
      <c r="Y37" s="253"/>
      <c r="Z37" s="253"/>
      <c r="AA37" s="253"/>
      <c r="AB37" s="253"/>
      <c r="AC37" s="253"/>
      <c r="AD37" s="253"/>
      <c r="AE37" s="253"/>
      <c r="AF37" s="253"/>
      <c r="AG37" s="253"/>
      <c r="AH37" s="253"/>
      <c r="AI37" s="253"/>
      <c r="AJ37" s="253"/>
      <c r="AK37" s="253"/>
      <c r="AL37" s="253"/>
      <c r="AM37" s="253"/>
      <c r="AN37" s="253"/>
      <c r="AO37" s="253"/>
      <c r="AP37" s="253"/>
      <c r="AQ37" s="253"/>
      <c r="AR37" s="253"/>
      <c r="AS37" s="253"/>
      <c r="AT37" s="253"/>
      <c r="AU37" s="253"/>
      <c r="AV37" s="253"/>
      <c r="AW37" s="253"/>
      <c r="AX37" s="253"/>
      <c r="AY37" s="253"/>
      <c r="AZ37" s="253"/>
      <c r="BA37" s="253"/>
      <c r="BB37" s="253"/>
      <c r="BC37" s="253"/>
      <c r="BD37" s="253"/>
      <c r="BE37" s="253"/>
      <c r="BF37" s="253"/>
      <c r="BG37" s="279"/>
    </row>
    <row r="38" spans="4:59" ht="16.5" x14ac:dyDescent="0.3">
      <c r="D38" s="24" t="s">
        <v>346</v>
      </c>
      <c r="E38" s="77">
        <f>(SUM(Model!H53:H57)-Model!H56)/SUM(Model!H68:H69)</f>
        <v>0.87113209176477369</v>
      </c>
      <c r="F38" s="77">
        <f>(SUM(Model!I53:I57)-Model!I56)/SUM(Model!I68:I69)</f>
        <v>1.798450766584516</v>
      </c>
      <c r="G38" s="77">
        <f>(SUM(Model!J53:J57)-Model!J56)/SUM(Model!J68:J69)</f>
        <v>2.1771584216284263</v>
      </c>
      <c r="H38" s="77">
        <f>(SUM(Model!K53:K57)-Model!K56)/SUM(Model!K68:K69)</f>
        <v>1.8175096496915837</v>
      </c>
      <c r="I38" s="156">
        <f>(SUM(Model!L53:L57)-Model!L56)/SUM(Model!L68:L69)</f>
        <v>1.6134101576603685</v>
      </c>
      <c r="J38" s="77">
        <f>(SUM(Model!M53:M57)-Model!M56)/SUM(Model!M68:M69)</f>
        <v>2.2616415700981203</v>
      </c>
      <c r="K38" s="77">
        <f>(SUM(Model!N53:N57)-Model!N56)/SUM(Model!N68:N69)</f>
        <v>2.8946004219272385</v>
      </c>
      <c r="L38" s="77">
        <f>(SUM(Model!O53:O57)-Model!O56)/SUM(Model!O68:O69)</f>
        <v>3.5245811869155443</v>
      </c>
      <c r="M38" s="77">
        <f>(SUM(Model!P53:P57)-Model!P56)/SUM(Model!P68:P69)</f>
        <v>4.1508121223325514</v>
      </c>
      <c r="N38" s="77">
        <f>(SUM(Model!Q53:Q57)-Model!Q56)/SUM(Model!Q68:Q69)</f>
        <v>4.7731057830856614</v>
      </c>
      <c r="O38" s="77">
        <f>(SUM(Model!R53:R57)-Model!R56)/SUM(Model!R68:R69)</f>
        <v>5.3907346609978841</v>
      </c>
      <c r="P38" s="77">
        <f>(SUM(Model!S53:S57)-Model!S56)/SUM(Model!S68:S69)</f>
        <v>6.0033251847533435</v>
      </c>
      <c r="Q38" s="77">
        <f>(SUM(Model!T53:T57)-Model!T56)/SUM(Model!T68:T69)</f>
        <v>6.6102119874247611</v>
      </c>
      <c r="R38" s="77">
        <f>(SUM(Model!U53:U57)-Model!U56)/SUM(Model!U68:U69)</f>
        <v>7.2108683167039009</v>
      </c>
      <c r="S38" s="77">
        <f>(SUM(Model!V53:V57)-Model!V56)/SUM(Model!V68:V69)</f>
        <v>7.8047105381117561</v>
      </c>
      <c r="U38" s="283" t="s">
        <v>456</v>
      </c>
      <c r="V38" s="284"/>
      <c r="W38" s="284"/>
      <c r="X38" s="284"/>
      <c r="Y38" s="284"/>
      <c r="Z38" s="284"/>
      <c r="AA38" s="284"/>
      <c r="AB38" s="284"/>
      <c r="AC38" s="284"/>
      <c r="AD38" s="284"/>
      <c r="AE38" s="284"/>
      <c r="AF38" s="284"/>
      <c r="AG38" s="284"/>
      <c r="AH38" s="284"/>
      <c r="AI38" s="284"/>
      <c r="AJ38" s="284"/>
      <c r="AK38" s="284"/>
      <c r="AL38" s="284"/>
      <c r="AM38" s="284"/>
      <c r="AN38" s="284"/>
      <c r="AO38" s="284"/>
      <c r="AP38" s="284"/>
      <c r="AQ38" s="284"/>
      <c r="AR38" s="284"/>
      <c r="AS38" s="284"/>
      <c r="AT38" s="284"/>
      <c r="AU38" s="284"/>
      <c r="AV38" s="284"/>
      <c r="AW38" s="284"/>
      <c r="AX38" s="284"/>
      <c r="AY38" s="284"/>
      <c r="AZ38" s="284"/>
      <c r="BA38" s="284"/>
      <c r="BB38" s="284"/>
      <c r="BC38" s="284"/>
      <c r="BD38" s="284"/>
      <c r="BE38" s="284"/>
      <c r="BF38" s="284"/>
      <c r="BG38" s="285"/>
    </row>
    <row r="39" spans="4:59" ht="16.5" x14ac:dyDescent="0.3">
      <c r="D39" s="24"/>
      <c r="E39" s="77"/>
      <c r="F39" s="77"/>
      <c r="G39" s="77"/>
      <c r="H39" s="77"/>
      <c r="I39" s="156"/>
      <c r="J39" s="77"/>
      <c r="K39" s="77"/>
      <c r="L39" s="77"/>
      <c r="M39" s="77"/>
      <c r="N39" s="77"/>
      <c r="O39" s="77"/>
      <c r="P39" s="77"/>
      <c r="Q39" s="77"/>
      <c r="R39" s="77"/>
      <c r="S39" s="77"/>
      <c r="U39" s="278" t="s">
        <v>457</v>
      </c>
      <c r="V39" s="253"/>
      <c r="W39" s="253"/>
      <c r="X39" s="253"/>
      <c r="Y39" s="253"/>
      <c r="Z39" s="253"/>
      <c r="AA39" s="253"/>
      <c r="AB39" s="253"/>
      <c r="AC39" s="253"/>
      <c r="AD39" s="253"/>
      <c r="AE39" s="253"/>
      <c r="AF39" s="253"/>
      <c r="AG39" s="253"/>
      <c r="AH39" s="253"/>
      <c r="AI39" s="253"/>
      <c r="AJ39" s="253"/>
      <c r="AK39" s="253"/>
      <c r="AL39" s="253"/>
      <c r="AM39" s="253"/>
      <c r="AN39" s="253"/>
      <c r="AO39" s="253"/>
      <c r="AP39" s="253"/>
      <c r="AQ39" s="253"/>
      <c r="AR39" s="253"/>
      <c r="AS39" s="253"/>
      <c r="AT39" s="253"/>
      <c r="AU39" s="253"/>
      <c r="AV39" s="253"/>
      <c r="AW39" s="253"/>
      <c r="AX39" s="253"/>
      <c r="AY39" s="253"/>
      <c r="AZ39" s="253"/>
      <c r="BA39" s="253"/>
      <c r="BB39" s="253"/>
      <c r="BC39" s="253"/>
      <c r="BD39" s="253"/>
      <c r="BE39" s="253"/>
      <c r="BF39" s="253"/>
      <c r="BG39" s="279"/>
    </row>
    <row r="40" spans="4:59" ht="16.5" x14ac:dyDescent="0.3">
      <c r="D40" s="24" t="s">
        <v>347</v>
      </c>
      <c r="E40" s="77">
        <f>SUM(Model!H53:H57)/SUM(Model!H68:H69)</f>
        <v>1.0192012730943678</v>
      </c>
      <c r="F40" s="77">
        <f>SUM(Model!I53:I57)/SUM(Model!I68:I69)</f>
        <v>2.0326263698804574</v>
      </c>
      <c r="G40" s="77">
        <f>SUM(Model!J53:J57)/SUM(Model!J68:J69)</f>
        <v>2.4242173333133517</v>
      </c>
      <c r="H40" s="77">
        <f>SUM(Model!K53:K57)/SUM(Model!K68:K69)</f>
        <v>2.1163258862948924</v>
      </c>
      <c r="I40" s="156">
        <f>SUM(Model!L53:L57)/SUM(Model!L68:L69)</f>
        <v>1.8777289685882781</v>
      </c>
      <c r="J40" s="77">
        <f>SUM(Model!M53:M57)/SUM(Model!M68:M69)</f>
        <v>2.536637828468371</v>
      </c>
      <c r="K40" s="77">
        <f>SUM(Model!N53:N57)/SUM(Model!N68:N69)</f>
        <v>3.179341044422896</v>
      </c>
      <c r="L40" s="77">
        <f>SUM(Model!O53:O57)/SUM(Model!O68:O69)</f>
        <v>3.8191594754878992</v>
      </c>
      <c r="M40" s="77">
        <f>SUM(Model!P53:P57)/SUM(Model!P68:P69)</f>
        <v>4.4553052286312589</v>
      </c>
      <c r="N40" s="77">
        <f>SUM(Model!Q53:Q57)/SUM(Model!Q68:Q69)</f>
        <v>5.0875741817194378</v>
      </c>
      <c r="O40" s="77">
        <f>SUM(Model!R53:R57)/SUM(Model!R68:R69)</f>
        <v>5.7152217323093035</v>
      </c>
      <c r="P40" s="77">
        <f>SUM(Model!S53:S57)/SUM(Model!S68:S69)</f>
        <v>6.337856913177883</v>
      </c>
      <c r="Q40" s="77">
        <f>SUM(Model!T53:T57)/SUM(Model!T68:T69)</f>
        <v>6.9547967798695778</v>
      </c>
      <c r="R40" s="77">
        <f>SUM(Model!U53:U57)/SUM(Model!U68:U69)</f>
        <v>7.5654969436358375</v>
      </c>
      <c r="S40" s="77">
        <f>SUM(Model!V53:V57)/SUM(Model!V68:V69)</f>
        <v>8.1693561982299805</v>
      </c>
      <c r="U40" s="280"/>
      <c r="V40" s="281"/>
      <c r="W40" s="281"/>
      <c r="X40" s="281"/>
      <c r="Y40" s="281"/>
      <c r="Z40" s="281"/>
      <c r="AA40" s="281"/>
      <c r="AB40" s="281"/>
      <c r="AC40" s="281"/>
      <c r="AD40" s="281"/>
      <c r="AE40" s="281"/>
      <c r="AF40" s="281"/>
      <c r="AG40" s="281"/>
      <c r="AH40" s="281"/>
      <c r="AI40" s="281"/>
      <c r="AJ40" s="281"/>
      <c r="AK40" s="281"/>
      <c r="AL40" s="281"/>
      <c r="AM40" s="281"/>
      <c r="AN40" s="281"/>
      <c r="AO40" s="281"/>
      <c r="AP40" s="281"/>
      <c r="AQ40" s="281"/>
      <c r="AR40" s="281"/>
      <c r="AS40" s="281"/>
      <c r="AT40" s="281"/>
      <c r="AU40" s="281"/>
      <c r="AV40" s="281"/>
      <c r="AW40" s="281"/>
      <c r="AX40" s="281"/>
      <c r="AY40" s="281"/>
      <c r="AZ40" s="281"/>
      <c r="BA40" s="281"/>
      <c r="BB40" s="281"/>
      <c r="BC40" s="281"/>
      <c r="BD40" s="281"/>
      <c r="BE40" s="281"/>
      <c r="BF40" s="281"/>
      <c r="BG40" s="282"/>
    </row>
    <row r="41" spans="4:59" ht="16.5" x14ac:dyDescent="0.3">
      <c r="D41" s="24"/>
      <c r="E41" s="77"/>
      <c r="F41" s="77"/>
      <c r="G41" s="77"/>
      <c r="H41" s="77"/>
      <c r="I41" s="156"/>
      <c r="J41" s="77"/>
      <c r="K41" s="77"/>
      <c r="L41" s="77"/>
      <c r="M41" s="77"/>
      <c r="N41" s="77"/>
      <c r="O41" s="77"/>
      <c r="P41" s="77"/>
      <c r="Q41" s="77"/>
      <c r="R41" s="77"/>
      <c r="S41" s="77"/>
      <c r="U41" s="278"/>
      <c r="V41" s="253"/>
      <c r="W41" s="253"/>
      <c r="X41" s="253"/>
      <c r="Y41" s="253"/>
      <c r="Z41" s="253"/>
      <c r="AA41" s="253"/>
      <c r="AB41" s="253"/>
      <c r="AC41" s="253"/>
      <c r="AD41" s="253"/>
      <c r="AE41" s="253"/>
      <c r="AF41" s="253"/>
      <c r="AG41" s="253"/>
      <c r="AH41" s="253"/>
      <c r="AI41" s="253"/>
      <c r="AJ41" s="253"/>
      <c r="AK41" s="253"/>
      <c r="AL41" s="253"/>
      <c r="AM41" s="253"/>
      <c r="AN41" s="253"/>
      <c r="AO41" s="253"/>
      <c r="AP41" s="253"/>
      <c r="AQ41" s="253"/>
      <c r="AR41" s="253"/>
      <c r="AS41" s="253"/>
      <c r="AT41" s="253"/>
      <c r="AU41" s="253"/>
      <c r="AV41" s="253"/>
      <c r="AW41" s="253"/>
      <c r="AX41" s="253"/>
      <c r="AY41" s="253"/>
      <c r="AZ41" s="253"/>
      <c r="BA41" s="253"/>
      <c r="BB41" s="253"/>
      <c r="BC41" s="253"/>
      <c r="BD41" s="253"/>
      <c r="BE41" s="253"/>
      <c r="BF41" s="253"/>
      <c r="BG41" s="279"/>
    </row>
    <row r="42" spans="4:59" ht="16.5" x14ac:dyDescent="0.3">
      <c r="D42" s="24" t="s">
        <v>348</v>
      </c>
      <c r="E42" s="77">
        <f>'working capital'!E19</f>
        <v>45.718883334044584</v>
      </c>
      <c r="F42" s="77">
        <f>'working capital'!F19</f>
        <v>48.039195145049661</v>
      </c>
      <c r="G42" s="77">
        <f>'working capital'!G19</f>
        <v>37.062208143557825</v>
      </c>
      <c r="H42" s="77">
        <f>'working capital'!H19</f>
        <v>45.281915778430651</v>
      </c>
      <c r="I42" s="156">
        <f>'working capital'!I19</f>
        <v>37.343912221871044</v>
      </c>
      <c r="J42" s="77">
        <f>'working capital'!J19</f>
        <v>42.689222924590737</v>
      </c>
      <c r="K42" s="77">
        <f>'working capital'!K19</f>
        <v>42.689222924590737</v>
      </c>
      <c r="L42" s="77">
        <f>'working capital'!L19</f>
        <v>42.689222924590737</v>
      </c>
      <c r="M42" s="77">
        <f>'working capital'!M19</f>
        <v>42.689222924590737</v>
      </c>
      <c r="N42" s="77">
        <f>'working capital'!N19</f>
        <v>42.689222924590737</v>
      </c>
      <c r="O42" s="77">
        <f>'working capital'!O19</f>
        <v>42.689222924590737</v>
      </c>
      <c r="P42" s="77">
        <f>'working capital'!P19</f>
        <v>42.689222924590737</v>
      </c>
      <c r="Q42" s="77">
        <f>'working capital'!Q19</f>
        <v>42.689222924590737</v>
      </c>
      <c r="R42" s="77">
        <f>'working capital'!R19</f>
        <v>42.689222924590737</v>
      </c>
      <c r="S42" s="77">
        <f>'working capital'!S19</f>
        <v>42.689222924590737</v>
      </c>
      <c r="U42" s="278" t="s">
        <v>458</v>
      </c>
      <c r="V42" s="253"/>
      <c r="W42" s="253"/>
      <c r="X42" s="253"/>
      <c r="Y42" s="253"/>
      <c r="Z42" s="253"/>
      <c r="AA42" s="253"/>
      <c r="AB42" s="253"/>
      <c r="AC42" s="253"/>
      <c r="AD42" s="253"/>
      <c r="AE42" s="253"/>
      <c r="AF42" s="253"/>
      <c r="AG42" s="253"/>
      <c r="AH42" s="253"/>
      <c r="AI42" s="253"/>
      <c r="AJ42" s="253"/>
      <c r="AK42" s="253"/>
      <c r="AL42" s="253"/>
      <c r="AM42" s="253"/>
      <c r="AN42" s="253"/>
      <c r="AO42" s="253"/>
      <c r="AP42" s="253"/>
      <c r="AQ42" s="253"/>
      <c r="AR42" s="253"/>
      <c r="AS42" s="253"/>
      <c r="AT42" s="253"/>
      <c r="AU42" s="253"/>
      <c r="AV42" s="253"/>
      <c r="AW42" s="253"/>
      <c r="AX42" s="253"/>
      <c r="AY42" s="253"/>
      <c r="AZ42" s="253"/>
      <c r="BA42" s="253"/>
      <c r="BB42" s="253"/>
      <c r="BC42" s="253"/>
      <c r="BD42" s="253"/>
      <c r="BE42" s="253"/>
      <c r="BF42" s="253"/>
      <c r="BG42" s="279"/>
    </row>
    <row r="43" spans="4:59" ht="16.5" x14ac:dyDescent="0.3">
      <c r="D43" s="24"/>
      <c r="E43" s="24"/>
      <c r="U43" s="280" t="s">
        <v>459</v>
      </c>
      <c r="V43" s="281"/>
      <c r="W43" s="281"/>
      <c r="X43" s="281"/>
      <c r="Y43" s="281"/>
      <c r="Z43" s="281"/>
      <c r="AA43" s="281"/>
      <c r="AB43" s="281"/>
      <c r="AC43" s="281"/>
      <c r="AD43" s="281"/>
      <c r="AE43" s="281"/>
      <c r="AF43" s="281"/>
      <c r="AG43" s="281"/>
      <c r="AH43" s="281"/>
      <c r="AI43" s="281"/>
      <c r="AJ43" s="281"/>
      <c r="AK43" s="281"/>
      <c r="AL43" s="281"/>
      <c r="AM43" s="281"/>
      <c r="AN43" s="281"/>
      <c r="AO43" s="281"/>
      <c r="AP43" s="281"/>
      <c r="AQ43" s="281"/>
      <c r="AR43" s="281"/>
      <c r="AS43" s="281"/>
      <c r="AT43" s="281"/>
      <c r="AU43" s="281"/>
      <c r="AV43" s="281"/>
      <c r="AW43" s="281"/>
      <c r="AX43" s="281"/>
      <c r="AY43" s="281"/>
      <c r="AZ43" s="281"/>
      <c r="BA43" s="281"/>
      <c r="BB43" s="281"/>
      <c r="BC43" s="281"/>
      <c r="BD43" s="281"/>
      <c r="BE43" s="281"/>
      <c r="BF43" s="281"/>
      <c r="BG43" s="282"/>
    </row>
    <row r="44" spans="4:59" ht="16.5" customHeight="1" x14ac:dyDescent="0.3">
      <c r="D44" s="5" t="s">
        <v>349</v>
      </c>
      <c r="E44" s="5"/>
      <c r="U44" s="278"/>
      <c r="V44" s="253"/>
      <c r="W44" s="253"/>
      <c r="X44" s="253"/>
      <c r="Y44" s="253"/>
      <c r="Z44" s="253"/>
      <c r="AA44" s="253"/>
      <c r="AB44" s="253"/>
      <c r="AC44" s="253"/>
      <c r="AD44" s="253"/>
      <c r="AE44" s="253"/>
      <c r="AF44" s="253"/>
      <c r="AG44" s="253"/>
      <c r="AH44" s="253"/>
      <c r="AI44" s="253"/>
      <c r="AJ44" s="253"/>
      <c r="AK44" s="253"/>
      <c r="AL44" s="253"/>
      <c r="AM44" s="253"/>
      <c r="AN44" s="253"/>
      <c r="AO44" s="253"/>
      <c r="AP44" s="253"/>
      <c r="AQ44" s="253"/>
      <c r="AR44" s="253"/>
      <c r="AS44" s="253"/>
      <c r="AT44" s="253"/>
      <c r="AU44" s="253"/>
      <c r="AV44" s="253"/>
      <c r="AW44" s="253"/>
      <c r="AX44" s="253"/>
      <c r="AY44" s="253"/>
      <c r="AZ44" s="253"/>
      <c r="BA44" s="253"/>
      <c r="BB44" s="253"/>
      <c r="BC44" s="253"/>
      <c r="BD44" s="253"/>
      <c r="BE44" s="253"/>
      <c r="BF44" s="253"/>
      <c r="BG44" s="279"/>
    </row>
    <row r="45" spans="4:59" ht="16.5" x14ac:dyDescent="0.3">
      <c r="D45" s="24" t="s">
        <v>350</v>
      </c>
      <c r="E45" s="77">
        <f>Model!H64/Model!H80</f>
        <v>3.7673582924973763</v>
      </c>
      <c r="F45" s="77">
        <f>Model!I64/Model!I80</f>
        <v>3.6323639339679406</v>
      </c>
      <c r="G45" s="77">
        <f>Model!J64/Model!J80</f>
        <v>3.6063793052038062</v>
      </c>
      <c r="H45" s="77">
        <f>Model!K64/Model!K80</f>
        <v>3.4565179732676348</v>
      </c>
      <c r="I45" s="156">
        <f>Model!L64/Model!L80</f>
        <v>3.2473308613585612</v>
      </c>
      <c r="J45" s="77">
        <f>Model!M64/Model!M80</f>
        <v>2.9732034175443491</v>
      </c>
      <c r="K45" s="77">
        <f>Model!N64/Model!N80</f>
        <v>2.7464118075804445</v>
      </c>
      <c r="L45" s="77">
        <f>Model!O64/Model!O80</f>
        <v>2.5546051678556863</v>
      </c>
      <c r="M45" s="77">
        <f>Model!P64/Model!P80</f>
        <v>2.3906797951146168</v>
      </c>
      <c r="N45" s="77">
        <f>Model!Q64/Model!Q80</f>
        <v>2.2499034470739852</v>
      </c>
      <c r="O45" s="77">
        <f>Model!R64/Model!R80</f>
        <v>2.1279383443252797</v>
      </c>
      <c r="P45" s="77">
        <f>Model!S64/Model!S80</f>
        <v>2.0218612064693531</v>
      </c>
      <c r="Q45" s="77">
        <f>Model!T64/Model!T80</f>
        <v>1.9289079156737301</v>
      </c>
      <c r="R45" s="77">
        <f>Model!U64/Model!U80</f>
        <v>1.84720189199189</v>
      </c>
      <c r="S45" s="77">
        <f>Model!V64/Model!V80</f>
        <v>1.7749162310590967</v>
      </c>
      <c r="U45" s="275" t="s">
        <v>460</v>
      </c>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c r="AZ45" s="276"/>
      <c r="BA45" s="276"/>
      <c r="BB45" s="276"/>
      <c r="BC45" s="276"/>
      <c r="BD45" s="276"/>
      <c r="BE45" s="276"/>
      <c r="BF45" s="276"/>
      <c r="BG45" s="277"/>
    </row>
    <row r="46" spans="4:59" ht="16.5" x14ac:dyDescent="0.3">
      <c r="D46" s="24"/>
      <c r="E46" s="77"/>
      <c r="F46" s="77"/>
      <c r="G46" s="77"/>
      <c r="H46" s="77"/>
      <c r="I46" s="156"/>
      <c r="J46" s="77"/>
      <c r="K46" s="77"/>
      <c r="L46" s="77"/>
      <c r="M46" s="77"/>
      <c r="N46" s="77"/>
      <c r="O46" s="77"/>
      <c r="P46" s="77"/>
      <c r="Q46" s="77"/>
      <c r="R46" s="77"/>
      <c r="S46" s="77"/>
      <c r="U46" s="278"/>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c r="AV46" s="253"/>
      <c r="AW46" s="253"/>
      <c r="AX46" s="253"/>
      <c r="AY46" s="253"/>
      <c r="AZ46" s="253"/>
      <c r="BA46" s="253"/>
      <c r="BB46" s="253"/>
      <c r="BC46" s="253"/>
      <c r="BD46" s="253"/>
      <c r="BE46" s="253"/>
      <c r="BF46" s="253"/>
      <c r="BG46" s="279"/>
    </row>
    <row r="47" spans="4:59" ht="16.5" x14ac:dyDescent="0.3">
      <c r="D47" s="24" t="s">
        <v>351</v>
      </c>
      <c r="E47" s="77">
        <f>Model!H72/Model!H80</f>
        <v>1.2943121496359828</v>
      </c>
      <c r="F47" s="77">
        <f>Model!I72/Model!I80</f>
        <v>1.4461053522918572</v>
      </c>
      <c r="G47" s="77">
        <f>Model!J72/Model!J80</f>
        <v>1.4390324370961958</v>
      </c>
      <c r="H47" s="77">
        <f>Model!K72/Model!K80</f>
        <v>1.3072737221560773</v>
      </c>
      <c r="I47" s="156">
        <f>Model!L72/Model!L80</f>
        <v>1.2706698795349147</v>
      </c>
      <c r="J47" s="77">
        <f>Model!M72/Model!M80</f>
        <v>1.1144390125855879</v>
      </c>
      <c r="K47" s="77">
        <f>Model!N72/Model!N80</f>
        <v>0.98318402092105195</v>
      </c>
      <c r="L47" s="77">
        <f>Model!O72/Model!O80</f>
        <v>0.87223119417747352</v>
      </c>
      <c r="M47" s="77">
        <f>Model!P72/Model!P80</f>
        <v>0.77745870457233479</v>
      </c>
      <c r="N47" s="77">
        <f>Model!Q72/Model!Q80</f>
        <v>0.69610720179217245</v>
      </c>
      <c r="O47" s="77">
        <f>Model!R72/Model!R80</f>
        <v>0.62566313555987707</v>
      </c>
      <c r="P47" s="77">
        <f>Model!S72/Model!S80</f>
        <v>0.56442182157668053</v>
      </c>
      <c r="Q47" s="77">
        <f>Model!T72/Model!T80</f>
        <v>0.51078391212950713</v>
      </c>
      <c r="R47" s="77">
        <f>Model!U72/Model!U80</f>
        <v>0.46365478511979491</v>
      </c>
      <c r="S47" s="77">
        <f>Model!V72/Model!V80</f>
        <v>0.42197906696275628</v>
      </c>
      <c r="U47" s="275" t="s">
        <v>461</v>
      </c>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c r="AZ47" s="276"/>
      <c r="BA47" s="276"/>
      <c r="BB47" s="276"/>
      <c r="BC47" s="276"/>
      <c r="BD47" s="276"/>
      <c r="BE47" s="276"/>
      <c r="BF47" s="276"/>
      <c r="BG47" s="277"/>
    </row>
    <row r="48" spans="4:59" ht="16.5" x14ac:dyDescent="0.3">
      <c r="D48" s="24"/>
      <c r="E48" s="24"/>
      <c r="U48" s="278"/>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c r="AV48" s="253"/>
      <c r="AW48" s="253"/>
      <c r="AX48" s="253"/>
      <c r="AY48" s="253"/>
      <c r="AZ48" s="253"/>
      <c r="BA48" s="253"/>
      <c r="BB48" s="253"/>
      <c r="BC48" s="253"/>
      <c r="BD48" s="253"/>
      <c r="BE48" s="253"/>
      <c r="BF48" s="253"/>
      <c r="BG48" s="279"/>
    </row>
    <row r="49" spans="4:59" ht="16.5" x14ac:dyDescent="0.3">
      <c r="D49" s="24"/>
      <c r="E49" s="24"/>
      <c r="U49" s="278"/>
      <c r="V49" s="253"/>
      <c r="W49" s="253"/>
      <c r="X49" s="253"/>
      <c r="Y49" s="253"/>
      <c r="Z49" s="253"/>
      <c r="AA49" s="253"/>
      <c r="AB49" s="253"/>
      <c r="AC49" s="253"/>
      <c r="AD49" s="253"/>
      <c r="AE49" s="253"/>
      <c r="AF49" s="253"/>
      <c r="AG49" s="253"/>
      <c r="AH49" s="253"/>
      <c r="AI49" s="253"/>
      <c r="AJ49" s="253"/>
      <c r="AK49" s="253"/>
      <c r="AL49" s="253"/>
      <c r="AM49" s="253"/>
      <c r="AN49" s="253"/>
      <c r="AO49" s="253"/>
      <c r="AP49" s="253"/>
      <c r="AQ49" s="253"/>
      <c r="AR49" s="253"/>
      <c r="AS49" s="253"/>
      <c r="AT49" s="253"/>
      <c r="AU49" s="253"/>
      <c r="AV49" s="253"/>
      <c r="AW49" s="253"/>
      <c r="AX49" s="253"/>
      <c r="AY49" s="253"/>
      <c r="AZ49" s="253"/>
      <c r="BA49" s="253"/>
      <c r="BB49" s="253"/>
      <c r="BC49" s="253"/>
      <c r="BD49" s="253"/>
      <c r="BE49" s="253"/>
      <c r="BF49" s="253"/>
      <c r="BG49" s="279"/>
    </row>
    <row r="50" spans="4:59" ht="16.5" customHeight="1" x14ac:dyDescent="0.3">
      <c r="D50" s="5" t="s">
        <v>352</v>
      </c>
      <c r="E50" s="5"/>
      <c r="U50" s="278"/>
      <c r="V50" s="253"/>
      <c r="W50" s="253"/>
      <c r="X50" s="253"/>
      <c r="Y50" s="253"/>
      <c r="Z50" s="253"/>
      <c r="AA50" s="253"/>
      <c r="AB50" s="253"/>
      <c r="AC50" s="253"/>
      <c r="AD50" s="253"/>
      <c r="AE50" s="253"/>
      <c r="AF50" s="253"/>
      <c r="AG50" s="253"/>
      <c r="AH50" s="253"/>
      <c r="AI50" s="253"/>
      <c r="AJ50" s="253"/>
      <c r="AK50" s="253"/>
      <c r="AL50" s="253"/>
      <c r="AM50" s="253"/>
      <c r="AN50" s="253"/>
      <c r="AO50" s="253"/>
      <c r="AP50" s="253"/>
      <c r="AQ50" s="253"/>
      <c r="AR50" s="253"/>
      <c r="AS50" s="253"/>
      <c r="AT50" s="253"/>
      <c r="AU50" s="253"/>
      <c r="AV50" s="253"/>
      <c r="AW50" s="253"/>
      <c r="AX50" s="253"/>
      <c r="AY50" s="253"/>
      <c r="AZ50" s="253"/>
      <c r="BA50" s="253"/>
      <c r="BB50" s="253"/>
      <c r="BC50" s="253"/>
      <c r="BD50" s="253"/>
      <c r="BE50" s="253"/>
      <c r="BF50" s="253"/>
      <c r="BG50" s="279"/>
    </row>
    <row r="51" spans="4:59" ht="16.5" x14ac:dyDescent="0.3">
      <c r="D51" s="24" t="s">
        <v>353</v>
      </c>
      <c r="E51" s="8">
        <v>0</v>
      </c>
      <c r="F51" s="107">
        <f>Model!I35/AVERAGE(Model!H53:I53)</f>
        <v>11.073791275969191</v>
      </c>
      <c r="G51" s="107">
        <f>Model!J35/AVERAGE(Model!I53:J53)</f>
        <v>8.384105871737459</v>
      </c>
      <c r="H51" s="107">
        <f>Model!K35/AVERAGE(Model!J53:K53)</f>
        <v>8.681769706572414</v>
      </c>
      <c r="I51" s="157">
        <f>Model!L35/AVERAGE(Model!K53:L53)</f>
        <v>12.720067537782066</v>
      </c>
      <c r="J51" s="107">
        <f>Model!M35/AVERAGE(Model!L53:M53)</f>
        <v>5.9837098155428317</v>
      </c>
      <c r="K51" s="107">
        <f>Model!N35/AVERAGE(Model!M53:N53)</f>
        <v>3.2607174096529565</v>
      </c>
      <c r="L51" s="107">
        <f>Model!O35/AVERAGE(Model!N53:O53)</f>
        <v>2.4045792023613686</v>
      </c>
      <c r="M51" s="107">
        <f>Model!P35/AVERAGE(Model!O53:P53)</f>
        <v>1.9336719532076136</v>
      </c>
      <c r="N51" s="107">
        <f>Model!Q35/AVERAGE(Model!P53:Q53)</f>
        <v>1.6362953611618369</v>
      </c>
      <c r="O51" s="107">
        <f>Model!R35/AVERAGE(Model!Q53:R53)</f>
        <v>1.4318252130494149</v>
      </c>
      <c r="P51" s="107">
        <f>Model!S35/AVERAGE(Model!R53:S53)</f>
        <v>1.2828922773468978</v>
      </c>
      <c r="Q51" s="77">
        <f>Model!T35/AVERAGE(Model!S53:T53)</f>
        <v>1.1697831695600214</v>
      </c>
      <c r="R51" s="77">
        <f>Model!U35/AVERAGE(Model!T53:U53)</f>
        <v>1.0811325114599661</v>
      </c>
      <c r="S51" s="77">
        <f>Model!V35/AVERAGE(Model!U53:V53)</f>
        <v>1.009911872768311</v>
      </c>
      <c r="U51" s="275" t="s">
        <v>462</v>
      </c>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c r="AZ51" s="276"/>
      <c r="BA51" s="276"/>
      <c r="BB51" s="276"/>
      <c r="BC51" s="276"/>
      <c r="BD51" s="276"/>
      <c r="BE51" s="276"/>
      <c r="BF51" s="276"/>
      <c r="BG51" s="277"/>
    </row>
    <row r="52" spans="4:59" ht="16.5" x14ac:dyDescent="0.3">
      <c r="D52" s="24"/>
      <c r="E52" s="8"/>
      <c r="F52" s="107"/>
      <c r="G52" s="107"/>
      <c r="H52" s="107"/>
      <c r="I52" s="157"/>
      <c r="J52" s="107"/>
      <c r="K52" s="107"/>
      <c r="L52" s="107"/>
      <c r="M52" s="107"/>
      <c r="N52" s="107"/>
      <c r="O52" s="107"/>
      <c r="P52" s="107"/>
      <c r="Q52" s="107"/>
      <c r="R52" s="107"/>
      <c r="S52" s="107"/>
      <c r="U52" s="278"/>
      <c r="V52" s="253"/>
      <c r="W52" s="253"/>
      <c r="X52" s="253"/>
      <c r="Y52" s="253"/>
      <c r="Z52" s="253"/>
      <c r="AA52" s="253"/>
      <c r="AB52" s="253"/>
      <c r="AC52" s="253"/>
      <c r="AD52" s="253"/>
      <c r="AE52" s="253"/>
      <c r="AF52" s="253"/>
      <c r="AG52" s="253"/>
      <c r="AH52" s="253"/>
      <c r="AI52" s="253"/>
      <c r="AJ52" s="253"/>
      <c r="AK52" s="253"/>
      <c r="AL52" s="253"/>
      <c r="AM52" s="253"/>
      <c r="AN52" s="253"/>
      <c r="AO52" s="253"/>
      <c r="AP52" s="253"/>
      <c r="AQ52" s="253"/>
      <c r="AR52" s="253"/>
      <c r="AS52" s="253"/>
      <c r="AT52" s="253"/>
      <c r="AU52" s="253"/>
      <c r="AV52" s="253"/>
      <c r="AW52" s="253"/>
      <c r="AX52" s="253"/>
      <c r="AY52" s="253"/>
      <c r="AZ52" s="253"/>
      <c r="BA52" s="253"/>
      <c r="BB52" s="253"/>
      <c r="BC52" s="253"/>
      <c r="BD52" s="253"/>
      <c r="BE52" s="253"/>
      <c r="BF52" s="253"/>
      <c r="BG52" s="279"/>
    </row>
    <row r="53" spans="4:59" ht="16.5" x14ac:dyDescent="0.3">
      <c r="D53" s="24" t="s">
        <v>354</v>
      </c>
      <c r="E53" s="106">
        <f>'working capital'!E15</f>
        <v>55.210689462607199</v>
      </c>
      <c r="F53" s="106">
        <f>'working capital'!F15</f>
        <v>72.600396439093672</v>
      </c>
      <c r="G53" s="106">
        <f>'working capital'!G15</f>
        <v>60.974263943851504</v>
      </c>
      <c r="H53" s="106">
        <f>'working capital'!H15</f>
        <v>56.148051957167972</v>
      </c>
      <c r="I53" s="158">
        <f>'working capital'!I15</f>
        <v>53.85352715355377</v>
      </c>
      <c r="J53" s="106">
        <f>'working capital'!J15</f>
        <v>59.757385791254819</v>
      </c>
      <c r="K53" s="106">
        <f>'working capital'!K15</f>
        <v>59.757385791254819</v>
      </c>
      <c r="L53" s="106">
        <f>'working capital'!L15</f>
        <v>59.757385791254819</v>
      </c>
      <c r="M53" s="106">
        <f>'working capital'!M15</f>
        <v>59.757385791254819</v>
      </c>
      <c r="N53" s="106">
        <f>'working capital'!N15</f>
        <v>59.757385791254819</v>
      </c>
      <c r="O53" s="106">
        <f>'working capital'!O15</f>
        <v>59.757385791254819</v>
      </c>
      <c r="P53" s="106">
        <f>'working capital'!P15</f>
        <v>59.757385791254819</v>
      </c>
      <c r="Q53" s="106">
        <f>'working capital'!Q15</f>
        <v>59.757385791254819</v>
      </c>
      <c r="R53" s="106">
        <f>'working capital'!R15</f>
        <v>59.757385791254819</v>
      </c>
      <c r="S53" s="106">
        <f>'working capital'!S15</f>
        <v>59.757385791254819</v>
      </c>
      <c r="U53" s="275" t="s">
        <v>463</v>
      </c>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c r="AZ53" s="276"/>
      <c r="BA53" s="276"/>
      <c r="BB53" s="276"/>
      <c r="BC53" s="276"/>
      <c r="BD53" s="276"/>
      <c r="BE53" s="276"/>
      <c r="BF53" s="276"/>
      <c r="BG53" s="277"/>
    </row>
    <row r="54" spans="4:59" ht="16.5" x14ac:dyDescent="0.3">
      <c r="D54" s="24"/>
      <c r="E54" s="106"/>
      <c r="F54" s="106"/>
      <c r="G54" s="106"/>
      <c r="H54" s="106"/>
      <c r="I54" s="158"/>
      <c r="J54" s="106"/>
      <c r="K54" s="106"/>
      <c r="L54" s="106"/>
      <c r="M54" s="106"/>
      <c r="N54" s="106"/>
      <c r="O54" s="106"/>
      <c r="P54" s="106"/>
      <c r="Q54" s="106"/>
      <c r="R54" s="106"/>
      <c r="S54" s="106"/>
      <c r="U54" s="278"/>
      <c r="V54" s="253"/>
      <c r="W54" s="253"/>
      <c r="X54" s="253"/>
      <c r="Y54" s="253"/>
      <c r="Z54" s="253"/>
      <c r="AA54" s="253"/>
      <c r="AB54" s="253"/>
      <c r="AC54" s="253"/>
      <c r="AD54" s="253"/>
      <c r="AE54" s="253"/>
      <c r="AF54" s="253"/>
      <c r="AG54" s="253"/>
      <c r="AH54" s="253"/>
      <c r="AI54" s="253"/>
      <c r="AJ54" s="253"/>
      <c r="AK54" s="253"/>
      <c r="AL54" s="253"/>
      <c r="AM54" s="253"/>
      <c r="AN54" s="253"/>
      <c r="AO54" s="253"/>
      <c r="AP54" s="253"/>
      <c r="AQ54" s="253"/>
      <c r="AR54" s="253"/>
      <c r="AS54" s="253"/>
      <c r="AT54" s="253"/>
      <c r="AU54" s="253"/>
      <c r="AV54" s="253"/>
      <c r="AW54" s="253"/>
      <c r="AX54" s="253"/>
      <c r="AY54" s="253"/>
      <c r="AZ54" s="253"/>
      <c r="BA54" s="253"/>
      <c r="BB54" s="253"/>
      <c r="BC54" s="253"/>
      <c r="BD54" s="253"/>
      <c r="BE54" s="253"/>
      <c r="BF54" s="253"/>
      <c r="BG54" s="279"/>
    </row>
    <row r="55" spans="4:59" ht="16.5" x14ac:dyDescent="0.3">
      <c r="D55" s="24" t="s">
        <v>355</v>
      </c>
      <c r="E55" s="8">
        <v>0</v>
      </c>
      <c r="F55" s="107">
        <f>-Model!I36/AVERAGE(Model!H56:I56)</f>
        <v>8.992912644934135</v>
      </c>
      <c r="G55" s="107">
        <f>-Model!J36/AVERAGE(Model!I56:J56)</f>
        <v>10.8345464525213</v>
      </c>
      <c r="H55" s="107">
        <f>-Model!K36/AVERAGE(Model!J56:K56)</f>
        <v>11.879452339507937</v>
      </c>
      <c r="I55" s="157">
        <f>-Model!L36/AVERAGE(Model!K56:L56)</f>
        <v>11.346623377361816</v>
      </c>
      <c r="J55" s="107">
        <f>-Model!M36/AVERAGE(Model!L56:M56)</f>
        <v>10.369854334332279</v>
      </c>
      <c r="K55" s="107">
        <f>-Model!N36/AVERAGE(Model!M56:N56)</f>
        <v>10.426073755680171</v>
      </c>
      <c r="L55" s="107">
        <f>-Model!O36/AVERAGE(Model!N56:O56)</f>
        <v>10.426073755680171</v>
      </c>
      <c r="M55" s="107">
        <f>-Model!P36/AVERAGE(Model!O56:P56)</f>
        <v>10.426073755680171</v>
      </c>
      <c r="N55" s="107">
        <f>-Model!Q36/AVERAGE(Model!P56:Q56)</f>
        <v>10.426073755680173</v>
      </c>
      <c r="O55" s="107">
        <f>-Model!R36/AVERAGE(Model!Q56:R56)</f>
        <v>10.426073755680173</v>
      </c>
      <c r="P55" s="107">
        <f>-Model!S36/AVERAGE(Model!R56:S56)</f>
        <v>10.426073755680173</v>
      </c>
      <c r="Q55" s="107">
        <f>-Model!T36/AVERAGE(Model!S56:T56)</f>
        <v>10.426073755680171</v>
      </c>
      <c r="R55" s="107">
        <f>-Model!U36/AVERAGE(Model!T56:U56)</f>
        <v>10.426073755680173</v>
      </c>
      <c r="S55" s="107">
        <f>-Model!V36/AVERAGE(Model!U56:V56)</f>
        <v>10.426073755680173</v>
      </c>
      <c r="U55" s="275" t="s">
        <v>464</v>
      </c>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c r="AZ55" s="276"/>
      <c r="BA55" s="276"/>
      <c r="BB55" s="276"/>
      <c r="BC55" s="276"/>
      <c r="BD55" s="276"/>
      <c r="BE55" s="276"/>
      <c r="BF55" s="276"/>
      <c r="BG55" s="277"/>
    </row>
    <row r="56" spans="4:59" ht="16.5" x14ac:dyDescent="0.3">
      <c r="D56" s="24"/>
      <c r="E56" s="8"/>
      <c r="F56" s="107"/>
      <c r="G56" s="107"/>
      <c r="H56" s="107"/>
      <c r="I56" s="157"/>
      <c r="J56" s="107"/>
      <c r="K56" s="107"/>
      <c r="L56" s="107"/>
      <c r="M56" s="107"/>
      <c r="N56" s="107"/>
      <c r="O56" s="107"/>
      <c r="P56" s="107"/>
      <c r="Q56" s="107"/>
      <c r="R56" s="107"/>
      <c r="S56" s="107"/>
      <c r="U56" s="278"/>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3"/>
      <c r="AT56" s="253"/>
      <c r="AU56" s="253"/>
      <c r="AV56" s="253"/>
      <c r="AW56" s="253"/>
      <c r="AX56" s="253"/>
      <c r="AY56" s="253"/>
      <c r="AZ56" s="253"/>
      <c r="BA56" s="253"/>
      <c r="BB56" s="253"/>
      <c r="BC56" s="253"/>
      <c r="BD56" s="253"/>
      <c r="BE56" s="253"/>
      <c r="BF56" s="253"/>
      <c r="BG56" s="279"/>
    </row>
    <row r="57" spans="4:59" ht="16.5" x14ac:dyDescent="0.3">
      <c r="D57" s="24" t="s">
        <v>356</v>
      </c>
      <c r="E57" s="106">
        <f>'working capital'!E16</f>
        <v>40.80048955238707</v>
      </c>
      <c r="F57" s="106">
        <f>'working capital'!F16</f>
        <v>36.814699246153559</v>
      </c>
      <c r="G57" s="106">
        <f>'working capital'!G16</f>
        <v>35.343362701908958</v>
      </c>
      <c r="H57" s="106">
        <f>'working capital'!H16</f>
        <v>35.131645132224683</v>
      </c>
      <c r="I57" s="158">
        <f>'working capital'!I16</f>
        <v>32.136517297055136</v>
      </c>
      <c r="J57" s="106">
        <f>'working capital'!J16</f>
        <v>36.045342785945877</v>
      </c>
      <c r="K57" s="106">
        <f>'working capital'!K16</f>
        <v>36.045342785945877</v>
      </c>
      <c r="L57" s="106">
        <f>'working capital'!L16</f>
        <v>36.045342785945877</v>
      </c>
      <c r="M57" s="106">
        <f>'working capital'!M16</f>
        <v>36.045342785945877</v>
      </c>
      <c r="N57" s="106">
        <f>'working capital'!N16</f>
        <v>36.045342785945877</v>
      </c>
      <c r="O57" s="106">
        <f>'working capital'!O16</f>
        <v>36.045342785945877</v>
      </c>
      <c r="P57" s="106">
        <f>'working capital'!P16</f>
        <v>36.045342785945877</v>
      </c>
      <c r="Q57" s="106">
        <f>'working capital'!Q16</f>
        <v>36.045342785945877</v>
      </c>
      <c r="R57" s="106">
        <f>'working capital'!R16</f>
        <v>36.045342785945877</v>
      </c>
      <c r="S57" s="106">
        <f>'working capital'!S16</f>
        <v>36.045342785945877</v>
      </c>
      <c r="U57" s="275" t="s">
        <v>474</v>
      </c>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c r="AZ57" s="276"/>
      <c r="BA57" s="276"/>
      <c r="BB57" s="276"/>
      <c r="BC57" s="276"/>
      <c r="BD57" s="276"/>
      <c r="BE57" s="276"/>
      <c r="BF57" s="276"/>
      <c r="BG57" s="277"/>
    </row>
    <row r="58" spans="4:59" ht="16.5" x14ac:dyDescent="0.3">
      <c r="D58" s="24"/>
      <c r="E58" s="106"/>
      <c r="F58" s="106"/>
      <c r="G58" s="106"/>
      <c r="H58" s="106"/>
      <c r="I58" s="158"/>
      <c r="J58" s="106"/>
      <c r="K58" s="106"/>
      <c r="L58" s="106"/>
      <c r="M58" s="106"/>
      <c r="N58" s="106"/>
      <c r="O58" s="106"/>
      <c r="P58" s="106"/>
      <c r="Q58" s="106"/>
      <c r="R58" s="106"/>
      <c r="S58" s="106"/>
      <c r="U58" s="278"/>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79"/>
    </row>
    <row r="59" spans="4:59" ht="16.5" x14ac:dyDescent="0.3">
      <c r="D59" s="24" t="s">
        <v>357</v>
      </c>
      <c r="E59" s="8">
        <v>0</v>
      </c>
      <c r="F59" s="106">
        <f>-Model!I36/AVERAGE(Model!H68:I68)</f>
        <v>6.2900558350848135</v>
      </c>
      <c r="G59" s="106">
        <f>-Model!J36/AVERAGE(Model!I68:J68)</f>
        <v>6.4796357702536183</v>
      </c>
      <c r="H59" s="106">
        <f>-Model!K36/AVERAGE(Model!J68:K68)</f>
        <v>8.1000163859647571</v>
      </c>
      <c r="I59" s="158">
        <f>-Model!L36/AVERAGE(Model!K68:L68)</f>
        <v>8.0391818778779118</v>
      </c>
      <c r="J59" s="106">
        <f>-Model!M36/AVERAGE(Model!L68:M68)</f>
        <v>6.9449861027440543</v>
      </c>
      <c r="K59" s="106">
        <f>-Model!N36/AVERAGE(Model!M68:N68)</f>
        <v>7.0756278994847106</v>
      </c>
      <c r="L59" s="106">
        <f>-Model!O36/AVERAGE(Model!N68:O68)</f>
        <v>7.0756278994847106</v>
      </c>
      <c r="M59" s="106">
        <f>-Model!P36/AVERAGE(Model!O68:P68)</f>
        <v>7.0756278994847115</v>
      </c>
      <c r="N59" s="106">
        <f>-Model!Q36/AVERAGE(Model!P68:Q68)</f>
        <v>7.0756278994847115</v>
      </c>
      <c r="O59" s="106">
        <f>-Model!R36/AVERAGE(Model!Q68:R68)</f>
        <v>7.0756278994847115</v>
      </c>
      <c r="P59" s="106">
        <f>-Model!S36/AVERAGE(Model!R68:S68)</f>
        <v>7.0756278994847115</v>
      </c>
      <c r="Q59" s="106">
        <f>-Model!T36/AVERAGE(Model!S68:T68)</f>
        <v>7.0756278994847106</v>
      </c>
      <c r="R59" s="106">
        <f>-Model!U36/AVERAGE(Model!T68:U68)</f>
        <v>7.0756278994847115</v>
      </c>
      <c r="S59" s="106">
        <f>-Model!V36/AVERAGE(Model!U68:V68)</f>
        <v>7.0756278994847106</v>
      </c>
      <c r="T59" s="24"/>
      <c r="U59" s="275" t="s">
        <v>475</v>
      </c>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c r="AZ59" s="276"/>
      <c r="BA59" s="276"/>
      <c r="BB59" s="276"/>
      <c r="BC59" s="276"/>
      <c r="BD59" s="276"/>
      <c r="BE59" s="276"/>
      <c r="BF59" s="276"/>
      <c r="BG59" s="277"/>
    </row>
    <row r="60" spans="4:59" ht="16.5" x14ac:dyDescent="0.3">
      <c r="D60" s="24"/>
      <c r="E60" s="8"/>
      <c r="F60" s="106"/>
      <c r="G60" s="106"/>
      <c r="H60" s="106"/>
      <c r="I60" s="158"/>
      <c r="J60" s="106"/>
      <c r="K60" s="106"/>
      <c r="L60" s="106"/>
      <c r="M60" s="106"/>
      <c r="N60" s="106"/>
      <c r="O60" s="106"/>
      <c r="P60" s="106"/>
      <c r="Q60" s="106"/>
      <c r="R60" s="106"/>
      <c r="S60" s="106"/>
      <c r="T60" s="24"/>
      <c r="U60" s="278"/>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3"/>
      <c r="AU60" s="253"/>
      <c r="AV60" s="253"/>
      <c r="AW60" s="253"/>
      <c r="AX60" s="253"/>
      <c r="AY60" s="253"/>
      <c r="AZ60" s="253"/>
      <c r="BA60" s="253"/>
      <c r="BB60" s="253"/>
      <c r="BC60" s="253"/>
      <c r="BD60" s="253"/>
      <c r="BE60" s="253"/>
      <c r="BF60" s="253"/>
      <c r="BG60" s="279"/>
    </row>
    <row r="61" spans="4:59" ht="16.5" x14ac:dyDescent="0.3">
      <c r="D61" s="24" t="s">
        <v>358</v>
      </c>
      <c r="E61" s="106">
        <f>'working capital'!E17</f>
        <v>50.292295680949685</v>
      </c>
      <c r="F61" s="106">
        <f>'working capital'!F17</f>
        <v>61.375900540197563</v>
      </c>
      <c r="G61" s="106">
        <f>'working capital'!G17</f>
        <v>59.255418502202645</v>
      </c>
      <c r="H61" s="106">
        <f>'working capital'!H17</f>
        <v>45.997781310962004</v>
      </c>
      <c r="I61" s="158">
        <f>'working capital'!I17</f>
        <v>48.646132228737862</v>
      </c>
      <c r="J61" s="106">
        <f>'working capital'!J17</f>
        <v>53.113505652609959</v>
      </c>
      <c r="K61" s="106">
        <f>'working capital'!K17</f>
        <v>53.113505652609959</v>
      </c>
      <c r="L61" s="106">
        <f>'working capital'!L17</f>
        <v>53.113505652609959</v>
      </c>
      <c r="M61" s="106">
        <f>'working capital'!M17</f>
        <v>53.113505652609959</v>
      </c>
      <c r="N61" s="106">
        <f>'working capital'!N17</f>
        <v>53.113505652609959</v>
      </c>
      <c r="O61" s="106">
        <f>'working capital'!O17</f>
        <v>53.113505652609959</v>
      </c>
      <c r="P61" s="106">
        <f>'working capital'!P17</f>
        <v>53.113505652609959</v>
      </c>
      <c r="Q61" s="106">
        <f>'working capital'!Q17</f>
        <v>53.113505652609959</v>
      </c>
      <c r="R61" s="106">
        <f>'working capital'!R17</f>
        <v>53.113505652609959</v>
      </c>
      <c r="S61" s="106">
        <f>'working capital'!S17</f>
        <v>53.113505652609959</v>
      </c>
      <c r="U61" s="275" t="s">
        <v>476</v>
      </c>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c r="AZ61" s="276"/>
      <c r="BA61" s="276"/>
      <c r="BB61" s="276"/>
      <c r="BC61" s="276"/>
      <c r="BD61" s="276"/>
      <c r="BE61" s="276"/>
      <c r="BF61" s="276"/>
      <c r="BG61" s="277"/>
    </row>
    <row r="62" spans="4:59" ht="16.5" x14ac:dyDescent="0.3">
      <c r="D62" s="24"/>
      <c r="E62" s="106"/>
      <c r="F62" s="106"/>
      <c r="G62" s="106"/>
      <c r="H62" s="106"/>
      <c r="I62" s="158"/>
      <c r="J62" s="106"/>
      <c r="K62" s="106"/>
      <c r="L62" s="106"/>
      <c r="M62" s="106"/>
      <c r="N62" s="106"/>
      <c r="O62" s="106"/>
      <c r="P62" s="106"/>
      <c r="Q62" s="106"/>
      <c r="R62" s="106"/>
      <c r="S62" s="106"/>
      <c r="U62" s="278"/>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3"/>
      <c r="AV62" s="253"/>
      <c r="AW62" s="253"/>
      <c r="AX62" s="253"/>
      <c r="AY62" s="253"/>
      <c r="AZ62" s="253"/>
      <c r="BA62" s="253"/>
      <c r="BB62" s="253"/>
      <c r="BC62" s="253"/>
      <c r="BD62" s="253"/>
      <c r="BE62" s="253"/>
      <c r="BF62" s="253"/>
      <c r="BG62" s="279"/>
    </row>
    <row r="63" spans="4:59" ht="16.5" x14ac:dyDescent="0.3">
      <c r="D63" s="24" t="s">
        <v>359</v>
      </c>
      <c r="E63" s="8">
        <v>0</v>
      </c>
      <c r="F63" s="77">
        <f>Model!I35/AVERAGE(Model!H60:I61)</f>
        <v>0.92412899967762807</v>
      </c>
      <c r="G63" s="106">
        <f>Model!J35/AVERAGE(Model!I60:J61)</f>
        <v>1.0189952557047404</v>
      </c>
      <c r="H63" s="106">
        <f>Model!K35/AVERAGE(Model!J60:K61)</f>
        <v>1.1914941484739532</v>
      </c>
      <c r="I63" s="158">
        <f>Model!L35/AVERAGE(Model!K60:L61)</f>
        <v>1.3143995812681082</v>
      </c>
      <c r="J63" s="106">
        <f>Model!M35/AVERAGE(Model!L60:M61)</f>
        <v>1.4325167693583851</v>
      </c>
      <c r="K63" s="106">
        <f>Model!N35/AVERAGE(Model!M60:N61)</f>
        <v>1.5621058802411243</v>
      </c>
      <c r="L63" s="106">
        <f>Model!O35/AVERAGE(Model!N60:O61)</f>
        <v>1.7021446036131509</v>
      </c>
      <c r="M63" s="106">
        <f>Model!P35/AVERAGE(Model!O60:P61)</f>
        <v>1.8533452000344339</v>
      </c>
      <c r="N63" s="106">
        <f>Model!Q35/AVERAGE(Model!P60:Q61)</f>
        <v>2.0164449839627387</v>
      </c>
      <c r="O63" s="106">
        <f>Model!R35/AVERAGE(Model!Q60:R61)</f>
        <v>2.1922311896062765</v>
      </c>
      <c r="P63" s="106">
        <f>Model!S35/AVERAGE(Model!R60:S61)</f>
        <v>2.3815177356996284</v>
      </c>
      <c r="Q63" s="106">
        <f>Model!T35/AVERAGE(Model!S60:T61)</f>
        <v>2.5851729741852409</v>
      </c>
      <c r="R63" s="106">
        <f>Model!U35/AVERAGE(Model!T60:U61)</f>
        <v>2.8040940419972391</v>
      </c>
      <c r="S63" s="106">
        <f>Model!V35/AVERAGE(Model!U60:V61)</f>
        <v>3.0392376188280541</v>
      </c>
      <c r="U63" s="275" t="s">
        <v>465</v>
      </c>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c r="AZ63" s="276"/>
      <c r="BA63" s="276"/>
      <c r="BB63" s="276"/>
      <c r="BC63" s="276"/>
      <c r="BD63" s="276"/>
      <c r="BE63" s="276"/>
      <c r="BF63" s="276"/>
      <c r="BG63" s="277"/>
    </row>
    <row r="64" spans="4:59" ht="16.5" x14ac:dyDescent="0.3">
      <c r="D64" s="24"/>
      <c r="E64" s="24"/>
      <c r="F64" s="96"/>
      <c r="U64" s="288"/>
      <c r="V64" s="289"/>
      <c r="W64" s="289"/>
      <c r="X64" s="289"/>
      <c r="Y64" s="289"/>
      <c r="Z64" s="289"/>
      <c r="AA64" s="289"/>
      <c r="AB64" s="289"/>
      <c r="AC64" s="289"/>
      <c r="AD64" s="289"/>
      <c r="AE64" s="289"/>
      <c r="AF64" s="289"/>
      <c r="AG64" s="289"/>
      <c r="AH64" s="289"/>
      <c r="AI64" s="289"/>
      <c r="AJ64" s="289"/>
      <c r="AK64" s="289"/>
      <c r="AL64" s="289"/>
      <c r="AM64" s="289"/>
      <c r="AN64" s="289"/>
      <c r="AO64" s="289"/>
      <c r="AP64" s="289"/>
      <c r="AQ64" s="289"/>
      <c r="AR64" s="289"/>
      <c r="AS64" s="289"/>
      <c r="AT64" s="289"/>
      <c r="AU64" s="289"/>
      <c r="AV64" s="289"/>
      <c r="AW64" s="289"/>
      <c r="AX64" s="289"/>
      <c r="AY64" s="289"/>
      <c r="AZ64" s="289"/>
      <c r="BA64" s="289"/>
      <c r="BB64" s="289"/>
      <c r="BC64" s="289"/>
      <c r="BD64" s="289"/>
      <c r="BE64" s="289"/>
      <c r="BF64" s="289"/>
      <c r="BG64" s="290"/>
    </row>
  </sheetData>
  <mergeCells count="63">
    <mergeCell ref="U64:BG64"/>
    <mergeCell ref="U51:BG51"/>
    <mergeCell ref="U52:BG52"/>
    <mergeCell ref="U53:BG53"/>
    <mergeCell ref="U54:BG54"/>
    <mergeCell ref="U55:BG55"/>
    <mergeCell ref="U57:BG57"/>
    <mergeCell ref="U58:BG58"/>
    <mergeCell ref="U59:BG59"/>
    <mergeCell ref="U60:BG60"/>
    <mergeCell ref="U61:BG61"/>
    <mergeCell ref="U62:BG62"/>
    <mergeCell ref="U63:BG63"/>
    <mergeCell ref="U42:BG42"/>
    <mergeCell ref="U43:BG43"/>
    <mergeCell ref="U44:BG44"/>
    <mergeCell ref="U45:BG45"/>
    <mergeCell ref="U46:BG46"/>
    <mergeCell ref="U37:BG37"/>
    <mergeCell ref="U38:BG38"/>
    <mergeCell ref="U39:BG39"/>
    <mergeCell ref="U40:BG40"/>
    <mergeCell ref="U41:BG41"/>
    <mergeCell ref="U6:BG6"/>
    <mergeCell ref="U7:BG7"/>
    <mergeCell ref="U8:BG8"/>
    <mergeCell ref="U9:BG9"/>
    <mergeCell ref="U10:BG10"/>
    <mergeCell ref="U1:BG1"/>
    <mergeCell ref="U2:BG2"/>
    <mergeCell ref="U3:BG3"/>
    <mergeCell ref="U4:BG4"/>
    <mergeCell ref="U5:BG5"/>
    <mergeCell ref="U11:BG11"/>
    <mergeCell ref="U12:BG12"/>
    <mergeCell ref="U13:BG13"/>
    <mergeCell ref="U14:BG14"/>
    <mergeCell ref="U15:BG15"/>
    <mergeCell ref="U16:BG16"/>
    <mergeCell ref="U17:BG17"/>
    <mergeCell ref="U24:BG24"/>
    <mergeCell ref="U25:BG25"/>
    <mergeCell ref="U26:BG26"/>
    <mergeCell ref="U18:BG18"/>
    <mergeCell ref="U19:BG19"/>
    <mergeCell ref="U21:BG21"/>
    <mergeCell ref="U23:BG23"/>
    <mergeCell ref="U22:BG22"/>
    <mergeCell ref="U27:BG27"/>
    <mergeCell ref="U33:BG33"/>
    <mergeCell ref="U34:BG34"/>
    <mergeCell ref="U35:BG35"/>
    <mergeCell ref="U36:BG36"/>
    <mergeCell ref="U28:BG28"/>
    <mergeCell ref="U29:BG29"/>
    <mergeCell ref="U30:BG30"/>
    <mergeCell ref="U31:BG31"/>
    <mergeCell ref="U32:BG32"/>
    <mergeCell ref="U47:BG47"/>
    <mergeCell ref="U48:BG48"/>
    <mergeCell ref="U49:BG49"/>
    <mergeCell ref="U50:BG50"/>
    <mergeCell ref="U56:BG56"/>
  </mergeCells>
  <pageMargins left="0.7" right="0.7" top="0.75" bottom="0.75" header="0.3" footer="0.3"/>
  <pageSetup orientation="portrait" horizontalDpi="300" verticalDpi="0" copies="0" r:id="rId1"/>
  <ignoredErrors>
    <ignoredError sqref="F33:S33" formula="1"/>
  </ignoredErrors>
  <drawing r:id="rId2"/>
  <extLst>
    <ext xmlns:x14="http://schemas.microsoft.com/office/spreadsheetml/2009/9/main" uri="{05C60535-1F16-4fd2-B633-F4F36F0B64E0}">
      <x14:sparklineGroups xmlns:xm="http://schemas.microsoft.com/office/excel/2006/main">
        <x14:sparklineGroup displayEmptyCellsAs="gap" xr2:uid="{72706EE9-862F-4B3C-B83D-0A762631719C}">
          <x14:colorSeries rgb="FF376092"/>
          <x14:colorNegative rgb="FFD00000"/>
          <x14:colorAxis rgb="FF000000"/>
          <x14:colorMarkers rgb="FFD00000"/>
          <x14:colorFirst rgb="FFD00000"/>
          <x14:colorLast rgb="FFD00000"/>
          <x14:colorHigh rgb="FFD00000"/>
          <x14:colorLow rgb="FFD00000"/>
          <x14:sparklines>
            <x14:sparkline>
              <xm:f>'Ratio analysis'!E11:S11</xm:f>
              <xm:sqref>T11</xm:sqref>
            </x14:sparkline>
            <x14:sparkline>
              <xm:f>'Ratio analysis'!E12:S12</xm:f>
              <xm:sqref>T12</xm:sqref>
            </x14:sparkline>
            <x14:sparkline>
              <xm:f>'Ratio analysis'!E13:S13</xm:f>
              <xm:sqref>T13</xm:sqref>
            </x14:sparkline>
            <x14:sparkline>
              <xm:f>'Ratio analysis'!E14:S14</xm:f>
              <xm:sqref>T14</xm:sqref>
            </x14:sparkline>
            <x14:sparkline>
              <xm:f>'Ratio analysis'!E15:S15</xm:f>
              <xm:sqref>T15</xm:sqref>
            </x14:sparkline>
            <x14:sparkline>
              <xm:f>'Ratio analysis'!E16:S16</xm:f>
              <xm:sqref>T16</xm:sqref>
            </x14:sparkline>
            <x14:sparkline>
              <xm:f>'Ratio analysis'!E17:S17</xm:f>
              <xm:sqref>T17</xm:sqref>
            </x14:sparkline>
            <x14:sparkline>
              <xm:f>'Ratio analysis'!E18:S18</xm:f>
              <xm:sqref>T18</xm:sqref>
            </x14:sparkline>
            <x14:sparkline>
              <xm:f>'Ratio analysis'!E19:S19</xm:f>
              <xm:sqref>T19</xm:sqref>
            </x14:sparkline>
            <x14:sparkline>
              <xm:f>'Ratio analysis'!E20:S20</xm:f>
              <xm:sqref>T20</xm:sqref>
            </x14:sparkline>
            <x14:sparkline>
              <xm:f>'Ratio analysis'!E21:S21</xm:f>
              <xm:sqref>T21</xm:sqref>
            </x14:sparkline>
            <x14:sparkline>
              <xm:f>'Ratio analysis'!E22:S22</xm:f>
              <xm:sqref>T22</xm:sqref>
            </x14:sparkline>
          </x14:sparklines>
        </x14:sparklineGroup>
        <x14:sparklineGroup displayEmptyCellsAs="gap" xr2:uid="{C5F18FCC-22F6-4650-A7CE-2A3D56C58BD4}">
          <x14:colorSeries rgb="FF376092"/>
          <x14:colorNegative rgb="FFD00000"/>
          <x14:colorAxis rgb="FF000000"/>
          <x14:colorMarkers rgb="FFD00000"/>
          <x14:colorFirst rgb="FFD00000"/>
          <x14:colorLast rgb="FFD00000"/>
          <x14:colorHigh rgb="FFD00000"/>
          <x14:colorLow rgb="FFD00000"/>
          <x14:sparklines>
            <x14:sparkline>
              <xm:f>'Ratio analysis'!F25:S25</xm:f>
              <xm:sqref>T25</xm:sqref>
            </x14:sparkline>
            <x14:sparkline>
              <xm:f>'Ratio analysis'!F26:S26</xm:f>
              <xm:sqref>T26</xm:sqref>
            </x14:sparkline>
            <x14:sparkline>
              <xm:f>'Ratio analysis'!F27:S27</xm:f>
              <xm:sqref>T27</xm:sqref>
            </x14:sparkline>
          </x14:sparklines>
        </x14:sparklineGroup>
        <x14:sparklineGroup displayEmptyCellsAs="gap" xr2:uid="{7C765AA0-A4A7-4BE3-ABA8-861E3125576D}">
          <x14:colorSeries rgb="FF376092"/>
          <x14:colorNegative rgb="FFD00000"/>
          <x14:colorAxis rgb="FF000000"/>
          <x14:colorMarkers rgb="FFD00000"/>
          <x14:colorFirst rgb="FFD00000"/>
          <x14:colorLast rgb="FFD00000"/>
          <x14:colorHigh rgb="FFD00000"/>
          <x14:colorLow rgb="FFD00000"/>
          <x14:sparklines>
            <x14:sparkline>
              <xm:f>'Ratio analysis'!E29:S29</xm:f>
              <xm:sqref>T29</xm:sqref>
            </x14:sparkline>
          </x14:sparklines>
        </x14:sparklineGroup>
        <x14:sparklineGroup displayEmptyCellsAs="gap" xr2:uid="{DFBDFD52-478D-4FA2-899E-7823C0745AA2}">
          <x14:colorSeries rgb="FF376092"/>
          <x14:colorNegative rgb="FFD00000"/>
          <x14:colorAxis rgb="FF000000"/>
          <x14:colorMarkers rgb="FFD00000"/>
          <x14:colorFirst rgb="FFD00000"/>
          <x14:colorLast rgb="FFD00000"/>
          <x14:colorHigh rgb="FFD00000"/>
          <x14:colorLow rgb="FFD00000"/>
          <x14:sparklines>
            <x14:sparkline>
              <xm:f>'Ratio analysis'!F31:S31</xm:f>
              <xm:sqref>T31</xm:sqref>
            </x14:sparkline>
          </x14:sparklines>
        </x14:sparklineGroup>
        <x14:sparklineGroup displayEmptyCellsAs="gap" xr2:uid="{14E64343-EECA-4D58-9640-4B73C6BEFAD1}">
          <x14:colorSeries rgb="FF376092"/>
          <x14:colorNegative rgb="FFD00000"/>
          <x14:colorAxis rgb="FF000000"/>
          <x14:colorMarkers rgb="FFD00000"/>
          <x14:colorFirst rgb="FFD00000"/>
          <x14:colorLast rgb="FFD00000"/>
          <x14:colorHigh rgb="FFD00000"/>
          <x14:colorLow rgb="FFD00000"/>
          <x14:sparklines>
            <x14:sparkline>
              <xm:f>'Ratio analysis'!E33:S33</xm:f>
              <xm:sqref>T33</xm:sqref>
            </x14:sparkline>
          </x14:sparklines>
        </x14:sparklineGroup>
        <x14:sparklineGroup displayEmptyCellsAs="gap" xr2:uid="{A06555FC-8369-4D4E-97B5-06FFFEBF063A}">
          <x14:colorSeries rgb="FF376092"/>
          <x14:colorNegative rgb="FFD00000"/>
          <x14:colorAxis rgb="FF000000"/>
          <x14:colorMarkers rgb="FFD00000"/>
          <x14:colorFirst rgb="FFD00000"/>
          <x14:colorLast rgb="FFD00000"/>
          <x14:colorHigh rgb="FFD00000"/>
          <x14:colorLow rgb="FFD00000"/>
          <x14:sparklines>
            <x14:sparkline>
              <xm:f>'Ratio analysis'!F35:S35</xm:f>
              <xm:sqref>T35</xm:sqref>
            </x14:sparkline>
          </x14:sparklines>
        </x14:sparklineGroup>
        <x14:sparklineGroup displayEmptyCellsAs="gap" xr2:uid="{D2D44C7F-900B-46EA-AEF4-B9AC711347DC}">
          <x14:colorSeries rgb="FF376092"/>
          <x14:colorNegative rgb="FFD00000"/>
          <x14:colorAxis rgb="FF000000"/>
          <x14:colorMarkers rgb="FFD00000"/>
          <x14:colorFirst rgb="FFD00000"/>
          <x14:colorLast rgb="FFD00000"/>
          <x14:colorHigh rgb="FFD00000"/>
          <x14:colorLow rgb="FFD00000"/>
          <x14:sparklines>
            <x14:sparkline>
              <xm:f>'Ratio analysis'!E38:S38</xm:f>
              <xm:sqref>T38</xm:sqref>
            </x14:sparkline>
            <x14:sparkline>
              <xm:f>'Ratio analysis'!E39:S39</xm:f>
              <xm:sqref>T39</xm:sqref>
            </x14:sparkline>
            <x14:sparkline>
              <xm:f>'Ratio analysis'!E40:S40</xm:f>
              <xm:sqref>T40</xm:sqref>
            </x14:sparkline>
            <x14:sparkline>
              <xm:f>'Ratio analysis'!E41:S41</xm:f>
              <xm:sqref>T41</xm:sqref>
            </x14:sparkline>
            <x14:sparkline>
              <xm:f>'Ratio analysis'!E42:S42</xm:f>
              <xm:sqref>T42</xm:sqref>
            </x14:sparkline>
          </x14:sparklines>
        </x14:sparklineGroup>
        <x14:sparklineGroup displayEmptyCellsAs="gap" xr2:uid="{7DB902C3-6A16-4B54-9FB5-8D76EEB1D79C}">
          <x14:colorSeries rgb="FF376092"/>
          <x14:colorNegative rgb="FFD00000"/>
          <x14:colorAxis rgb="FF000000"/>
          <x14:colorMarkers rgb="FFD00000"/>
          <x14:colorFirst rgb="FFD00000"/>
          <x14:colorLast rgb="FFD00000"/>
          <x14:colorHigh rgb="FFD00000"/>
          <x14:colorLow rgb="FFD00000"/>
          <x14:sparklines>
            <x14:sparkline>
              <xm:f>'Ratio analysis'!E45:S45</xm:f>
              <xm:sqref>T45</xm:sqref>
            </x14:sparkline>
            <x14:sparkline>
              <xm:f>'Ratio analysis'!E46:S46</xm:f>
              <xm:sqref>T46</xm:sqref>
            </x14:sparkline>
            <x14:sparkline>
              <xm:f>'Ratio analysis'!E47:S47</xm:f>
              <xm:sqref>T47</xm:sqref>
            </x14:sparkline>
          </x14:sparklines>
        </x14:sparklineGroup>
        <x14:sparklineGroup displayEmptyCellsAs="gap" xr2:uid="{D5400AEE-5180-480B-8F72-39B79169A8BA}">
          <x14:colorSeries rgb="FF376092"/>
          <x14:colorNegative rgb="FFD00000"/>
          <x14:colorAxis rgb="FF000000"/>
          <x14:colorMarkers rgb="FFD00000"/>
          <x14:colorFirst rgb="FFD00000"/>
          <x14:colorLast rgb="FFD00000"/>
          <x14:colorHigh rgb="FFD00000"/>
          <x14:colorLow rgb="FFD00000"/>
          <x14:sparklines>
            <x14:sparkline>
              <xm:f>'Ratio analysis'!F51:S51</xm:f>
              <xm:sqref>T51</xm:sqref>
            </x14:sparkline>
          </x14:sparklines>
        </x14:sparklineGroup>
        <x14:sparklineGroup displayEmptyCellsAs="gap" xr2:uid="{ACA46A83-5389-4CBE-ABDE-5ADF8947C012}">
          <x14:colorSeries rgb="FF376092"/>
          <x14:colorNegative rgb="FFD00000"/>
          <x14:colorAxis rgb="FF000000"/>
          <x14:colorMarkers rgb="FFD00000"/>
          <x14:colorFirst rgb="FFD00000"/>
          <x14:colorLast rgb="FFD00000"/>
          <x14:colorHigh rgb="FFD00000"/>
          <x14:colorLow rgb="FFD00000"/>
          <x14:sparklines>
            <x14:sparkline>
              <xm:f>'Ratio analysis'!E53:S53</xm:f>
              <xm:sqref>T53</xm:sqref>
            </x14:sparkline>
          </x14:sparklines>
        </x14:sparklineGroup>
        <x14:sparklineGroup displayEmptyCellsAs="gap" xr2:uid="{F3DDE6B5-366C-43A0-A96F-C1720EEC765A}">
          <x14:colorSeries rgb="FF376092"/>
          <x14:colorNegative rgb="FFD00000"/>
          <x14:colorAxis rgb="FF000000"/>
          <x14:colorMarkers rgb="FFD00000"/>
          <x14:colorFirst rgb="FFD00000"/>
          <x14:colorLast rgb="FFD00000"/>
          <x14:colorHigh rgb="FFD00000"/>
          <x14:colorLow rgb="FFD00000"/>
          <x14:sparklines>
            <x14:sparkline>
              <xm:f>'Ratio analysis'!F55:S55</xm:f>
              <xm:sqref>T55</xm:sqref>
            </x14:sparkline>
          </x14:sparklines>
        </x14:sparklineGroup>
        <x14:sparklineGroup displayEmptyCellsAs="gap" xr2:uid="{B202D87A-12AC-4FCE-B190-129650595A81}">
          <x14:colorSeries rgb="FF376092"/>
          <x14:colorNegative rgb="FFD00000"/>
          <x14:colorAxis rgb="FF000000"/>
          <x14:colorMarkers rgb="FFD00000"/>
          <x14:colorFirst rgb="FFD00000"/>
          <x14:colorLast rgb="FFD00000"/>
          <x14:colorHigh rgb="FFD00000"/>
          <x14:colorLow rgb="FFD00000"/>
          <x14:sparklines>
            <x14:sparkline>
              <xm:f>'Ratio analysis'!E57:S57</xm:f>
              <xm:sqref>T57</xm:sqref>
            </x14:sparkline>
          </x14:sparklines>
        </x14:sparklineGroup>
        <x14:sparklineGroup displayEmptyCellsAs="gap" xr2:uid="{505A7172-88DD-423A-AAB7-8EA4B22FE791}">
          <x14:colorSeries rgb="FF376092"/>
          <x14:colorNegative rgb="FFD00000"/>
          <x14:colorAxis rgb="FF000000"/>
          <x14:colorMarkers rgb="FFD00000"/>
          <x14:colorFirst rgb="FFD00000"/>
          <x14:colorLast rgb="FFD00000"/>
          <x14:colorHigh rgb="FFD00000"/>
          <x14:colorLow rgb="FFD00000"/>
          <x14:sparklines>
            <x14:sparkline>
              <xm:f>'Ratio analysis'!F59:S59</xm:f>
              <xm:sqref>T59</xm:sqref>
            </x14:sparkline>
          </x14:sparklines>
        </x14:sparklineGroup>
        <x14:sparklineGroup displayEmptyCellsAs="gap" xr2:uid="{58DA5AFD-BCA2-4047-A153-45EFF4158F78}">
          <x14:colorSeries rgb="FF376092"/>
          <x14:colorNegative rgb="FFD00000"/>
          <x14:colorAxis rgb="FF000000"/>
          <x14:colorMarkers rgb="FFD00000"/>
          <x14:colorFirst rgb="FFD00000"/>
          <x14:colorLast rgb="FFD00000"/>
          <x14:colorHigh rgb="FFD00000"/>
          <x14:colorLow rgb="FFD00000"/>
          <x14:sparklines>
            <x14:sparkline>
              <xm:f>'Ratio analysis'!E61:S61</xm:f>
              <xm:sqref>T61</xm:sqref>
            </x14:sparkline>
          </x14:sparklines>
        </x14:sparklineGroup>
        <x14:sparklineGroup displayEmptyCellsAs="gap" xr2:uid="{27A36DC5-D0E9-4F7B-99F8-096E8A83AC41}">
          <x14:colorSeries rgb="FF376092"/>
          <x14:colorNegative rgb="FFD00000"/>
          <x14:colorAxis rgb="FF000000"/>
          <x14:colorMarkers rgb="FFD00000"/>
          <x14:colorFirst rgb="FFD00000"/>
          <x14:colorLast rgb="FFD00000"/>
          <x14:colorHigh rgb="FFD00000"/>
          <x14:colorLow rgb="FFD00000"/>
          <x14:sparklines>
            <x14:sparkline>
              <xm:f>'Ratio analysis'!F63:S63</xm:f>
              <xm:sqref>T63</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68C1-F38F-428D-84FF-1EED9C99AF0F}">
  <dimension ref="A6:M16"/>
  <sheetViews>
    <sheetView showGridLines="0" workbookViewId="0">
      <selection activeCell="R23" sqref="R23"/>
    </sheetView>
  </sheetViews>
  <sheetFormatPr defaultRowHeight="15" x14ac:dyDescent="0.25"/>
  <cols>
    <col min="1" max="3" width="1.28515625" customWidth="1"/>
    <col min="8" max="8" width="10.7109375" customWidth="1"/>
    <col min="9" max="9" width="10.5703125" customWidth="1"/>
    <col min="10" max="10" width="15.140625" customWidth="1"/>
    <col min="11" max="11" width="12.5703125" customWidth="1"/>
  </cols>
  <sheetData>
    <row r="6" spans="1:13" ht="26.25" x14ac:dyDescent="0.4">
      <c r="A6" s="115" t="str">
        <f>'Equity Beta'!A6</f>
        <v>CESC Limited</v>
      </c>
      <c r="B6" s="112"/>
      <c r="C6" s="112"/>
      <c r="D6" s="112"/>
      <c r="E6" s="112"/>
      <c r="F6" s="112"/>
      <c r="G6" s="112"/>
      <c r="H6" s="112"/>
      <c r="I6" s="112"/>
      <c r="J6" s="112"/>
      <c r="K6" s="112"/>
      <c r="L6" s="112"/>
      <c r="M6" s="112"/>
    </row>
    <row r="7" spans="1:13" ht="16.5" x14ac:dyDescent="0.3">
      <c r="A7" s="121"/>
      <c r="B7" s="121" t="s">
        <v>369</v>
      </c>
      <c r="C7" s="121"/>
      <c r="D7" s="112"/>
      <c r="E7" s="121"/>
      <c r="F7" s="121"/>
      <c r="G7" s="112"/>
      <c r="H7" s="112"/>
      <c r="I7" s="112"/>
      <c r="J7" s="112"/>
      <c r="K7" s="112"/>
      <c r="L7" s="112"/>
      <c r="M7" s="112"/>
    </row>
    <row r="8" spans="1:13" ht="16.5" x14ac:dyDescent="0.3">
      <c r="A8" s="119"/>
      <c r="B8" s="119"/>
      <c r="C8" s="119"/>
      <c r="D8" s="119"/>
      <c r="E8" s="119"/>
      <c r="F8" s="119"/>
      <c r="G8" s="113"/>
      <c r="H8" s="113"/>
      <c r="I8" s="113"/>
      <c r="J8" s="113"/>
      <c r="K8" s="113"/>
      <c r="L8" s="113"/>
      <c r="M8" s="113"/>
    </row>
    <row r="9" spans="1:13" ht="16.5" x14ac:dyDescent="0.3">
      <c r="A9" s="24"/>
      <c r="B9" s="24"/>
      <c r="C9" s="24" t="s">
        <v>370</v>
      </c>
      <c r="D9" s="24"/>
      <c r="E9" s="24"/>
      <c r="F9" s="24"/>
    </row>
    <row r="10" spans="1:13" ht="16.5" x14ac:dyDescent="0.3">
      <c r="D10" s="24"/>
    </row>
    <row r="11" spans="1:13" ht="16.5" x14ac:dyDescent="0.3">
      <c r="H11" s="33"/>
      <c r="I11" s="33"/>
      <c r="J11" s="33"/>
      <c r="K11" s="33" t="s">
        <v>387</v>
      </c>
    </row>
    <row r="12" spans="1:13" ht="16.5" x14ac:dyDescent="0.3">
      <c r="H12" s="33" t="s">
        <v>320</v>
      </c>
      <c r="I12" s="33" t="s">
        <v>373</v>
      </c>
      <c r="J12" s="33" t="s">
        <v>374</v>
      </c>
      <c r="K12" s="33" t="s">
        <v>375</v>
      </c>
    </row>
    <row r="13" spans="1:13" ht="16.5" x14ac:dyDescent="0.3">
      <c r="D13" s="8" t="s">
        <v>371</v>
      </c>
      <c r="E13" s="8"/>
      <c r="F13" s="8"/>
      <c r="G13" s="8"/>
      <c r="H13" s="28">
        <f>MAX(comps!N23:N25)</f>
        <v>367.24015429798612</v>
      </c>
      <c r="I13" s="28">
        <v>15709.982508088471</v>
      </c>
      <c r="J13" s="28">
        <f>'Equity Beta'!L9</f>
        <v>207.77</v>
      </c>
      <c r="K13" s="28">
        <v>420</v>
      </c>
    </row>
    <row r="14" spans="1:13" ht="16.5" x14ac:dyDescent="0.3">
      <c r="D14" s="8" t="s">
        <v>371</v>
      </c>
      <c r="E14" s="8"/>
      <c r="F14" s="8"/>
      <c r="G14" s="8"/>
      <c r="H14" s="28">
        <f>H13</f>
        <v>367.24015429798612</v>
      </c>
      <c r="I14" s="28">
        <f>I13</f>
        <v>15709.982508088471</v>
      </c>
      <c r="J14" s="28">
        <f>J13</f>
        <v>207.77</v>
      </c>
      <c r="K14" s="28">
        <f>K13</f>
        <v>420</v>
      </c>
    </row>
    <row r="15" spans="1:13" ht="16.5" x14ac:dyDescent="0.3">
      <c r="D15" s="8" t="s">
        <v>372</v>
      </c>
      <c r="E15" s="8"/>
      <c r="F15" s="8"/>
      <c r="G15" s="8"/>
      <c r="H15" s="28">
        <f>MIN(comps!N23:N25)</f>
        <v>19.583179994570294</v>
      </c>
      <c r="I15" s="28">
        <v>5006.9022479552677</v>
      </c>
      <c r="J15" s="28">
        <f>'Equity Beta'!L8</f>
        <v>112.45</v>
      </c>
      <c r="K15" s="28">
        <v>90</v>
      </c>
    </row>
    <row r="16" spans="1:13" ht="16.5" x14ac:dyDescent="0.3">
      <c r="D16" s="8" t="s">
        <v>372</v>
      </c>
      <c r="H16" s="28">
        <f>H15</f>
        <v>19.583179994570294</v>
      </c>
      <c r="I16" s="28">
        <f>I15</f>
        <v>5006.9022479552677</v>
      </c>
      <c r="J16" s="28">
        <f>J15</f>
        <v>112.45</v>
      </c>
      <c r="K16" s="28">
        <v>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Assumption</vt:lpstr>
      <vt:lpstr>historical</vt:lpstr>
      <vt:lpstr>Model</vt:lpstr>
      <vt:lpstr>scenario</vt:lpstr>
      <vt:lpstr>working capital</vt:lpstr>
      <vt:lpstr>comps</vt:lpstr>
      <vt:lpstr>comps data</vt:lpstr>
      <vt:lpstr>market data</vt:lpstr>
      <vt:lpstr>Equity Beta</vt:lpstr>
      <vt:lpstr>Wacc</vt:lpstr>
      <vt:lpstr>Ratio analysis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2024-09-06T08:42:43Z</cp:lastPrinted>
  <dcterms:created xsi:type="dcterms:W3CDTF">2024-08-01T06:42:17Z</dcterms:created>
  <dcterms:modified xsi:type="dcterms:W3CDTF">2025-01-06T09:48:42Z</dcterms:modified>
</cp:coreProperties>
</file>