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REE\Documents\"/>
    </mc:Choice>
  </mc:AlternateContent>
  <xr:revisionPtr revIDLastSave="0" documentId="13_ncr:1_{C6101F76-A1A8-4E40-BB85-E3E35C4E2977}" xr6:coauthVersionLast="47" xr6:coauthVersionMax="47" xr10:uidLastSave="{00000000-0000-0000-0000-000000000000}"/>
  <bookViews>
    <workbookView xWindow="-120" yWindow="-120" windowWidth="20730" windowHeight="11160" xr2:uid="{8D149EBE-9919-4E08-BF42-DB8EA1F6EEDA}"/>
  </bookViews>
  <sheets>
    <sheet name="Assumptions" sheetId="5" r:id="rId1"/>
    <sheet name="P&amp;L Input" sheetId="1" r:id="rId2"/>
    <sheet name="BS Input" sheetId="2" r:id="rId3"/>
    <sheet name="Common Sizing" sheetId="3" r:id="rId4"/>
    <sheet name="Revenue Bulid Up" sheetId="4" r:id="rId5"/>
    <sheet name="Cost Build Up" sheetId="6" r:id="rId6"/>
    <sheet name="FAS" sheetId="8" r:id="rId7"/>
    <sheet name="working Capital" sheetId="7" r:id="rId8"/>
    <sheet name="BS Items" sheetId="9" r:id="rId9"/>
    <sheet name="Income Statement" sheetId="10" r:id="rId10"/>
    <sheet name="Balance Sheet" sheetId="11" r:id="rId11"/>
    <sheet name="Cash Flow Statement" sheetId="12" r:id="rId12"/>
    <sheet name="Ratio Analysis" sheetId="13" r:id="rId13"/>
    <sheet name="Charts" sheetId="19" r:id="rId14"/>
    <sheet name="Beta Calculation" sheetId="14" r:id="rId15"/>
    <sheet name="Equity Market Return" sheetId="15" r:id="rId16"/>
    <sheet name="DCF Analysis" sheetId="16" r:id="rId17"/>
    <sheet name="Comp" sheetId="17" r:id="rId18"/>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16" l="1"/>
  <c r="C42" i="1"/>
  <c r="G12" i="15"/>
  <c r="G13" i="15" s="1"/>
  <c r="F11" i="14"/>
  <c r="F12" i="14"/>
  <c r="F13" i="14"/>
  <c r="F10" i="14"/>
  <c r="D11" i="14"/>
  <c r="D12" i="14"/>
  <c r="D13" i="14"/>
  <c r="D10" i="14"/>
  <c r="E15" i="16"/>
  <c r="F15" i="16"/>
  <c r="G15" i="16"/>
  <c r="D15" i="16"/>
  <c r="D24" i="10" l="1"/>
  <c r="E24" i="10"/>
  <c r="F24" i="10"/>
  <c r="G24" i="10"/>
  <c r="C24" i="10"/>
  <c r="D14" i="10"/>
  <c r="E14" i="10"/>
  <c r="F14" i="10"/>
  <c r="G14" i="10"/>
  <c r="C14" i="10"/>
  <c r="I13" i="6"/>
  <c r="H13" i="6"/>
  <c r="D13" i="6"/>
  <c r="E13" i="6"/>
  <c r="F13" i="6"/>
  <c r="G13" i="6"/>
  <c r="C13" i="6"/>
  <c r="D13" i="3"/>
  <c r="E13" i="3"/>
  <c r="F13" i="3"/>
  <c r="G13" i="3"/>
  <c r="C13" i="3"/>
  <c r="D24" i="1"/>
  <c r="E24" i="1"/>
  <c r="F24" i="1"/>
  <c r="G24" i="1"/>
  <c r="C24" i="1"/>
  <c r="F14" i="14"/>
  <c r="F15" i="14"/>
  <c r="F16" i="14"/>
  <c r="F17" i="14"/>
  <c r="F18" i="14"/>
  <c r="F19" i="14"/>
  <c r="F20" i="14"/>
  <c r="D14" i="14"/>
  <c r="D15" i="14"/>
  <c r="D16" i="14"/>
  <c r="D17" i="14"/>
  <c r="D18" i="14"/>
  <c r="D19" i="14"/>
  <c r="D20" i="14"/>
  <c r="C18" i="4"/>
  <c r="D18" i="4"/>
  <c r="E18" i="4"/>
  <c r="F18" i="4"/>
  <c r="G18" i="4"/>
  <c r="J13" i="6" l="1"/>
  <c r="H18" i="4"/>
  <c r="I18" i="4" s="1"/>
  <c r="J18" i="4" s="1"/>
  <c r="K18" i="4" s="1"/>
  <c r="L18" i="4" s="1"/>
  <c r="M18" i="4" s="1"/>
  <c r="N18" i="4" s="1"/>
  <c r="O18" i="4" s="1"/>
  <c r="P18" i="4" s="1"/>
  <c r="Q18" i="4" s="1"/>
  <c r="K13" i="6" l="1"/>
  <c r="D24" i="17"/>
  <c r="L13" i="6" l="1"/>
  <c r="D68" i="11"/>
  <c r="E68" i="11"/>
  <c r="F68" i="11"/>
  <c r="G68" i="11"/>
  <c r="C68" i="11"/>
  <c r="F24" i="17"/>
  <c r="C26" i="17"/>
  <c r="C25" i="17"/>
  <c r="C24" i="17"/>
  <c r="M13" i="6" l="1"/>
  <c r="F21" i="14"/>
  <c r="F22" i="14"/>
  <c r="F23" i="14"/>
  <c r="D21" i="14"/>
  <c r="D22" i="14"/>
  <c r="D23" i="14"/>
  <c r="D24" i="14"/>
  <c r="D25" i="14"/>
  <c r="D21" i="5"/>
  <c r="C20" i="17" s="1"/>
  <c r="N13" i="6" l="1"/>
  <c r="D21" i="4"/>
  <c r="E21" i="4"/>
  <c r="F21" i="4"/>
  <c r="G21" i="4"/>
  <c r="C21" i="4"/>
  <c r="D16" i="4"/>
  <c r="E16" i="4"/>
  <c r="F16" i="4"/>
  <c r="G16" i="4"/>
  <c r="D20" i="4"/>
  <c r="E20" i="4"/>
  <c r="F20" i="4"/>
  <c r="G20" i="4"/>
  <c r="C20" i="4"/>
  <c r="C16" i="4"/>
  <c r="D14" i="4"/>
  <c r="E14" i="4"/>
  <c r="F14" i="4"/>
  <c r="G14" i="4"/>
  <c r="C14" i="4"/>
  <c r="E12" i="4"/>
  <c r="F12" i="4"/>
  <c r="G12" i="4"/>
  <c r="D12" i="4"/>
  <c r="O13" i="6" l="1"/>
  <c r="E22" i="4"/>
  <c r="H16" i="4"/>
  <c r="I16" i="4" s="1"/>
  <c r="H20" i="4"/>
  <c r="H33" i="4"/>
  <c r="H14" i="4"/>
  <c r="D22" i="4"/>
  <c r="G22" i="4"/>
  <c r="F22" i="4"/>
  <c r="P13" i="6" l="1"/>
  <c r="J16" i="4"/>
  <c r="I20" i="4"/>
  <c r="H34" i="4"/>
  <c r="H32" i="4"/>
  <c r="I14" i="4"/>
  <c r="C63" i="16"/>
  <c r="C60" i="16"/>
  <c r="D22" i="5"/>
  <c r="C36" i="16" s="1"/>
  <c r="Q13" i="6" l="1"/>
  <c r="K16" i="4"/>
  <c r="J14" i="4"/>
  <c r="J20" i="4"/>
  <c r="G25" i="17"/>
  <c r="G26" i="17"/>
  <c r="G24" i="17"/>
  <c r="E24" i="17"/>
  <c r="E20" i="17"/>
  <c r="P20" i="17" s="1"/>
  <c r="F26" i="17" s="1"/>
  <c r="E12" i="17"/>
  <c r="P12" i="17" s="1"/>
  <c r="E13" i="17"/>
  <c r="P13" i="17" s="1"/>
  <c r="E14" i="17"/>
  <c r="P14" i="17" s="1"/>
  <c r="E11" i="17"/>
  <c r="H11" i="17" s="1"/>
  <c r="K14" i="4" l="1"/>
  <c r="K20" i="4"/>
  <c r="L16" i="4"/>
  <c r="H26" i="17"/>
  <c r="H24" i="17"/>
  <c r="E25" i="17"/>
  <c r="E26" i="17" s="1"/>
  <c r="D26" i="17" s="1"/>
  <c r="P11" i="17"/>
  <c r="P16" i="17" s="1"/>
  <c r="P17" i="17"/>
  <c r="O11" i="17"/>
  <c r="N11" i="17"/>
  <c r="H13" i="17"/>
  <c r="H14" i="17"/>
  <c r="H20" i="17"/>
  <c r="H12" i="17"/>
  <c r="M16" i="4" l="1"/>
  <c r="L20" i="4"/>
  <c r="L14" i="4"/>
  <c r="N14" i="17"/>
  <c r="O14" i="17"/>
  <c r="O13" i="17"/>
  <c r="O17" i="17" s="1"/>
  <c r="N13" i="17"/>
  <c r="O12" i="17"/>
  <c r="N12" i="17"/>
  <c r="N20" i="17"/>
  <c r="O20" i="17"/>
  <c r="D25" i="17" s="1"/>
  <c r="F25" i="17" s="1"/>
  <c r="H25" i="17" s="1"/>
  <c r="M20" i="4" l="1"/>
  <c r="N16" i="4"/>
  <c r="M14" i="4"/>
  <c r="O16" i="17"/>
  <c r="N16" i="17"/>
  <c r="N17" i="17"/>
  <c r="N20" i="4" l="1"/>
  <c r="N14" i="4"/>
  <c r="O16" i="4"/>
  <c r="H7" i="16"/>
  <c r="I7" i="16" s="1"/>
  <c r="J7" i="16" s="1"/>
  <c r="K7" i="16" s="1"/>
  <c r="L7" i="16" s="1"/>
  <c r="M7" i="16" s="1"/>
  <c r="N7" i="16" s="1"/>
  <c r="O7" i="16" s="1"/>
  <c r="P7" i="16" s="1"/>
  <c r="Q7" i="16" s="1"/>
  <c r="C23" i="16"/>
  <c r="C25" i="16" s="1"/>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I12" i="14" l="1"/>
  <c r="C24" i="16" s="1"/>
  <c r="C27" i="16" s="1"/>
  <c r="C32" i="16" s="1"/>
  <c r="O14" i="4"/>
  <c r="P16" i="4"/>
  <c r="O20" i="4"/>
  <c r="H7" i="13"/>
  <c r="I7" i="13" s="1"/>
  <c r="J7" i="13" s="1"/>
  <c r="K7" i="13" s="1"/>
  <c r="L7" i="13" s="1"/>
  <c r="M7" i="13" s="1"/>
  <c r="N7" i="13" s="1"/>
  <c r="O7" i="13" s="1"/>
  <c r="P7" i="13" s="1"/>
  <c r="Q7" i="13" s="1"/>
  <c r="I41" i="12"/>
  <c r="J41" i="12"/>
  <c r="K41" i="12"/>
  <c r="L41" i="12"/>
  <c r="M41" i="12"/>
  <c r="N41" i="12"/>
  <c r="O41" i="12"/>
  <c r="P41" i="12"/>
  <c r="Q41" i="12"/>
  <c r="I25" i="12"/>
  <c r="J25" i="12"/>
  <c r="K25" i="12"/>
  <c r="L25" i="12"/>
  <c r="M25" i="12"/>
  <c r="N25" i="12"/>
  <c r="O25" i="12"/>
  <c r="P25" i="12"/>
  <c r="Q25" i="12"/>
  <c r="H7" i="12"/>
  <c r="I7" i="12" s="1"/>
  <c r="J7" i="12" s="1"/>
  <c r="K7" i="12" s="1"/>
  <c r="L7" i="12" s="1"/>
  <c r="M7" i="12" s="1"/>
  <c r="N7" i="12" s="1"/>
  <c r="O7" i="12" s="1"/>
  <c r="P7" i="12" s="1"/>
  <c r="Q7" i="12" s="1"/>
  <c r="D64" i="11"/>
  <c r="E64" i="11"/>
  <c r="F64" i="11"/>
  <c r="G64" i="11"/>
  <c r="C64" i="11"/>
  <c r="D55" i="11"/>
  <c r="E55" i="11"/>
  <c r="F55" i="11"/>
  <c r="G55" i="11"/>
  <c r="D56" i="11"/>
  <c r="E56" i="11"/>
  <c r="F56" i="11"/>
  <c r="G56" i="11"/>
  <c r="D57" i="11"/>
  <c r="E57" i="11"/>
  <c r="F57" i="11"/>
  <c r="G57" i="11"/>
  <c r="D58" i="11"/>
  <c r="E58" i="11"/>
  <c r="F58" i="11"/>
  <c r="G58" i="11"/>
  <c r="C37" i="16" s="1"/>
  <c r="D59" i="11"/>
  <c r="E59" i="11"/>
  <c r="F59" i="11"/>
  <c r="G59" i="11"/>
  <c r="D60" i="11"/>
  <c r="E60" i="11"/>
  <c r="F60" i="11"/>
  <c r="G60" i="11"/>
  <c r="C56" i="11"/>
  <c r="C57" i="11"/>
  <c r="C58" i="11"/>
  <c r="C59" i="11"/>
  <c r="C60" i="11"/>
  <c r="C55" i="11"/>
  <c r="D48" i="11"/>
  <c r="E48" i="11"/>
  <c r="F48" i="11"/>
  <c r="F52" i="11" s="1"/>
  <c r="G48" i="11"/>
  <c r="D49" i="11"/>
  <c r="E49" i="11"/>
  <c r="F49" i="11"/>
  <c r="G49" i="11"/>
  <c r="D50" i="11"/>
  <c r="E50" i="11"/>
  <c r="F50" i="11"/>
  <c r="G50" i="11"/>
  <c r="C49" i="11"/>
  <c r="C50" i="11"/>
  <c r="C48" i="11"/>
  <c r="D39" i="11"/>
  <c r="E39" i="11"/>
  <c r="F39" i="11"/>
  <c r="G39" i="11"/>
  <c r="D40" i="11"/>
  <c r="E40" i="11"/>
  <c r="F40" i="11"/>
  <c r="G40" i="11"/>
  <c r="D41" i="11"/>
  <c r="E41" i="11"/>
  <c r="F41" i="11"/>
  <c r="G41" i="11"/>
  <c r="C40" i="11"/>
  <c r="C41" i="11"/>
  <c r="C39" i="11"/>
  <c r="D34" i="11"/>
  <c r="E34" i="11"/>
  <c r="F34" i="11"/>
  <c r="G34" i="11"/>
  <c r="H41" i="12" s="1"/>
  <c r="C34" i="11"/>
  <c r="D24" i="11"/>
  <c r="E24" i="11"/>
  <c r="F24" i="11"/>
  <c r="G24" i="11"/>
  <c r="D25" i="11"/>
  <c r="E25" i="11"/>
  <c r="F25" i="11"/>
  <c r="G25" i="11"/>
  <c r="D26" i="11"/>
  <c r="E35" i="12" s="1"/>
  <c r="E26" i="11"/>
  <c r="F26" i="11"/>
  <c r="G26" i="11"/>
  <c r="D27" i="11"/>
  <c r="E27" i="11"/>
  <c r="F27" i="11"/>
  <c r="G27" i="11"/>
  <c r="D28" i="11"/>
  <c r="E28" i="11"/>
  <c r="F28" i="11"/>
  <c r="G28" i="11"/>
  <c r="D29" i="11"/>
  <c r="E29" i="11"/>
  <c r="F29" i="11"/>
  <c r="G29" i="11"/>
  <c r="D30" i="11"/>
  <c r="E39" i="12" s="1"/>
  <c r="E30" i="11"/>
  <c r="F30" i="11"/>
  <c r="G30" i="11"/>
  <c r="D31" i="11"/>
  <c r="E31" i="11"/>
  <c r="F31" i="11"/>
  <c r="G31" i="11"/>
  <c r="C25" i="11"/>
  <c r="C26" i="11"/>
  <c r="C27" i="11"/>
  <c r="C28" i="11"/>
  <c r="C29" i="11"/>
  <c r="C30" i="11"/>
  <c r="C31" i="11"/>
  <c r="C24" i="11"/>
  <c r="D11" i="11"/>
  <c r="E11" i="11"/>
  <c r="F11" i="11"/>
  <c r="G11" i="11"/>
  <c r="D12" i="11"/>
  <c r="E12" i="11"/>
  <c r="F12" i="11"/>
  <c r="G12" i="11"/>
  <c r="D13" i="11"/>
  <c r="E13" i="11"/>
  <c r="F13" i="11"/>
  <c r="G13" i="11"/>
  <c r="H13" i="11" s="1"/>
  <c r="I13" i="11" s="1"/>
  <c r="J13" i="11" s="1"/>
  <c r="K13" i="11" s="1"/>
  <c r="L13" i="11" s="1"/>
  <c r="M13" i="11" s="1"/>
  <c r="N13" i="11" s="1"/>
  <c r="O13" i="11" s="1"/>
  <c r="P13" i="11" s="1"/>
  <c r="Q13" i="11" s="1"/>
  <c r="D14" i="11"/>
  <c r="E14" i="11"/>
  <c r="F14" i="11"/>
  <c r="G14" i="11"/>
  <c r="D15" i="11"/>
  <c r="E15" i="11"/>
  <c r="F15" i="11"/>
  <c r="G15" i="11"/>
  <c r="D16" i="11"/>
  <c r="E16" i="11"/>
  <c r="F16" i="11"/>
  <c r="G16" i="11"/>
  <c r="D17" i="11"/>
  <c r="E17" i="11"/>
  <c r="F17" i="11"/>
  <c r="G17" i="11"/>
  <c r="D18" i="11"/>
  <c r="E18" i="11"/>
  <c r="F18" i="11"/>
  <c r="G18" i="11"/>
  <c r="D19" i="11"/>
  <c r="E19" i="11"/>
  <c r="F19" i="11"/>
  <c r="G19" i="11"/>
  <c r="C12" i="11"/>
  <c r="C13" i="11"/>
  <c r="C14" i="11"/>
  <c r="C15" i="11"/>
  <c r="C16" i="11"/>
  <c r="C17" i="11"/>
  <c r="C18" i="11"/>
  <c r="C19" i="11"/>
  <c r="C11" i="11"/>
  <c r="H7" i="11"/>
  <c r="I7" i="11" s="1"/>
  <c r="J7" i="11" s="1"/>
  <c r="K7" i="11" s="1"/>
  <c r="L7" i="11" s="1"/>
  <c r="M7" i="11" s="1"/>
  <c r="N7" i="11" s="1"/>
  <c r="O7" i="11" s="1"/>
  <c r="P7" i="11" s="1"/>
  <c r="Q7" i="11" s="1"/>
  <c r="D40" i="10"/>
  <c r="E40" i="10"/>
  <c r="F40" i="10"/>
  <c r="G40" i="10"/>
  <c r="C40" i="10"/>
  <c r="P20" i="4" l="1"/>
  <c r="Q16" i="4"/>
  <c r="P14" i="4"/>
  <c r="F43" i="11"/>
  <c r="D21" i="11"/>
  <c r="G56" i="12"/>
  <c r="H19" i="11"/>
  <c r="I19" i="11" s="1"/>
  <c r="J19" i="11" s="1"/>
  <c r="K19" i="11" s="1"/>
  <c r="L19" i="11" s="1"/>
  <c r="M19" i="11" s="1"/>
  <c r="N19" i="11" s="1"/>
  <c r="O19" i="11" s="1"/>
  <c r="P19" i="11" s="1"/>
  <c r="Q19" i="11" s="1"/>
  <c r="Q56" i="12" s="1"/>
  <c r="G55" i="12"/>
  <c r="G54" i="12"/>
  <c r="H16" i="11"/>
  <c r="I16" i="11" s="1"/>
  <c r="J16" i="11" s="1"/>
  <c r="K16" i="11" s="1"/>
  <c r="L16" i="11" s="1"/>
  <c r="M16" i="11" s="1"/>
  <c r="N16" i="11" s="1"/>
  <c r="O16" i="11" s="1"/>
  <c r="P16" i="11" s="1"/>
  <c r="Q16" i="11" s="1"/>
  <c r="Q54" i="12" s="1"/>
  <c r="G53" i="12"/>
  <c r="G40" i="12"/>
  <c r="G35" i="12"/>
  <c r="G67" i="12"/>
  <c r="G65" i="12"/>
  <c r="G64" i="12"/>
  <c r="F24" i="12"/>
  <c r="G25" i="12"/>
  <c r="M56" i="12"/>
  <c r="M54" i="12"/>
  <c r="N56" i="12"/>
  <c r="I54" i="12"/>
  <c r="J54" i="12"/>
  <c r="L54" i="12"/>
  <c r="O54" i="12"/>
  <c r="P54" i="12"/>
  <c r="D56" i="12"/>
  <c r="F40" i="12"/>
  <c r="F39" i="12"/>
  <c r="F38" i="12"/>
  <c r="F37" i="12"/>
  <c r="F36" i="12"/>
  <c r="F35" i="12"/>
  <c r="F34" i="12"/>
  <c r="E21" i="12"/>
  <c r="F25" i="12"/>
  <c r="E56" i="12"/>
  <c r="E55" i="12"/>
  <c r="E54" i="12"/>
  <c r="E53" i="12"/>
  <c r="E51" i="12"/>
  <c r="E64" i="12"/>
  <c r="D24" i="12"/>
  <c r="F53" i="12"/>
  <c r="F23" i="12"/>
  <c r="F22" i="12"/>
  <c r="F21" i="12"/>
  <c r="F20" i="12"/>
  <c r="D35" i="12"/>
  <c r="E62" i="11"/>
  <c r="D55" i="12"/>
  <c r="D50" i="12"/>
  <c r="E33" i="11"/>
  <c r="F41" i="12"/>
  <c r="F63" i="12"/>
  <c r="E24" i="12"/>
  <c r="D20" i="12"/>
  <c r="D51" i="12"/>
  <c r="G51" i="12"/>
  <c r="G50" i="12"/>
  <c r="D66" i="12"/>
  <c r="C52" i="11"/>
  <c r="D63" i="12"/>
  <c r="E25" i="12"/>
  <c r="D54" i="12"/>
  <c r="E40" i="12"/>
  <c r="E36" i="12"/>
  <c r="F67" i="12"/>
  <c r="H40" i="11"/>
  <c r="C54" i="16" s="1"/>
  <c r="D40" i="12"/>
  <c r="D38" i="12"/>
  <c r="D37" i="12"/>
  <c r="D36" i="12"/>
  <c r="C43" i="11"/>
  <c r="C48" i="13" s="1"/>
  <c r="E67" i="12"/>
  <c r="E43" i="11"/>
  <c r="D23" i="12"/>
  <c r="D21" i="12"/>
  <c r="E20" i="12"/>
  <c r="D62" i="11"/>
  <c r="H25" i="12"/>
  <c r="G39" i="12"/>
  <c r="G36" i="12"/>
  <c r="D65" i="12"/>
  <c r="C62" i="11"/>
  <c r="G24" i="12"/>
  <c r="G23" i="12"/>
  <c r="G21" i="12"/>
  <c r="G20" i="12"/>
  <c r="G19" i="12"/>
  <c r="D19" i="12"/>
  <c r="E48" i="13"/>
  <c r="E65" i="12"/>
  <c r="F65" i="12"/>
  <c r="E52" i="11"/>
  <c r="C21" i="11"/>
  <c r="D53" i="12"/>
  <c r="G62" i="11"/>
  <c r="E38" i="12"/>
  <c r="F66" i="12"/>
  <c r="F48" i="13"/>
  <c r="F56" i="12"/>
  <c r="F55" i="12"/>
  <c r="F54" i="12"/>
  <c r="F51" i="12"/>
  <c r="F21" i="11"/>
  <c r="F50" i="12"/>
  <c r="C33" i="11"/>
  <c r="C77" i="12"/>
  <c r="G38" i="12"/>
  <c r="G37" i="12"/>
  <c r="G34" i="12"/>
  <c r="G33" i="11"/>
  <c r="E41" i="12"/>
  <c r="D67" i="12"/>
  <c r="D43" i="11"/>
  <c r="D48" i="13" s="1"/>
  <c r="G63" i="12"/>
  <c r="G52" i="11"/>
  <c r="E23" i="12"/>
  <c r="E19" i="12"/>
  <c r="D39" i="12"/>
  <c r="E37" i="12"/>
  <c r="G41" i="12"/>
  <c r="H56" i="12"/>
  <c r="H54" i="12"/>
  <c r="F64" i="12"/>
  <c r="E66" i="12"/>
  <c r="C53" i="16"/>
  <c r="C38" i="16"/>
  <c r="E63" i="12"/>
  <c r="G21" i="11"/>
  <c r="D34" i="12"/>
  <c r="D33" i="11"/>
  <c r="D36" i="11" s="1"/>
  <c r="D64" i="12"/>
  <c r="D52" i="11"/>
  <c r="F62" i="11"/>
  <c r="F66" i="11" s="1"/>
  <c r="F19" i="12"/>
  <c r="G22" i="12"/>
  <c r="D25" i="12"/>
  <c r="E21" i="11"/>
  <c r="E36" i="11" s="1"/>
  <c r="E50" i="12"/>
  <c r="F33" i="11"/>
  <c r="D41" i="12"/>
  <c r="G66" i="12"/>
  <c r="H39" i="11"/>
  <c r="G43" i="11"/>
  <c r="D22" i="12"/>
  <c r="E22" i="12"/>
  <c r="E34" i="12"/>
  <c r="F30" i="12"/>
  <c r="E30" i="12"/>
  <c r="D30" i="12"/>
  <c r="G30" i="12"/>
  <c r="D111" i="8"/>
  <c r="E111" i="8"/>
  <c r="F111" i="8"/>
  <c r="G111" i="8"/>
  <c r="C111" i="8"/>
  <c r="H105" i="8"/>
  <c r="I105" i="8" s="1"/>
  <c r="J105" i="8" s="1"/>
  <c r="K105" i="8" s="1"/>
  <c r="L105" i="8" s="1"/>
  <c r="M105" i="8" s="1"/>
  <c r="N105" i="8" s="1"/>
  <c r="O105" i="8" s="1"/>
  <c r="P105" i="8" s="1"/>
  <c r="Q105" i="8" s="1"/>
  <c r="H104" i="8"/>
  <c r="I104" i="8" s="1"/>
  <c r="J104" i="8" s="1"/>
  <c r="K104" i="8" s="1"/>
  <c r="L104" i="8" s="1"/>
  <c r="M104" i="8" s="1"/>
  <c r="N104" i="8" s="1"/>
  <c r="O104" i="8" s="1"/>
  <c r="P104" i="8" s="1"/>
  <c r="Q104" i="8" s="1"/>
  <c r="H101" i="8"/>
  <c r="I101" i="8" s="1"/>
  <c r="J101" i="8" s="1"/>
  <c r="K101" i="8" s="1"/>
  <c r="L101" i="8" s="1"/>
  <c r="M101" i="8" s="1"/>
  <c r="N101" i="8" s="1"/>
  <c r="O101" i="8" s="1"/>
  <c r="P101" i="8" s="1"/>
  <c r="Q101" i="8" s="1"/>
  <c r="H100" i="8"/>
  <c r="I100" i="8" s="1"/>
  <c r="J100" i="8" s="1"/>
  <c r="K100" i="8" s="1"/>
  <c r="L100" i="8" s="1"/>
  <c r="M100" i="8" s="1"/>
  <c r="N100" i="8" s="1"/>
  <c r="O100" i="8" s="1"/>
  <c r="P100" i="8" s="1"/>
  <c r="Q100" i="8" s="1"/>
  <c r="D102" i="8"/>
  <c r="C102" i="8"/>
  <c r="C103" i="8"/>
  <c r="D103" i="8" s="1"/>
  <c r="E102" i="8"/>
  <c r="F99" i="8" s="1"/>
  <c r="F102" i="8" s="1"/>
  <c r="G99" i="8" s="1"/>
  <c r="G102" i="8" s="1"/>
  <c r="H99" i="8" s="1"/>
  <c r="H102" i="8" s="1"/>
  <c r="D36" i="10"/>
  <c r="D29" i="12" s="1"/>
  <c r="D48" i="12" s="1"/>
  <c r="E36" i="10"/>
  <c r="E29" i="12" s="1"/>
  <c r="E48" i="12" s="1"/>
  <c r="F36" i="10"/>
  <c r="F29" i="12" s="1"/>
  <c r="F48" i="12" s="1"/>
  <c r="G36" i="10"/>
  <c r="G29" i="12" s="1"/>
  <c r="G48" i="12" s="1"/>
  <c r="D34" i="10"/>
  <c r="D28" i="12" s="1"/>
  <c r="D47" i="12" s="1"/>
  <c r="E34" i="10"/>
  <c r="E28" i="12" s="1"/>
  <c r="E47" i="12" s="1"/>
  <c r="F34" i="10"/>
  <c r="F28" i="12" s="1"/>
  <c r="F47" i="12" s="1"/>
  <c r="G34" i="10"/>
  <c r="G28" i="12" s="1"/>
  <c r="G47" i="12" s="1"/>
  <c r="C36" i="10"/>
  <c r="C34" i="10"/>
  <c r="D10" i="10"/>
  <c r="E10" i="10"/>
  <c r="F10" i="10"/>
  <c r="G10" i="10"/>
  <c r="C10" i="10"/>
  <c r="H7" i="10"/>
  <c r="I7" i="10" s="1"/>
  <c r="J7" i="10" s="1"/>
  <c r="K7" i="10" s="1"/>
  <c r="L7" i="10" s="1"/>
  <c r="M7" i="10" s="1"/>
  <c r="N7" i="10" s="1"/>
  <c r="O7" i="10" s="1"/>
  <c r="P7" i="10" s="1"/>
  <c r="Q7" i="10" s="1"/>
  <c r="D15" i="7"/>
  <c r="E15" i="7"/>
  <c r="F15" i="7"/>
  <c r="G15" i="7"/>
  <c r="C15" i="7"/>
  <c r="D22" i="9"/>
  <c r="E22" i="9"/>
  <c r="F22" i="9"/>
  <c r="G22" i="9"/>
  <c r="D10" i="9"/>
  <c r="E10" i="9"/>
  <c r="F10" i="9"/>
  <c r="G10" i="9"/>
  <c r="C10" i="9"/>
  <c r="D47" i="9"/>
  <c r="E47" i="9"/>
  <c r="F47" i="9"/>
  <c r="G47" i="9"/>
  <c r="D50" i="9"/>
  <c r="E50" i="9"/>
  <c r="F50" i="9"/>
  <c r="G50" i="9"/>
  <c r="D53" i="9"/>
  <c r="E53" i="9"/>
  <c r="F53" i="9"/>
  <c r="G53" i="9"/>
  <c r="D56" i="9"/>
  <c r="E56" i="9"/>
  <c r="F56" i="9"/>
  <c r="G56" i="9"/>
  <c r="D59" i="9"/>
  <c r="E59" i="9"/>
  <c r="F59" i="9"/>
  <c r="G59" i="9"/>
  <c r="C53" i="9"/>
  <c r="C56" i="9"/>
  <c r="C59" i="9"/>
  <c r="C50" i="9"/>
  <c r="C47" i="9"/>
  <c r="D37" i="9"/>
  <c r="E37" i="9"/>
  <c r="F37" i="9"/>
  <c r="G37" i="9"/>
  <c r="D40" i="9"/>
  <c r="E40" i="9"/>
  <c r="F40" i="9"/>
  <c r="G40" i="9"/>
  <c r="D43" i="9"/>
  <c r="E43" i="9"/>
  <c r="F43" i="9"/>
  <c r="G43" i="9"/>
  <c r="C40" i="9"/>
  <c r="C43" i="9"/>
  <c r="C37" i="9"/>
  <c r="D25" i="9"/>
  <c r="E25" i="9"/>
  <c r="F25" i="9"/>
  <c r="G25" i="9"/>
  <c r="D28" i="9"/>
  <c r="E28" i="9"/>
  <c r="F28" i="9"/>
  <c r="G28" i="9"/>
  <c r="D31" i="9"/>
  <c r="E31" i="9"/>
  <c r="F31" i="9"/>
  <c r="G31" i="9"/>
  <c r="D34" i="9"/>
  <c r="E34" i="9"/>
  <c r="F34" i="9"/>
  <c r="G34" i="9"/>
  <c r="C28" i="9"/>
  <c r="C31" i="9"/>
  <c r="C34" i="9"/>
  <c r="C25" i="9"/>
  <c r="C26" i="9" s="1"/>
  <c r="C22" i="9"/>
  <c r="D18" i="9"/>
  <c r="E18" i="9"/>
  <c r="F18" i="9"/>
  <c r="G18" i="9"/>
  <c r="C18" i="9"/>
  <c r="D13" i="9"/>
  <c r="E13" i="9"/>
  <c r="F13" i="9"/>
  <c r="G13" i="9"/>
  <c r="D15" i="9"/>
  <c r="E15" i="9"/>
  <c r="F15" i="9"/>
  <c r="G15" i="9"/>
  <c r="C15" i="9"/>
  <c r="C13" i="9"/>
  <c r="C14" i="9" s="1"/>
  <c r="H7" i="9"/>
  <c r="I7" i="9" s="1"/>
  <c r="J7" i="9" s="1"/>
  <c r="K7" i="9" s="1"/>
  <c r="L7" i="9" s="1"/>
  <c r="M7" i="9" s="1"/>
  <c r="N7" i="9" s="1"/>
  <c r="O7" i="9" s="1"/>
  <c r="P7" i="9" s="1"/>
  <c r="Q7" i="9" s="1"/>
  <c r="D13" i="7"/>
  <c r="E13" i="7"/>
  <c r="F13" i="7"/>
  <c r="G13" i="7"/>
  <c r="D11" i="7"/>
  <c r="E11" i="7"/>
  <c r="F11" i="7"/>
  <c r="G11" i="7"/>
  <c r="C13" i="7"/>
  <c r="C11" i="7"/>
  <c r="D146" i="8"/>
  <c r="E146" i="8"/>
  <c r="F146" i="8"/>
  <c r="G146" i="8"/>
  <c r="C146" i="8"/>
  <c r="D136" i="8"/>
  <c r="E136" i="8"/>
  <c r="F136" i="8"/>
  <c r="G136" i="8"/>
  <c r="C136" i="8"/>
  <c r="H132" i="8"/>
  <c r="H131" i="8"/>
  <c r="I131" i="8" s="1"/>
  <c r="J131" i="8" s="1"/>
  <c r="K131" i="8" s="1"/>
  <c r="L131" i="8" s="1"/>
  <c r="M131" i="8" s="1"/>
  <c r="N131" i="8" s="1"/>
  <c r="O131" i="8" s="1"/>
  <c r="P131" i="8" s="1"/>
  <c r="Q131" i="8" s="1"/>
  <c r="H128" i="8"/>
  <c r="I128" i="8" s="1"/>
  <c r="J128" i="8" s="1"/>
  <c r="K128" i="8" s="1"/>
  <c r="L128" i="8" s="1"/>
  <c r="M128" i="8" s="1"/>
  <c r="N128" i="8" s="1"/>
  <c r="O128" i="8" s="1"/>
  <c r="P128" i="8" s="1"/>
  <c r="Q128" i="8" s="1"/>
  <c r="H127" i="8"/>
  <c r="I127" i="8" s="1"/>
  <c r="J127" i="8" s="1"/>
  <c r="K127" i="8" s="1"/>
  <c r="L127" i="8" s="1"/>
  <c r="M127" i="8" s="1"/>
  <c r="N127" i="8" s="1"/>
  <c r="O127" i="8" s="1"/>
  <c r="P127" i="8" s="1"/>
  <c r="Q127" i="8" s="1"/>
  <c r="H122" i="8"/>
  <c r="I122" i="8" s="1"/>
  <c r="J122" i="8" s="1"/>
  <c r="K122" i="8" s="1"/>
  <c r="L122" i="8" s="1"/>
  <c r="M122" i="8" s="1"/>
  <c r="N122" i="8" s="1"/>
  <c r="O122" i="8" s="1"/>
  <c r="P122" i="8" s="1"/>
  <c r="Q122" i="8" s="1"/>
  <c r="H121" i="8"/>
  <c r="I121" i="8" s="1"/>
  <c r="J121" i="8" s="1"/>
  <c r="K121" i="8" s="1"/>
  <c r="L121" i="8" s="1"/>
  <c r="M121" i="8" s="1"/>
  <c r="N121" i="8" s="1"/>
  <c r="O121" i="8" s="1"/>
  <c r="P121" i="8" s="1"/>
  <c r="Q121" i="8" s="1"/>
  <c r="H118" i="8"/>
  <c r="I118" i="8" s="1"/>
  <c r="J118" i="8" s="1"/>
  <c r="K118" i="8" s="1"/>
  <c r="L118" i="8" s="1"/>
  <c r="M118" i="8" s="1"/>
  <c r="N118" i="8" s="1"/>
  <c r="O118" i="8" s="1"/>
  <c r="P118" i="8" s="1"/>
  <c r="Q118" i="8" s="1"/>
  <c r="H117" i="8"/>
  <c r="I117" i="8" s="1"/>
  <c r="J117" i="8" s="1"/>
  <c r="K117" i="8" s="1"/>
  <c r="L117" i="8" s="1"/>
  <c r="M117" i="8" s="1"/>
  <c r="N117" i="8" s="1"/>
  <c r="O117" i="8" s="1"/>
  <c r="P117" i="8" s="1"/>
  <c r="Q117" i="8" s="1"/>
  <c r="H95" i="8"/>
  <c r="I95" i="8" s="1"/>
  <c r="J95" i="8" s="1"/>
  <c r="K95" i="8" s="1"/>
  <c r="L95" i="8" s="1"/>
  <c r="M95" i="8" s="1"/>
  <c r="N95" i="8" s="1"/>
  <c r="O95" i="8" s="1"/>
  <c r="P95" i="8" s="1"/>
  <c r="Q95" i="8" s="1"/>
  <c r="H94" i="8"/>
  <c r="I94" i="8" s="1"/>
  <c r="J94" i="8" s="1"/>
  <c r="K94" i="8" s="1"/>
  <c r="L94" i="8" s="1"/>
  <c r="M94" i="8" s="1"/>
  <c r="N94" i="8" s="1"/>
  <c r="O94" i="8" s="1"/>
  <c r="P94" i="8" s="1"/>
  <c r="Q94" i="8" s="1"/>
  <c r="H91" i="8"/>
  <c r="I91" i="8" s="1"/>
  <c r="J91" i="8" s="1"/>
  <c r="K91" i="8" s="1"/>
  <c r="L91" i="8" s="1"/>
  <c r="M91" i="8" s="1"/>
  <c r="N91" i="8" s="1"/>
  <c r="O91" i="8" s="1"/>
  <c r="P91" i="8" s="1"/>
  <c r="Q91" i="8" s="1"/>
  <c r="H90" i="8"/>
  <c r="I90" i="8" s="1"/>
  <c r="J90" i="8" s="1"/>
  <c r="K90" i="8" s="1"/>
  <c r="L90" i="8" s="1"/>
  <c r="M90" i="8" s="1"/>
  <c r="N90" i="8" s="1"/>
  <c r="O90" i="8" s="1"/>
  <c r="P90" i="8" s="1"/>
  <c r="Q90" i="8" s="1"/>
  <c r="H85" i="8"/>
  <c r="I85" i="8" s="1"/>
  <c r="J85" i="8" s="1"/>
  <c r="K85" i="8" s="1"/>
  <c r="L85" i="8" s="1"/>
  <c r="M85" i="8" s="1"/>
  <c r="N85" i="8" s="1"/>
  <c r="O85" i="8" s="1"/>
  <c r="P85" i="8" s="1"/>
  <c r="Q85" i="8" s="1"/>
  <c r="H84" i="8"/>
  <c r="I84" i="8" s="1"/>
  <c r="J84" i="8" s="1"/>
  <c r="K84" i="8" s="1"/>
  <c r="L84" i="8" s="1"/>
  <c r="M84" i="8" s="1"/>
  <c r="N84" i="8" s="1"/>
  <c r="O84" i="8" s="1"/>
  <c r="P84" i="8" s="1"/>
  <c r="Q84" i="8" s="1"/>
  <c r="H81" i="8"/>
  <c r="I81" i="8" s="1"/>
  <c r="J81" i="8" s="1"/>
  <c r="K81" i="8" s="1"/>
  <c r="L81" i="8" s="1"/>
  <c r="M81" i="8" s="1"/>
  <c r="N81" i="8" s="1"/>
  <c r="O81" i="8" s="1"/>
  <c r="P81" i="8" s="1"/>
  <c r="Q81" i="8" s="1"/>
  <c r="H80" i="8"/>
  <c r="I80" i="8" s="1"/>
  <c r="J80" i="8" s="1"/>
  <c r="K80" i="8" s="1"/>
  <c r="L80" i="8" s="1"/>
  <c r="M80" i="8" s="1"/>
  <c r="N80" i="8" s="1"/>
  <c r="O80" i="8" s="1"/>
  <c r="P80" i="8" s="1"/>
  <c r="Q80" i="8" s="1"/>
  <c r="H75" i="8"/>
  <c r="I75" i="8" s="1"/>
  <c r="J75" i="8" s="1"/>
  <c r="K75" i="8" s="1"/>
  <c r="L75" i="8" s="1"/>
  <c r="M75" i="8" s="1"/>
  <c r="N75" i="8" s="1"/>
  <c r="O75" i="8" s="1"/>
  <c r="P75" i="8" s="1"/>
  <c r="Q75" i="8" s="1"/>
  <c r="H74" i="8"/>
  <c r="I74" i="8" s="1"/>
  <c r="J74" i="8" s="1"/>
  <c r="K74" i="8" s="1"/>
  <c r="L74" i="8" s="1"/>
  <c r="M74" i="8" s="1"/>
  <c r="N74" i="8" s="1"/>
  <c r="O74" i="8" s="1"/>
  <c r="P74" i="8" s="1"/>
  <c r="Q74" i="8" s="1"/>
  <c r="H71" i="8"/>
  <c r="I71" i="8" s="1"/>
  <c r="J71" i="8" s="1"/>
  <c r="K71" i="8" s="1"/>
  <c r="L71" i="8" s="1"/>
  <c r="M71" i="8" s="1"/>
  <c r="N71" i="8" s="1"/>
  <c r="O71" i="8" s="1"/>
  <c r="P71" i="8" s="1"/>
  <c r="Q71" i="8" s="1"/>
  <c r="H70" i="8"/>
  <c r="I70" i="8" s="1"/>
  <c r="J70" i="8" s="1"/>
  <c r="K70" i="8" s="1"/>
  <c r="L70" i="8" s="1"/>
  <c r="M70" i="8" s="1"/>
  <c r="N70" i="8" s="1"/>
  <c r="O70" i="8" s="1"/>
  <c r="P70" i="8" s="1"/>
  <c r="Q70" i="8" s="1"/>
  <c r="H65" i="8"/>
  <c r="I65" i="8" s="1"/>
  <c r="J65" i="8" s="1"/>
  <c r="K65" i="8" s="1"/>
  <c r="L65" i="8" s="1"/>
  <c r="M65" i="8" s="1"/>
  <c r="N65" i="8" s="1"/>
  <c r="O65" i="8" s="1"/>
  <c r="P65" i="8" s="1"/>
  <c r="Q65" i="8" s="1"/>
  <c r="H64" i="8"/>
  <c r="I64" i="8" s="1"/>
  <c r="J64" i="8" s="1"/>
  <c r="K64" i="8" s="1"/>
  <c r="L64" i="8" s="1"/>
  <c r="M64" i="8" s="1"/>
  <c r="N64" i="8" s="1"/>
  <c r="O64" i="8" s="1"/>
  <c r="P64" i="8" s="1"/>
  <c r="Q64" i="8" s="1"/>
  <c r="H61" i="8"/>
  <c r="I61" i="8" s="1"/>
  <c r="J61" i="8" s="1"/>
  <c r="K61" i="8" s="1"/>
  <c r="L61" i="8" s="1"/>
  <c r="M61" i="8" s="1"/>
  <c r="N61" i="8" s="1"/>
  <c r="O61" i="8" s="1"/>
  <c r="P61" i="8" s="1"/>
  <c r="Q61" i="8" s="1"/>
  <c r="H60" i="8"/>
  <c r="I60" i="8" s="1"/>
  <c r="J60" i="8" s="1"/>
  <c r="K60" i="8" s="1"/>
  <c r="L60" i="8" s="1"/>
  <c r="M60" i="8" s="1"/>
  <c r="N60" i="8" s="1"/>
  <c r="O60" i="8" s="1"/>
  <c r="P60" i="8" s="1"/>
  <c r="Q60" i="8" s="1"/>
  <c r="H54" i="8"/>
  <c r="I54" i="8" s="1"/>
  <c r="J54" i="8" s="1"/>
  <c r="K54" i="8" s="1"/>
  <c r="L54" i="8" s="1"/>
  <c r="M54" i="8" s="1"/>
  <c r="N54" i="8" s="1"/>
  <c r="O54" i="8" s="1"/>
  <c r="P54" i="8" s="1"/>
  <c r="Q54" i="8" s="1"/>
  <c r="H53" i="8"/>
  <c r="I53" i="8" s="1"/>
  <c r="J53" i="8" s="1"/>
  <c r="K53" i="8" s="1"/>
  <c r="L53" i="8" s="1"/>
  <c r="M53" i="8" s="1"/>
  <c r="N53" i="8" s="1"/>
  <c r="O53" i="8" s="1"/>
  <c r="P53" i="8" s="1"/>
  <c r="Q53" i="8" s="1"/>
  <c r="H50" i="8"/>
  <c r="I50" i="8" s="1"/>
  <c r="J50" i="8" s="1"/>
  <c r="K50" i="8" s="1"/>
  <c r="L50" i="8" s="1"/>
  <c r="M50" i="8" s="1"/>
  <c r="N50" i="8" s="1"/>
  <c r="O50" i="8" s="1"/>
  <c r="P50" i="8" s="1"/>
  <c r="Q50" i="8" s="1"/>
  <c r="H49" i="8"/>
  <c r="I49" i="8" s="1"/>
  <c r="J49" i="8" s="1"/>
  <c r="K49" i="8" s="1"/>
  <c r="L49" i="8" s="1"/>
  <c r="M49" i="8" s="1"/>
  <c r="N49" i="8" s="1"/>
  <c r="O49" i="8" s="1"/>
  <c r="P49" i="8" s="1"/>
  <c r="Q49" i="8" s="1"/>
  <c r="H43" i="8"/>
  <c r="I43" i="8" s="1"/>
  <c r="J43" i="8" s="1"/>
  <c r="K43" i="8" s="1"/>
  <c r="L43" i="8" s="1"/>
  <c r="M43" i="8" s="1"/>
  <c r="N43" i="8" s="1"/>
  <c r="O43" i="8" s="1"/>
  <c r="P43" i="8" s="1"/>
  <c r="Q43" i="8" s="1"/>
  <c r="H42" i="8"/>
  <c r="I42" i="8" s="1"/>
  <c r="J42" i="8" s="1"/>
  <c r="K42" i="8" s="1"/>
  <c r="L42" i="8" s="1"/>
  <c r="M42" i="8" s="1"/>
  <c r="N42" i="8" s="1"/>
  <c r="O42" i="8" s="1"/>
  <c r="P42" i="8" s="1"/>
  <c r="Q42" i="8" s="1"/>
  <c r="H39" i="8"/>
  <c r="I39" i="8" s="1"/>
  <c r="J39" i="8" s="1"/>
  <c r="K39" i="8" s="1"/>
  <c r="L39" i="8" s="1"/>
  <c r="M39" i="8" s="1"/>
  <c r="N39" i="8" s="1"/>
  <c r="O39" i="8" s="1"/>
  <c r="P39" i="8" s="1"/>
  <c r="Q39" i="8" s="1"/>
  <c r="H38" i="8"/>
  <c r="I38" i="8" s="1"/>
  <c r="J38" i="8" s="1"/>
  <c r="K38" i="8" s="1"/>
  <c r="L38" i="8" s="1"/>
  <c r="M38" i="8" s="1"/>
  <c r="N38" i="8" s="1"/>
  <c r="O38" i="8" s="1"/>
  <c r="P38" i="8" s="1"/>
  <c r="Q38" i="8" s="1"/>
  <c r="H33" i="8"/>
  <c r="I33" i="8" s="1"/>
  <c r="J33" i="8" s="1"/>
  <c r="K33" i="8" s="1"/>
  <c r="L33" i="8" s="1"/>
  <c r="M33" i="8" s="1"/>
  <c r="N33" i="8" s="1"/>
  <c r="O33" i="8" s="1"/>
  <c r="P33" i="8" s="1"/>
  <c r="Q33" i="8" s="1"/>
  <c r="H32" i="8"/>
  <c r="I32" i="8" s="1"/>
  <c r="J32" i="8" s="1"/>
  <c r="K32" i="8" s="1"/>
  <c r="L32" i="8" s="1"/>
  <c r="M32" i="8" s="1"/>
  <c r="N32" i="8" s="1"/>
  <c r="O32" i="8" s="1"/>
  <c r="P32" i="8" s="1"/>
  <c r="Q32" i="8" s="1"/>
  <c r="H29" i="8"/>
  <c r="I29" i="8" s="1"/>
  <c r="J29" i="8" s="1"/>
  <c r="K29" i="8" s="1"/>
  <c r="L29" i="8" s="1"/>
  <c r="M29" i="8" s="1"/>
  <c r="N29" i="8" s="1"/>
  <c r="O29" i="8" s="1"/>
  <c r="P29" i="8" s="1"/>
  <c r="Q29" i="8" s="1"/>
  <c r="H28" i="8"/>
  <c r="I28" i="8" s="1"/>
  <c r="J28" i="8" s="1"/>
  <c r="K28" i="8" s="1"/>
  <c r="L28" i="8" s="1"/>
  <c r="M28" i="8" s="1"/>
  <c r="N28" i="8" s="1"/>
  <c r="O28" i="8" s="1"/>
  <c r="P28" i="8" s="1"/>
  <c r="Q28" i="8" s="1"/>
  <c r="H22" i="8"/>
  <c r="I22" i="8" s="1"/>
  <c r="J22" i="8" s="1"/>
  <c r="K22" i="8" s="1"/>
  <c r="L22" i="8" s="1"/>
  <c r="M22" i="8" s="1"/>
  <c r="N22" i="8" s="1"/>
  <c r="O22" i="8" s="1"/>
  <c r="P22" i="8" s="1"/>
  <c r="Q22" i="8" s="1"/>
  <c r="H21" i="8"/>
  <c r="I21" i="8" s="1"/>
  <c r="J21" i="8" s="1"/>
  <c r="K21" i="8" s="1"/>
  <c r="L21" i="8" s="1"/>
  <c r="M21" i="8" s="1"/>
  <c r="N21" i="8" s="1"/>
  <c r="O21" i="8" s="1"/>
  <c r="P21" i="8" s="1"/>
  <c r="Q21" i="8" s="1"/>
  <c r="H18" i="8"/>
  <c r="I18" i="8" s="1"/>
  <c r="J18" i="8" s="1"/>
  <c r="K18" i="8" s="1"/>
  <c r="L18" i="8" s="1"/>
  <c r="M18" i="8" s="1"/>
  <c r="N18" i="8" s="1"/>
  <c r="O18" i="8" s="1"/>
  <c r="P18" i="8" s="1"/>
  <c r="Q18" i="8" s="1"/>
  <c r="H17" i="8"/>
  <c r="I17" i="8" s="1"/>
  <c r="J17" i="8" s="1"/>
  <c r="K17" i="8" s="1"/>
  <c r="L17" i="8" s="1"/>
  <c r="M17" i="8" s="1"/>
  <c r="N17" i="8" s="1"/>
  <c r="O17" i="8" s="1"/>
  <c r="P17" i="8" s="1"/>
  <c r="Q17" i="8" s="1"/>
  <c r="H12" i="8"/>
  <c r="I12" i="8" s="1"/>
  <c r="J12" i="8" s="1"/>
  <c r="K12" i="8" s="1"/>
  <c r="L12" i="8" s="1"/>
  <c r="M12" i="8" s="1"/>
  <c r="N12" i="8" s="1"/>
  <c r="O12" i="8" s="1"/>
  <c r="P12" i="8" s="1"/>
  <c r="Q12" i="8" s="1"/>
  <c r="H11" i="8"/>
  <c r="I11" i="8" s="1"/>
  <c r="J11" i="8" s="1"/>
  <c r="K11" i="8" s="1"/>
  <c r="L11" i="8" s="1"/>
  <c r="M11" i="8" s="1"/>
  <c r="N11" i="8" s="1"/>
  <c r="O11" i="8" s="1"/>
  <c r="P11" i="8" s="1"/>
  <c r="Q11" i="8" s="1"/>
  <c r="D130" i="8"/>
  <c r="E130" i="8" s="1"/>
  <c r="F130" i="8" s="1"/>
  <c r="G130" i="8" s="1"/>
  <c r="H130" i="8" s="1"/>
  <c r="C129" i="8"/>
  <c r="D126" i="8" s="1"/>
  <c r="D129" i="8" s="1"/>
  <c r="D120" i="8"/>
  <c r="E120" i="8" s="1"/>
  <c r="C119" i="8"/>
  <c r="C123" i="8" s="1"/>
  <c r="D93" i="8"/>
  <c r="E93" i="8" s="1"/>
  <c r="F93" i="8" s="1"/>
  <c r="G93" i="8" s="1"/>
  <c r="H93" i="8" s="1"/>
  <c r="C92" i="8"/>
  <c r="D89" i="8" s="1"/>
  <c r="D92" i="8" s="1"/>
  <c r="D83" i="8"/>
  <c r="E83" i="8" s="1"/>
  <c r="F83" i="8" s="1"/>
  <c r="G83" i="8" s="1"/>
  <c r="H83" i="8" s="1"/>
  <c r="C82" i="8"/>
  <c r="D79" i="8" s="1"/>
  <c r="D82" i="8" s="1"/>
  <c r="D73" i="8"/>
  <c r="E73" i="8" s="1"/>
  <c r="F73" i="8" s="1"/>
  <c r="G73" i="8" s="1"/>
  <c r="H73" i="8" s="1"/>
  <c r="C72" i="8"/>
  <c r="C76" i="8" s="1"/>
  <c r="D63" i="8"/>
  <c r="E63" i="8" s="1"/>
  <c r="F63" i="8" s="1"/>
  <c r="G63" i="8" s="1"/>
  <c r="H63" i="8" s="1"/>
  <c r="C62" i="8"/>
  <c r="C66" i="8" s="1"/>
  <c r="Q14" i="4" l="1"/>
  <c r="Q20" i="4"/>
  <c r="E20" i="7"/>
  <c r="E12" i="7"/>
  <c r="D16" i="7"/>
  <c r="D22" i="7"/>
  <c r="G20" i="7"/>
  <c r="G12" i="7"/>
  <c r="F16" i="7"/>
  <c r="F22" i="7"/>
  <c r="C20" i="7"/>
  <c r="C12" i="7"/>
  <c r="C22" i="7"/>
  <c r="C16" i="7"/>
  <c r="D20" i="7"/>
  <c r="D12" i="7"/>
  <c r="G16" i="7"/>
  <c r="G22" i="7"/>
  <c r="F20" i="7"/>
  <c r="F12" i="7"/>
  <c r="E22" i="7"/>
  <c r="E16" i="7"/>
  <c r="O56" i="12"/>
  <c r="P56" i="12"/>
  <c r="E41" i="13"/>
  <c r="K56" i="12"/>
  <c r="J56" i="12"/>
  <c r="I56" i="12"/>
  <c r="L56" i="12"/>
  <c r="G66" i="11"/>
  <c r="I40" i="11"/>
  <c r="K54" i="12"/>
  <c r="N54" i="12"/>
  <c r="H67" i="12"/>
  <c r="E39" i="13"/>
  <c r="C106" i="8"/>
  <c r="Q111" i="8"/>
  <c r="Q136" i="8"/>
  <c r="Q142" i="8" s="1"/>
  <c r="Q28" i="10" s="1"/>
  <c r="L111" i="8"/>
  <c r="H111" i="8"/>
  <c r="O111" i="8"/>
  <c r="N111" i="8"/>
  <c r="J111" i="8"/>
  <c r="P111" i="8"/>
  <c r="K111" i="8"/>
  <c r="M111" i="8"/>
  <c r="I111" i="8"/>
  <c r="C38" i="9"/>
  <c r="C51" i="9"/>
  <c r="C16" i="9"/>
  <c r="D16" i="9"/>
  <c r="D14" i="9"/>
  <c r="C23" i="9"/>
  <c r="C29" i="9"/>
  <c r="D35" i="9"/>
  <c r="D32" i="9"/>
  <c r="D29" i="9"/>
  <c r="D26" i="9"/>
  <c r="C48" i="9"/>
  <c r="C54" i="9"/>
  <c r="D60" i="9"/>
  <c r="D57" i="9"/>
  <c r="D54" i="9"/>
  <c r="D51" i="9"/>
  <c r="C66" i="11"/>
  <c r="E66" i="11"/>
  <c r="G36" i="11"/>
  <c r="G46" i="13" s="1"/>
  <c r="C36" i="11"/>
  <c r="G12" i="10"/>
  <c r="F12" i="10"/>
  <c r="F51" i="13" s="1"/>
  <c r="E12" i="10"/>
  <c r="E51" i="13" s="1"/>
  <c r="C12" i="10"/>
  <c r="D12" i="10"/>
  <c r="D22" i="13" s="1"/>
  <c r="D46" i="13"/>
  <c r="E46" i="13"/>
  <c r="G48" i="13"/>
  <c r="G39" i="13"/>
  <c r="G41" i="13"/>
  <c r="D76" i="12"/>
  <c r="C80" i="12"/>
  <c r="F39" i="13"/>
  <c r="F41" i="13"/>
  <c r="C46" i="13"/>
  <c r="H66" i="12"/>
  <c r="I39" i="11"/>
  <c r="J40" i="11"/>
  <c r="I67" i="12"/>
  <c r="D33" i="16"/>
  <c r="D32" i="16"/>
  <c r="E32" i="16" s="1"/>
  <c r="F36" i="11"/>
  <c r="D39" i="13"/>
  <c r="D41" i="13"/>
  <c r="D66" i="11"/>
  <c r="C39" i="13"/>
  <c r="C41" i="13"/>
  <c r="F35" i="9"/>
  <c r="F32" i="9"/>
  <c r="F29" i="9"/>
  <c r="F26" i="9"/>
  <c r="F60" i="9"/>
  <c r="F57" i="9"/>
  <c r="F54" i="9"/>
  <c r="E19" i="9"/>
  <c r="C35" i="9"/>
  <c r="C44" i="9"/>
  <c r="E44" i="9"/>
  <c r="E41" i="9"/>
  <c r="E38" i="9"/>
  <c r="C60" i="9"/>
  <c r="C19" i="9"/>
  <c r="D19" i="9"/>
  <c r="C32" i="9"/>
  <c r="E35" i="9"/>
  <c r="E32" i="9"/>
  <c r="E29" i="9"/>
  <c r="E26" i="9"/>
  <c r="C41" i="9"/>
  <c r="D44" i="9"/>
  <c r="D41" i="9"/>
  <c r="D38" i="9"/>
  <c r="E60" i="9"/>
  <c r="E57" i="9"/>
  <c r="E54" i="9"/>
  <c r="E51" i="9"/>
  <c r="E16" i="9"/>
  <c r="E14" i="9"/>
  <c r="F16" i="9"/>
  <c r="F14" i="9"/>
  <c r="F19" i="9"/>
  <c r="F44" i="9"/>
  <c r="F41" i="9"/>
  <c r="C57" i="9"/>
  <c r="F38" i="9"/>
  <c r="G16" i="9"/>
  <c r="G14" i="9"/>
  <c r="E48" i="9"/>
  <c r="G19" i="9"/>
  <c r="G44" i="9"/>
  <c r="G41" i="9"/>
  <c r="G38" i="9"/>
  <c r="G35" i="9"/>
  <c r="G32" i="9"/>
  <c r="G29" i="9"/>
  <c r="G26" i="9"/>
  <c r="G60" i="9"/>
  <c r="G57" i="9"/>
  <c r="G54" i="9"/>
  <c r="G51" i="9"/>
  <c r="G48" i="9"/>
  <c r="F51" i="9"/>
  <c r="F48" i="9"/>
  <c r="G23" i="9"/>
  <c r="F23" i="9"/>
  <c r="D48" i="9"/>
  <c r="E23" i="9"/>
  <c r="D23" i="9"/>
  <c r="G51" i="13"/>
  <c r="F22" i="13"/>
  <c r="I99" i="8"/>
  <c r="I102" i="8" s="1"/>
  <c r="E103" i="8"/>
  <c r="F103" i="8" s="1"/>
  <c r="D106" i="8"/>
  <c r="C142" i="8"/>
  <c r="C28" i="10" s="1"/>
  <c r="D142" i="8"/>
  <c r="D28" i="10" s="1"/>
  <c r="D52" i="12" s="1"/>
  <c r="D14" i="16" s="1"/>
  <c r="G142" i="8"/>
  <c r="G28" i="10" s="1"/>
  <c r="G52" i="12" s="1"/>
  <c r="G14" i="16" s="1"/>
  <c r="I130" i="8"/>
  <c r="E142" i="8"/>
  <c r="E28" i="10" s="1"/>
  <c r="E52" i="12" s="1"/>
  <c r="E14" i="16" s="1"/>
  <c r="I63" i="8"/>
  <c r="J63" i="8" s="1"/>
  <c r="K63" i="8" s="1"/>
  <c r="L63" i="8" s="1"/>
  <c r="M63" i="8" s="1"/>
  <c r="N63" i="8" s="1"/>
  <c r="O63" i="8" s="1"/>
  <c r="P63" i="8" s="1"/>
  <c r="Q63" i="8" s="1"/>
  <c r="I83" i="8"/>
  <c r="J83" i="8" s="1"/>
  <c r="K83" i="8" s="1"/>
  <c r="L83" i="8" s="1"/>
  <c r="M83" i="8" s="1"/>
  <c r="N83" i="8" s="1"/>
  <c r="O83" i="8" s="1"/>
  <c r="P83" i="8" s="1"/>
  <c r="Q83" i="8" s="1"/>
  <c r="F142" i="8"/>
  <c r="F28" i="10" s="1"/>
  <c r="F52" i="12" s="1"/>
  <c r="F14" i="16" s="1"/>
  <c r="N136" i="8"/>
  <c r="J136" i="8"/>
  <c r="M136" i="8"/>
  <c r="I136" i="8"/>
  <c r="D147" i="8"/>
  <c r="P136" i="8"/>
  <c r="L136" i="8"/>
  <c r="H136" i="8"/>
  <c r="O136" i="8"/>
  <c r="K136" i="8"/>
  <c r="F147" i="8"/>
  <c r="C18" i="7"/>
  <c r="C43" i="13" s="1"/>
  <c r="D18" i="7"/>
  <c r="D43" i="13" s="1"/>
  <c r="E147" i="8"/>
  <c r="E18" i="7"/>
  <c r="E43" i="13" s="1"/>
  <c r="G18" i="7"/>
  <c r="G43" i="13" s="1"/>
  <c r="F18" i="7"/>
  <c r="F43" i="13" s="1"/>
  <c r="G147" i="8"/>
  <c r="I132" i="8"/>
  <c r="J132" i="8" s="1"/>
  <c r="K132" i="8" s="1"/>
  <c r="L132" i="8" s="1"/>
  <c r="M132" i="8" s="1"/>
  <c r="N132" i="8" s="1"/>
  <c r="O132" i="8" s="1"/>
  <c r="P132" i="8" s="1"/>
  <c r="Q132" i="8" s="1"/>
  <c r="I73" i="8"/>
  <c r="J73" i="8" s="1"/>
  <c r="K73" i="8" s="1"/>
  <c r="L73" i="8" s="1"/>
  <c r="M73" i="8" s="1"/>
  <c r="N73" i="8" s="1"/>
  <c r="O73" i="8" s="1"/>
  <c r="P73" i="8" s="1"/>
  <c r="Q73" i="8" s="1"/>
  <c r="I93" i="8"/>
  <c r="J93" i="8" s="1"/>
  <c r="K93" i="8" s="1"/>
  <c r="L93" i="8" s="1"/>
  <c r="M93" i="8" s="1"/>
  <c r="N93" i="8" s="1"/>
  <c r="O93" i="8" s="1"/>
  <c r="P93" i="8" s="1"/>
  <c r="Q93" i="8" s="1"/>
  <c r="C86" i="8"/>
  <c r="C96" i="8"/>
  <c r="D96" i="8"/>
  <c r="D133" i="8"/>
  <c r="C133" i="8"/>
  <c r="C135" i="8" s="1"/>
  <c r="E126" i="8"/>
  <c r="E129" i="8" s="1"/>
  <c r="F126" i="8" s="1"/>
  <c r="F129" i="8" s="1"/>
  <c r="G126" i="8" s="1"/>
  <c r="G129" i="8" s="1"/>
  <c r="D59" i="8"/>
  <c r="D62" i="8" s="1"/>
  <c r="E59" i="8" s="1"/>
  <c r="E62" i="8" s="1"/>
  <c r="D116" i="8"/>
  <c r="D119" i="8" s="1"/>
  <c r="E116" i="8" s="1"/>
  <c r="E119" i="8" s="1"/>
  <c r="D69" i="8"/>
  <c r="D72" i="8" s="1"/>
  <c r="D76" i="8" s="1"/>
  <c r="E79" i="8"/>
  <c r="E82" i="8" s="1"/>
  <c r="D86" i="8"/>
  <c r="F120" i="8"/>
  <c r="E89" i="8"/>
  <c r="E92" i="8" s="1"/>
  <c r="F89" i="8" s="1"/>
  <c r="F92" i="8" s="1"/>
  <c r="G89" i="8" s="1"/>
  <c r="G92" i="8" s="1"/>
  <c r="H12" i="7" l="1"/>
  <c r="H16" i="7"/>
  <c r="F24" i="7"/>
  <c r="D24" i="7"/>
  <c r="C24" i="7"/>
  <c r="G24" i="7"/>
  <c r="E24" i="7"/>
  <c r="G22" i="13"/>
  <c r="D51" i="13"/>
  <c r="H35" i="9"/>
  <c r="I35" i="9" s="1"/>
  <c r="H60" i="9"/>
  <c r="I60" i="9" s="1"/>
  <c r="I142" i="8"/>
  <c r="I28" i="10" s="1"/>
  <c r="I14" i="12" s="1"/>
  <c r="F14" i="12"/>
  <c r="D13" i="16"/>
  <c r="E14" i="12"/>
  <c r="M142" i="8"/>
  <c r="M28" i="10" s="1"/>
  <c r="M13" i="16" s="1"/>
  <c r="E13" i="16"/>
  <c r="D14" i="12"/>
  <c r="Q13" i="16"/>
  <c r="G13" i="16"/>
  <c r="F13" i="16"/>
  <c r="Q14" i="12"/>
  <c r="G14" i="12"/>
  <c r="H16" i="9"/>
  <c r="I16" i="9" s="1"/>
  <c r="J16" i="9" s="1"/>
  <c r="E22" i="13"/>
  <c r="H54" i="9"/>
  <c r="I54" i="9" s="1"/>
  <c r="H29" i="9"/>
  <c r="I29" i="9" s="1"/>
  <c r="H44" i="9"/>
  <c r="I44" i="9" s="1"/>
  <c r="J39" i="11"/>
  <c r="I66" i="12"/>
  <c r="F46" i="13"/>
  <c r="K40" i="11"/>
  <c r="J67" i="12"/>
  <c r="H14" i="9"/>
  <c r="I14" i="9" s="1"/>
  <c r="H32" i="9"/>
  <c r="I32" i="9" s="1"/>
  <c r="J32" i="9" s="1"/>
  <c r="H26" i="9"/>
  <c r="I26" i="9" s="1"/>
  <c r="H19" i="9"/>
  <c r="I19" i="9" s="1"/>
  <c r="H57" i="9"/>
  <c r="I57" i="9" s="1"/>
  <c r="J57" i="9" s="1"/>
  <c r="H41" i="9"/>
  <c r="I41" i="9" s="1"/>
  <c r="J41" i="9" s="1"/>
  <c r="H51" i="9"/>
  <c r="I51" i="9" s="1"/>
  <c r="H38" i="9"/>
  <c r="I38" i="9" s="1"/>
  <c r="H23" i="9"/>
  <c r="I23" i="9" s="1"/>
  <c r="J23" i="9" s="1"/>
  <c r="H48" i="9"/>
  <c r="I48" i="9" s="1"/>
  <c r="D58" i="12"/>
  <c r="F58" i="12"/>
  <c r="G58" i="12"/>
  <c r="E58" i="12"/>
  <c r="J99" i="8"/>
  <c r="J102" i="8" s="1"/>
  <c r="E106" i="8"/>
  <c r="F106" i="8"/>
  <c r="G103" i="8"/>
  <c r="N142" i="8"/>
  <c r="N28" i="10" s="1"/>
  <c r="J142" i="8"/>
  <c r="J28" i="10" s="1"/>
  <c r="H142" i="8"/>
  <c r="H28" i="10" s="1"/>
  <c r="O142" i="8"/>
  <c r="O28" i="10" s="1"/>
  <c r="L142" i="8"/>
  <c r="L28" i="10" s="1"/>
  <c r="P142" i="8"/>
  <c r="P28" i="10" s="1"/>
  <c r="K142" i="8"/>
  <c r="K28" i="10" s="1"/>
  <c r="H147" i="8"/>
  <c r="G96" i="8"/>
  <c r="H89" i="8"/>
  <c r="H92" i="8" s="1"/>
  <c r="G133" i="8"/>
  <c r="H126" i="8"/>
  <c r="H129" i="8" s="1"/>
  <c r="J130" i="8"/>
  <c r="K130" i="8" s="1"/>
  <c r="L130" i="8" s="1"/>
  <c r="M130" i="8" s="1"/>
  <c r="N130" i="8" s="1"/>
  <c r="O130" i="8" s="1"/>
  <c r="P130" i="8" s="1"/>
  <c r="Q130" i="8" s="1"/>
  <c r="D66" i="8"/>
  <c r="D123" i="8"/>
  <c r="D135" i="8" s="1"/>
  <c r="F116" i="8"/>
  <c r="F119" i="8" s="1"/>
  <c r="G116" i="8" s="1"/>
  <c r="G119" i="8" s="1"/>
  <c r="H116" i="8" s="1"/>
  <c r="H119" i="8" s="1"/>
  <c r="E123" i="8"/>
  <c r="E69" i="8"/>
  <c r="E72" i="8" s="1"/>
  <c r="F133" i="8"/>
  <c r="E133" i="8"/>
  <c r="F79" i="8"/>
  <c r="F82" i="8" s="1"/>
  <c r="E86" i="8"/>
  <c r="F59" i="8"/>
  <c r="F62" i="8" s="1"/>
  <c r="E66" i="8"/>
  <c r="G120" i="8"/>
  <c r="H120" i="8" s="1"/>
  <c r="I120" i="8" s="1"/>
  <c r="J120" i="8" s="1"/>
  <c r="K120" i="8" s="1"/>
  <c r="L120" i="8" s="1"/>
  <c r="M120" i="8" s="1"/>
  <c r="N120" i="8" s="1"/>
  <c r="O120" i="8" s="1"/>
  <c r="P120" i="8" s="1"/>
  <c r="Q120" i="8" s="1"/>
  <c r="E96" i="8"/>
  <c r="F96" i="8"/>
  <c r="I16" i="7" l="1"/>
  <c r="I12" i="7"/>
  <c r="I13" i="16"/>
  <c r="M14" i="12"/>
  <c r="O13" i="16"/>
  <c r="O14" i="12"/>
  <c r="H14" i="12"/>
  <c r="H13" i="16"/>
  <c r="J13" i="16"/>
  <c r="J14" i="12"/>
  <c r="G106" i="8"/>
  <c r="H103" i="8"/>
  <c r="K13" i="16"/>
  <c r="K14" i="12"/>
  <c r="P13" i="16"/>
  <c r="P14" i="12"/>
  <c r="L14" i="12"/>
  <c r="L13" i="16"/>
  <c r="N14" i="12"/>
  <c r="N13" i="16"/>
  <c r="L40" i="11"/>
  <c r="K67" i="12"/>
  <c r="K39" i="11"/>
  <c r="J66" i="12"/>
  <c r="K99" i="8"/>
  <c r="K102" i="8" s="1"/>
  <c r="E135" i="8"/>
  <c r="K32" i="9"/>
  <c r="J44" i="9"/>
  <c r="J51" i="9"/>
  <c r="K23" i="9"/>
  <c r="K41" i="9"/>
  <c r="J60" i="9"/>
  <c r="J38" i="9"/>
  <c r="J19" i="9"/>
  <c r="J14" i="9"/>
  <c r="J35" i="9"/>
  <c r="K57" i="9"/>
  <c r="J54" i="9"/>
  <c r="J29" i="9"/>
  <c r="J48" i="9"/>
  <c r="K16" i="9"/>
  <c r="J26" i="9"/>
  <c r="I147" i="8"/>
  <c r="H146" i="8"/>
  <c r="H15" i="11" s="1"/>
  <c r="H53" i="12" s="1"/>
  <c r="I116" i="8"/>
  <c r="I119" i="8" s="1"/>
  <c r="H123" i="8"/>
  <c r="I126" i="8"/>
  <c r="I129" i="8" s="1"/>
  <c r="H133" i="8"/>
  <c r="I89" i="8"/>
  <c r="I92" i="8" s="1"/>
  <c r="H96" i="8"/>
  <c r="G123" i="8"/>
  <c r="G135" i="8" s="1"/>
  <c r="F123" i="8"/>
  <c r="F135" i="8" s="1"/>
  <c r="F69" i="8"/>
  <c r="F72" i="8" s="1"/>
  <c r="E76" i="8"/>
  <c r="G59" i="8"/>
  <c r="G62" i="8" s="1"/>
  <c r="F66" i="8"/>
  <c r="G79" i="8"/>
  <c r="G82" i="8" s="1"/>
  <c r="F86" i="8"/>
  <c r="J12" i="7" l="1"/>
  <c r="J16" i="7"/>
  <c r="I103" i="8"/>
  <c r="H106" i="8"/>
  <c r="L39" i="11"/>
  <c r="K66" i="12"/>
  <c r="M40" i="11"/>
  <c r="L67" i="12"/>
  <c r="L99" i="8"/>
  <c r="L102" i="8" s="1"/>
  <c r="I146" i="8"/>
  <c r="I15" i="11" s="1"/>
  <c r="I53" i="12" s="1"/>
  <c r="H135" i="8"/>
  <c r="H17" i="11" s="1"/>
  <c r="K29" i="9"/>
  <c r="L41" i="9"/>
  <c r="K44" i="9"/>
  <c r="L16" i="9"/>
  <c r="K54" i="9"/>
  <c r="K35" i="9"/>
  <c r="K19" i="9"/>
  <c r="K60" i="9"/>
  <c r="K51" i="9"/>
  <c r="K26" i="9"/>
  <c r="K48" i="9"/>
  <c r="L57" i="9"/>
  <c r="K14" i="9"/>
  <c r="L23" i="9"/>
  <c r="L32" i="9"/>
  <c r="K38" i="9"/>
  <c r="J147" i="8"/>
  <c r="I133" i="8"/>
  <c r="J126" i="8"/>
  <c r="J129" i="8" s="1"/>
  <c r="G86" i="8"/>
  <c r="H79" i="8"/>
  <c r="H82" i="8" s="1"/>
  <c r="G66" i="8"/>
  <c r="H59" i="8"/>
  <c r="H62" i="8" s="1"/>
  <c r="I96" i="8"/>
  <c r="J89" i="8"/>
  <c r="J92" i="8" s="1"/>
  <c r="I123" i="8"/>
  <c r="I135" i="8" s="1"/>
  <c r="I17" i="11" s="1"/>
  <c r="J116" i="8"/>
  <c r="J119" i="8" s="1"/>
  <c r="G69" i="8"/>
  <c r="G72" i="8" s="1"/>
  <c r="F76" i="8"/>
  <c r="K16" i="7" l="1"/>
  <c r="K12" i="7"/>
  <c r="J103" i="8"/>
  <c r="I106" i="8"/>
  <c r="N40" i="11"/>
  <c r="M67" i="12"/>
  <c r="M39" i="11"/>
  <c r="L66" i="12"/>
  <c r="M99" i="8"/>
  <c r="M102" i="8" s="1"/>
  <c r="J146" i="8"/>
  <c r="J15" i="11" s="1"/>
  <c r="J53" i="12" s="1"/>
  <c r="L48" i="9"/>
  <c r="L51" i="9"/>
  <c r="L54" i="9"/>
  <c r="M41" i="9"/>
  <c r="M23" i="9"/>
  <c r="L14" i="9"/>
  <c r="L19" i="9"/>
  <c r="L38" i="9"/>
  <c r="L26" i="9"/>
  <c r="L60" i="9"/>
  <c r="L35" i="9"/>
  <c r="L44" i="9"/>
  <c r="L29" i="9"/>
  <c r="M32" i="9"/>
  <c r="M57" i="9"/>
  <c r="M16" i="9"/>
  <c r="K147" i="8"/>
  <c r="G76" i="8"/>
  <c r="H69" i="8"/>
  <c r="H72" i="8" s="1"/>
  <c r="H86" i="8"/>
  <c r="I79" i="8"/>
  <c r="I82" i="8" s="1"/>
  <c r="J123" i="8"/>
  <c r="K116" i="8"/>
  <c r="K119" i="8" s="1"/>
  <c r="H66" i="8"/>
  <c r="I59" i="8"/>
  <c r="I62" i="8" s="1"/>
  <c r="J133" i="8"/>
  <c r="K126" i="8"/>
  <c r="K129" i="8" s="1"/>
  <c r="K89" i="8"/>
  <c r="K92" i="8" s="1"/>
  <c r="J96" i="8"/>
  <c r="L12" i="7" l="1"/>
  <c r="L16" i="7"/>
  <c r="K103" i="8"/>
  <c r="J106" i="8"/>
  <c r="N39" i="11"/>
  <c r="M66" i="12"/>
  <c r="O40" i="11"/>
  <c r="N67" i="12"/>
  <c r="N99" i="8"/>
  <c r="N102" i="8" s="1"/>
  <c r="J135" i="8"/>
  <c r="J17" i="11" s="1"/>
  <c r="N32" i="9"/>
  <c r="M44" i="9"/>
  <c r="M60" i="9"/>
  <c r="M19" i="9"/>
  <c r="N23" i="9"/>
  <c r="N16" i="9"/>
  <c r="M51" i="9"/>
  <c r="M35" i="9"/>
  <c r="M38" i="9"/>
  <c r="N41" i="9"/>
  <c r="M54" i="9"/>
  <c r="M48" i="9"/>
  <c r="N57" i="9"/>
  <c r="M29" i="9"/>
  <c r="M26" i="9"/>
  <c r="M14" i="9"/>
  <c r="L147" i="8"/>
  <c r="K146" i="8"/>
  <c r="K15" i="11" s="1"/>
  <c r="K53" i="12" s="1"/>
  <c r="J59" i="8"/>
  <c r="J62" i="8" s="1"/>
  <c r="I66" i="8"/>
  <c r="I69" i="8"/>
  <c r="I72" i="8" s="1"/>
  <c r="H76" i="8"/>
  <c r="J79" i="8"/>
  <c r="J82" i="8" s="1"/>
  <c r="I86" i="8"/>
  <c r="K96" i="8"/>
  <c r="L89" i="8"/>
  <c r="L92" i="8" s="1"/>
  <c r="K133" i="8"/>
  <c r="L126" i="8"/>
  <c r="L129" i="8" s="1"/>
  <c r="K123" i="8"/>
  <c r="L116" i="8"/>
  <c r="L119" i="8" s="1"/>
  <c r="M16" i="7" l="1"/>
  <c r="M12" i="7"/>
  <c r="L103" i="8"/>
  <c r="K106" i="8"/>
  <c r="P40" i="11"/>
  <c r="O67" i="12"/>
  <c r="O39" i="11"/>
  <c r="N66" i="12"/>
  <c r="O99" i="8"/>
  <c r="O102" i="8" s="1"/>
  <c r="K135" i="8"/>
  <c r="K17" i="11" s="1"/>
  <c r="N26" i="9"/>
  <c r="O57" i="9"/>
  <c r="N54" i="9"/>
  <c r="N38" i="9"/>
  <c r="N51" i="9"/>
  <c r="O16" i="9"/>
  <c r="O23" i="9"/>
  <c r="N44" i="9"/>
  <c r="N29" i="9"/>
  <c r="N35" i="9"/>
  <c r="N14" i="9"/>
  <c r="N48" i="9"/>
  <c r="O41" i="9"/>
  <c r="N19" i="9"/>
  <c r="N60" i="9"/>
  <c r="O32" i="9"/>
  <c r="L146" i="8"/>
  <c r="L15" i="11" s="1"/>
  <c r="L53" i="12" s="1"/>
  <c r="M147" i="8"/>
  <c r="L123" i="8"/>
  <c r="M116" i="8"/>
  <c r="M119" i="8" s="1"/>
  <c r="I76" i="8"/>
  <c r="J69" i="8"/>
  <c r="J72" i="8" s="1"/>
  <c r="L133" i="8"/>
  <c r="M126" i="8"/>
  <c r="M129" i="8" s="1"/>
  <c r="M89" i="8"/>
  <c r="M92" i="8" s="1"/>
  <c r="L96" i="8"/>
  <c r="K79" i="8"/>
  <c r="K82" i="8" s="1"/>
  <c r="J86" i="8"/>
  <c r="J66" i="8"/>
  <c r="K59" i="8"/>
  <c r="K62" i="8" s="1"/>
  <c r="N12" i="7" l="1"/>
  <c r="N16" i="7"/>
  <c r="M103" i="8"/>
  <c r="L106" i="8"/>
  <c r="P39" i="11"/>
  <c r="O66" i="12"/>
  <c r="Q40" i="11"/>
  <c r="Q67" i="12" s="1"/>
  <c r="P67" i="12"/>
  <c r="P99" i="8"/>
  <c r="P102" i="8" s="1"/>
  <c r="L135" i="8"/>
  <c r="L17" i="11" s="1"/>
  <c r="O44" i="9"/>
  <c r="P57" i="9"/>
  <c r="O19" i="9"/>
  <c r="P41" i="9"/>
  <c r="O14" i="9"/>
  <c r="O35" i="9"/>
  <c r="P16" i="9"/>
  <c r="O38" i="9"/>
  <c r="P32" i="9"/>
  <c r="O60" i="9"/>
  <c r="O29" i="9"/>
  <c r="O54" i="9"/>
  <c r="M146" i="8"/>
  <c r="M15" i="11" s="1"/>
  <c r="M53" i="12" s="1"/>
  <c r="O48" i="9"/>
  <c r="P23" i="9"/>
  <c r="O51" i="9"/>
  <c r="O26" i="9"/>
  <c r="N147" i="8"/>
  <c r="K66" i="8"/>
  <c r="L59" i="8"/>
  <c r="L62" i="8" s="1"/>
  <c r="M133" i="8"/>
  <c r="N126" i="8"/>
  <c r="N129" i="8" s="1"/>
  <c r="M123" i="8"/>
  <c r="N116" i="8"/>
  <c r="N119" i="8" s="1"/>
  <c r="J76" i="8"/>
  <c r="K69" i="8"/>
  <c r="K72" i="8" s="1"/>
  <c r="M96" i="8"/>
  <c r="N89" i="8"/>
  <c r="N92" i="8" s="1"/>
  <c r="K86" i="8"/>
  <c r="L79" i="8"/>
  <c r="L82" i="8" s="1"/>
  <c r="O16" i="7" l="1"/>
  <c r="O12" i="7"/>
  <c r="N103" i="8"/>
  <c r="M106" i="8"/>
  <c r="Q39" i="11"/>
  <c r="Q66" i="12" s="1"/>
  <c r="P66" i="12"/>
  <c r="Q99" i="8"/>
  <c r="Q102" i="8" s="1"/>
  <c r="N146" i="8"/>
  <c r="N15" i="11" s="1"/>
  <c r="N53" i="12" s="1"/>
  <c r="M135" i="8"/>
  <c r="M17" i="11" s="1"/>
  <c r="P29" i="9"/>
  <c r="Q57" i="9"/>
  <c r="P51" i="9"/>
  <c r="Q32" i="9"/>
  <c r="P48" i="9"/>
  <c r="P35" i="9"/>
  <c r="P54" i="9"/>
  <c r="P44" i="9"/>
  <c r="P38" i="9"/>
  <c r="Q41" i="9"/>
  <c r="P26" i="9"/>
  <c r="Q23" i="9"/>
  <c r="P60" i="9"/>
  <c r="Q16" i="9"/>
  <c r="P14" i="9"/>
  <c r="P19" i="9"/>
  <c r="O147" i="8"/>
  <c r="K76" i="8"/>
  <c r="L69" i="8"/>
  <c r="L72" i="8" s="1"/>
  <c r="O89" i="8"/>
  <c r="O92" i="8" s="1"/>
  <c r="N96" i="8"/>
  <c r="O116" i="8"/>
  <c r="O119" i="8" s="1"/>
  <c r="N123" i="8"/>
  <c r="M59" i="8"/>
  <c r="M62" i="8" s="1"/>
  <c r="L66" i="8"/>
  <c r="L86" i="8"/>
  <c r="M79" i="8"/>
  <c r="M82" i="8" s="1"/>
  <c r="O126" i="8"/>
  <c r="O129" i="8" s="1"/>
  <c r="N133" i="8"/>
  <c r="P12" i="7" l="1"/>
  <c r="P16" i="7"/>
  <c r="O103" i="8"/>
  <c r="N106" i="8"/>
  <c r="N135" i="8"/>
  <c r="N17" i="11" s="1"/>
  <c r="Q48" i="9"/>
  <c r="Q19" i="9"/>
  <c r="Q60" i="9"/>
  <c r="Q26" i="9"/>
  <c r="Q44" i="9"/>
  <c r="Q51" i="9"/>
  <c r="Q38" i="9"/>
  <c r="Q54" i="9"/>
  <c r="Q14" i="9"/>
  <c r="Q35" i="9"/>
  <c r="Q29" i="9"/>
  <c r="P147" i="8"/>
  <c r="O146" i="8"/>
  <c r="O15" i="11" s="1"/>
  <c r="O53" i="12" s="1"/>
  <c r="O133" i="8"/>
  <c r="P126" i="8"/>
  <c r="P129" i="8" s="1"/>
  <c r="O96" i="8"/>
  <c r="P89" i="8"/>
  <c r="P92" i="8" s="1"/>
  <c r="M86" i="8"/>
  <c r="N79" i="8"/>
  <c r="N82" i="8" s="1"/>
  <c r="M69" i="8"/>
  <c r="M72" i="8" s="1"/>
  <c r="L76" i="8"/>
  <c r="M66" i="8"/>
  <c r="N59" i="8"/>
  <c r="N62" i="8" s="1"/>
  <c r="O123" i="8"/>
  <c r="P116" i="8"/>
  <c r="P119" i="8" s="1"/>
  <c r="Q16" i="7" l="1"/>
  <c r="Q12" i="7"/>
  <c r="P103" i="8"/>
  <c r="O106" i="8"/>
  <c r="O135" i="8"/>
  <c r="O17" i="11" s="1"/>
  <c r="Q147" i="8"/>
  <c r="P146" i="8"/>
  <c r="P15" i="11" s="1"/>
  <c r="P53" i="12" s="1"/>
  <c r="P123" i="8"/>
  <c r="Q116" i="8"/>
  <c r="Q119" i="8" s="1"/>
  <c r="Q123" i="8" s="1"/>
  <c r="N66" i="8"/>
  <c r="O59" i="8"/>
  <c r="O62" i="8" s="1"/>
  <c r="O79" i="8"/>
  <c r="O82" i="8" s="1"/>
  <c r="N86" i="8"/>
  <c r="P133" i="8"/>
  <c r="Q126" i="8"/>
  <c r="Q129" i="8" s="1"/>
  <c r="Q133" i="8" s="1"/>
  <c r="P96" i="8"/>
  <c r="Q89" i="8"/>
  <c r="Q92" i="8" s="1"/>
  <c r="Q96" i="8" s="1"/>
  <c r="M76" i="8"/>
  <c r="N69" i="8"/>
  <c r="N72" i="8" s="1"/>
  <c r="Q103" i="8" l="1"/>
  <c r="Q106" i="8" s="1"/>
  <c r="P106" i="8"/>
  <c r="P135" i="8"/>
  <c r="P17" i="11" s="1"/>
  <c r="Q135" i="8"/>
  <c r="Q17" i="11" s="1"/>
  <c r="Q146" i="8"/>
  <c r="Q15" i="11" s="1"/>
  <c r="Q53" i="12" s="1"/>
  <c r="N76" i="8"/>
  <c r="O69" i="8"/>
  <c r="O72" i="8" s="1"/>
  <c r="O66" i="8"/>
  <c r="P59" i="8"/>
  <c r="P62" i="8" s="1"/>
  <c r="O86" i="8"/>
  <c r="P79" i="8"/>
  <c r="P82" i="8" s="1"/>
  <c r="P66" i="8" l="1"/>
  <c r="Q59" i="8"/>
  <c r="Q62" i="8" s="1"/>
  <c r="Q66" i="8" s="1"/>
  <c r="P86" i="8"/>
  <c r="Q79" i="8"/>
  <c r="Q82" i="8" s="1"/>
  <c r="Q86" i="8" s="1"/>
  <c r="O76" i="8"/>
  <c r="P69" i="8"/>
  <c r="P72" i="8" s="1"/>
  <c r="P76" i="8" l="1"/>
  <c r="Q69" i="8"/>
  <c r="Q72" i="8" s="1"/>
  <c r="Q76" i="8" s="1"/>
  <c r="D52" i="8" l="1"/>
  <c r="E52" i="8" s="1"/>
  <c r="F52" i="8" s="1"/>
  <c r="G52" i="8" s="1"/>
  <c r="H52" i="8" s="1"/>
  <c r="I52" i="8" s="1"/>
  <c r="J52" i="8" s="1"/>
  <c r="K52" i="8" s="1"/>
  <c r="L52" i="8" s="1"/>
  <c r="M52" i="8" s="1"/>
  <c r="N52" i="8" s="1"/>
  <c r="O52" i="8" s="1"/>
  <c r="P52" i="8" s="1"/>
  <c r="Q52" i="8" s="1"/>
  <c r="C51" i="8"/>
  <c r="C55" i="8" s="1"/>
  <c r="F37" i="8"/>
  <c r="F40" i="8" s="1"/>
  <c r="G37" i="8"/>
  <c r="G40" i="8" s="1"/>
  <c r="H37" i="8" s="1"/>
  <c r="H40" i="8" s="1"/>
  <c r="E37" i="8"/>
  <c r="E40" i="8" s="1"/>
  <c r="D41" i="8"/>
  <c r="E41" i="8" s="1"/>
  <c r="F41" i="8" s="1"/>
  <c r="G41" i="8" s="1"/>
  <c r="H41" i="8" s="1"/>
  <c r="I41" i="8" s="1"/>
  <c r="J41" i="8" s="1"/>
  <c r="K41" i="8" s="1"/>
  <c r="L41" i="8" s="1"/>
  <c r="M41" i="8" s="1"/>
  <c r="N41" i="8" s="1"/>
  <c r="O41" i="8" s="1"/>
  <c r="P41" i="8" s="1"/>
  <c r="Q41" i="8" s="1"/>
  <c r="C40" i="8"/>
  <c r="D37" i="8" s="1"/>
  <c r="D40" i="8" s="1"/>
  <c r="D31" i="8"/>
  <c r="E31" i="8" s="1"/>
  <c r="F31" i="8" s="1"/>
  <c r="G31" i="8" s="1"/>
  <c r="H31" i="8" s="1"/>
  <c r="I31" i="8" s="1"/>
  <c r="J31" i="8" s="1"/>
  <c r="K31" i="8" s="1"/>
  <c r="L31" i="8" s="1"/>
  <c r="M31" i="8" s="1"/>
  <c r="N31" i="8" s="1"/>
  <c r="O31" i="8" s="1"/>
  <c r="P31" i="8" s="1"/>
  <c r="Q31" i="8" s="1"/>
  <c r="C30" i="8"/>
  <c r="C34" i="8" s="1"/>
  <c r="D20" i="8"/>
  <c r="E20" i="8" s="1"/>
  <c r="F20" i="8" s="1"/>
  <c r="G20" i="8" s="1"/>
  <c r="H20" i="8" s="1"/>
  <c r="I20" i="8" s="1"/>
  <c r="J20" i="8" s="1"/>
  <c r="K20" i="8" s="1"/>
  <c r="L20" i="8" s="1"/>
  <c r="M20" i="8" s="1"/>
  <c r="N20" i="8" s="1"/>
  <c r="O20" i="8" s="1"/>
  <c r="P20" i="8" s="1"/>
  <c r="Q20" i="8" s="1"/>
  <c r="C19" i="8"/>
  <c r="C23" i="8" s="1"/>
  <c r="C13" i="8"/>
  <c r="H7" i="8"/>
  <c r="I7" i="8" s="1"/>
  <c r="J7" i="8" s="1"/>
  <c r="K7" i="8" s="1"/>
  <c r="L7" i="8" s="1"/>
  <c r="M7" i="8" s="1"/>
  <c r="N7" i="8" s="1"/>
  <c r="O7" i="8" s="1"/>
  <c r="P7" i="8" s="1"/>
  <c r="Q7" i="8" s="1"/>
  <c r="D10" i="8" l="1"/>
  <c r="D13" i="8" s="1"/>
  <c r="H44" i="8"/>
  <c r="I37" i="8"/>
  <c r="I40" i="8" s="1"/>
  <c r="D44" i="8"/>
  <c r="D48" i="8"/>
  <c r="D51" i="8" s="1"/>
  <c r="D55" i="8" s="1"/>
  <c r="D27" i="8"/>
  <c r="D30" i="8" s="1"/>
  <c r="E27" i="8" s="1"/>
  <c r="E30" i="8" s="1"/>
  <c r="E34" i="8" s="1"/>
  <c r="C44" i="8"/>
  <c r="E44" i="8"/>
  <c r="G44" i="8"/>
  <c r="F44" i="8"/>
  <c r="D16" i="8"/>
  <c r="D19" i="8" s="1"/>
  <c r="C110" i="8" l="1"/>
  <c r="C139" i="8" s="1"/>
  <c r="E10" i="8"/>
  <c r="E13" i="8" s="1"/>
  <c r="I44" i="8"/>
  <c r="J37" i="8"/>
  <c r="J40" i="8" s="1"/>
  <c r="E48" i="8"/>
  <c r="E51" i="8" s="1"/>
  <c r="F48" i="8" s="1"/>
  <c r="F51" i="8" s="1"/>
  <c r="D34" i="8"/>
  <c r="F27" i="8"/>
  <c r="F30" i="8" s="1"/>
  <c r="F34" i="8" s="1"/>
  <c r="E16" i="8"/>
  <c r="E19" i="8" s="1"/>
  <c r="D23" i="8"/>
  <c r="D110" i="8" s="1"/>
  <c r="D139" i="8" l="1"/>
  <c r="D144" i="8" s="1"/>
  <c r="D149" i="8" s="1"/>
  <c r="F10" i="8"/>
  <c r="F13" i="8" s="1"/>
  <c r="K37" i="8"/>
  <c r="K40" i="8" s="1"/>
  <c r="J44" i="8"/>
  <c r="E55" i="8"/>
  <c r="G27" i="8"/>
  <c r="G30" i="8" s="1"/>
  <c r="G48" i="8"/>
  <c r="G51" i="8" s="1"/>
  <c r="F55" i="8"/>
  <c r="F16" i="8"/>
  <c r="F19" i="8" s="1"/>
  <c r="E23" i="8"/>
  <c r="E110" i="8" l="1"/>
  <c r="E139" i="8" s="1"/>
  <c r="E144" i="8" s="1"/>
  <c r="E149" i="8" s="1"/>
  <c r="G10" i="8"/>
  <c r="G13" i="8" s="1"/>
  <c r="G55" i="8"/>
  <c r="H48" i="8"/>
  <c r="H51" i="8" s="1"/>
  <c r="L37" i="8"/>
  <c r="L40" i="8" s="1"/>
  <c r="K44" i="8"/>
  <c r="G34" i="8"/>
  <c r="H27" i="8"/>
  <c r="H30" i="8" s="1"/>
  <c r="G16" i="8"/>
  <c r="G19" i="8" s="1"/>
  <c r="F23" i="8"/>
  <c r="F110" i="8" s="1"/>
  <c r="F139" i="8" l="1"/>
  <c r="F144" i="8" s="1"/>
  <c r="F149" i="8" s="1"/>
  <c r="H10" i="8"/>
  <c r="H13" i="8" s="1"/>
  <c r="H34" i="8"/>
  <c r="I27" i="8"/>
  <c r="I30" i="8" s="1"/>
  <c r="G23" i="8"/>
  <c r="H16" i="8"/>
  <c r="H19" i="8" s="1"/>
  <c r="L44" i="8"/>
  <c r="M37" i="8"/>
  <c r="M40" i="8" s="1"/>
  <c r="I48" i="8"/>
  <c r="I51" i="8" s="1"/>
  <c r="H55" i="8"/>
  <c r="H7" i="7"/>
  <c r="I7" i="7" s="1"/>
  <c r="J7" i="7" s="1"/>
  <c r="K7" i="7" s="1"/>
  <c r="L7" i="7" s="1"/>
  <c r="M7" i="7" s="1"/>
  <c r="N7" i="7" s="1"/>
  <c r="O7" i="7" s="1"/>
  <c r="P7" i="7" s="1"/>
  <c r="Q7" i="7" s="1"/>
  <c r="D39" i="6"/>
  <c r="D32" i="10" s="1"/>
  <c r="E39" i="6"/>
  <c r="E32" i="10" s="1"/>
  <c r="F39" i="6"/>
  <c r="F32" i="10" s="1"/>
  <c r="G39" i="6"/>
  <c r="G32" i="10" s="1"/>
  <c r="C39" i="6"/>
  <c r="C32" i="10" s="1"/>
  <c r="D36" i="6"/>
  <c r="D22" i="10" s="1"/>
  <c r="E36" i="6"/>
  <c r="E22" i="10" s="1"/>
  <c r="F36" i="6"/>
  <c r="F22" i="10" s="1"/>
  <c r="G36" i="6"/>
  <c r="G22" i="10" s="1"/>
  <c r="D33" i="6"/>
  <c r="D21" i="10" s="1"/>
  <c r="E33" i="6"/>
  <c r="E21" i="10" s="1"/>
  <c r="F33" i="6"/>
  <c r="F21" i="10" s="1"/>
  <c r="G33" i="6"/>
  <c r="G21" i="10" s="1"/>
  <c r="D30" i="6"/>
  <c r="D20" i="10" s="1"/>
  <c r="E30" i="6"/>
  <c r="E20" i="10" s="1"/>
  <c r="F30" i="6"/>
  <c r="F20" i="10" s="1"/>
  <c r="G30" i="6"/>
  <c r="G20" i="10" s="1"/>
  <c r="C36" i="6"/>
  <c r="C22" i="10" s="1"/>
  <c r="C33" i="6"/>
  <c r="C21" i="10" s="1"/>
  <c r="C30" i="6"/>
  <c r="C20" i="10" s="1"/>
  <c r="D24" i="6"/>
  <c r="D19" i="10" s="1"/>
  <c r="E24" i="6"/>
  <c r="E19" i="10" s="1"/>
  <c r="F24" i="6"/>
  <c r="F19" i="10" s="1"/>
  <c r="G24" i="6"/>
  <c r="G19" i="10" s="1"/>
  <c r="D27" i="6"/>
  <c r="D18" i="10" s="1"/>
  <c r="E27" i="6"/>
  <c r="E18" i="10" s="1"/>
  <c r="F27" i="6"/>
  <c r="F18" i="10" s="1"/>
  <c r="G27" i="6"/>
  <c r="G18" i="10" s="1"/>
  <c r="D21" i="6"/>
  <c r="D17" i="10" s="1"/>
  <c r="E21" i="6"/>
  <c r="E17" i="10" s="1"/>
  <c r="F21" i="6"/>
  <c r="F17" i="10" s="1"/>
  <c r="G21" i="6"/>
  <c r="G17" i="10" s="1"/>
  <c r="D18" i="6"/>
  <c r="D16" i="10" s="1"/>
  <c r="E18" i="6"/>
  <c r="E16" i="10" s="1"/>
  <c r="F18" i="6"/>
  <c r="F16" i="10" s="1"/>
  <c r="G18" i="6"/>
  <c r="G16" i="10" s="1"/>
  <c r="D15" i="6"/>
  <c r="E15" i="6"/>
  <c r="F15" i="6"/>
  <c r="G15" i="6"/>
  <c r="C24" i="6"/>
  <c r="C19" i="10" s="1"/>
  <c r="C27" i="6"/>
  <c r="C18" i="10" s="1"/>
  <c r="C21" i="6"/>
  <c r="C17" i="10" s="1"/>
  <c r="C18" i="6"/>
  <c r="C16" i="10" s="1"/>
  <c r="C15" i="6"/>
  <c r="D10" i="6"/>
  <c r="D53" i="13" s="1"/>
  <c r="E10" i="6"/>
  <c r="E53" i="13" s="1"/>
  <c r="F10" i="6"/>
  <c r="F53" i="13" s="1"/>
  <c r="G10" i="6"/>
  <c r="G53" i="13" s="1"/>
  <c r="C10" i="6"/>
  <c r="H7" i="6"/>
  <c r="I7" i="6" s="1"/>
  <c r="J7" i="6" s="1"/>
  <c r="K7" i="6" s="1"/>
  <c r="L7" i="6" s="1"/>
  <c r="M7" i="6" s="1"/>
  <c r="N7" i="6" s="1"/>
  <c r="O7" i="6" s="1"/>
  <c r="P7" i="6" s="1"/>
  <c r="Q7" i="6" s="1"/>
  <c r="D26" i="4"/>
  <c r="E26" i="4"/>
  <c r="F26" i="4"/>
  <c r="G26" i="4"/>
  <c r="C26" i="4"/>
  <c r="C15" i="5"/>
  <c r="H7" i="4"/>
  <c r="I7" i="4" s="1"/>
  <c r="J7" i="4" s="1"/>
  <c r="K7" i="4" s="1"/>
  <c r="L7" i="4" s="1"/>
  <c r="M7" i="4" s="1"/>
  <c r="N7" i="4" s="1"/>
  <c r="O7" i="4" s="1"/>
  <c r="P7" i="4" s="1"/>
  <c r="Q7" i="4" s="1"/>
  <c r="G110" i="8" l="1"/>
  <c r="G139" i="8" s="1"/>
  <c r="G144" i="8" s="1"/>
  <c r="G149" i="8" s="1"/>
  <c r="I32" i="4"/>
  <c r="J32" i="4" s="1"/>
  <c r="K32" i="4" s="1"/>
  <c r="L32" i="4" s="1"/>
  <c r="M32" i="4" s="1"/>
  <c r="N32" i="4" s="1"/>
  <c r="O32" i="4" s="1"/>
  <c r="P32" i="4" s="1"/>
  <c r="Q32" i="4" s="1"/>
  <c r="H26" i="4"/>
  <c r="I26" i="4" s="1"/>
  <c r="C53" i="13"/>
  <c r="F40" i="6"/>
  <c r="C34" i="6"/>
  <c r="E31" i="6"/>
  <c r="E34" i="6"/>
  <c r="E37" i="6"/>
  <c r="C31" i="6"/>
  <c r="F34" i="6"/>
  <c r="F31" i="6"/>
  <c r="F37" i="6"/>
  <c r="D15" i="12"/>
  <c r="D71" i="12"/>
  <c r="E40" i="6"/>
  <c r="D15" i="10"/>
  <c r="D26" i="10" s="1"/>
  <c r="D30" i="10" s="1"/>
  <c r="D38" i="10" s="1"/>
  <c r="D42" i="10" s="1"/>
  <c r="E71" i="12"/>
  <c r="E15" i="12"/>
  <c r="F15" i="10"/>
  <c r="F26" i="10" s="1"/>
  <c r="F30" i="10" s="1"/>
  <c r="F38" i="10" s="1"/>
  <c r="F42" i="10" s="1"/>
  <c r="C37" i="6"/>
  <c r="D31" i="6"/>
  <c r="D34" i="6"/>
  <c r="D37" i="6"/>
  <c r="G71" i="12"/>
  <c r="G15" i="12"/>
  <c r="C40" i="6"/>
  <c r="D40" i="6"/>
  <c r="C15" i="10"/>
  <c r="C26" i="10" s="1"/>
  <c r="G15" i="10"/>
  <c r="G26" i="10" s="1"/>
  <c r="G30" i="10" s="1"/>
  <c r="G38" i="10" s="1"/>
  <c r="G42" i="10" s="1"/>
  <c r="E15" i="10"/>
  <c r="E26" i="10" s="1"/>
  <c r="E30" i="10" s="1"/>
  <c r="E38" i="10" s="1"/>
  <c r="E42" i="10" s="1"/>
  <c r="G31" i="6"/>
  <c r="G34" i="6"/>
  <c r="G37" i="6"/>
  <c r="F71" i="12"/>
  <c r="F15" i="12"/>
  <c r="G40" i="6"/>
  <c r="I10" i="8"/>
  <c r="I13" i="8" s="1"/>
  <c r="N37" i="8"/>
  <c r="N40" i="8" s="1"/>
  <c r="M44" i="8"/>
  <c r="J27" i="8"/>
  <c r="J30" i="8" s="1"/>
  <c r="I34" i="8"/>
  <c r="H23" i="8"/>
  <c r="I16" i="8"/>
  <c r="I19" i="8" s="1"/>
  <c r="J48" i="8"/>
  <c r="J51" i="8" s="1"/>
  <c r="I55" i="8"/>
  <c r="F25" i="6"/>
  <c r="C28" i="6"/>
  <c r="E28" i="6"/>
  <c r="E25" i="6"/>
  <c r="C25" i="6"/>
  <c r="G22" i="6"/>
  <c r="G25" i="6"/>
  <c r="G28" i="6"/>
  <c r="D22" i="6"/>
  <c r="D28" i="6"/>
  <c r="D25" i="6"/>
  <c r="F22" i="6"/>
  <c r="F28" i="6"/>
  <c r="G19" i="6"/>
  <c r="C22" i="6"/>
  <c r="E16" i="6"/>
  <c r="E19" i="6"/>
  <c r="E22" i="6"/>
  <c r="C19" i="6"/>
  <c r="G16" i="6"/>
  <c r="D19" i="6"/>
  <c r="F19" i="6"/>
  <c r="C16" i="6"/>
  <c r="D16" i="6"/>
  <c r="F16" i="6"/>
  <c r="I34" i="4"/>
  <c r="J34" i="4" s="1"/>
  <c r="K34" i="4" s="1"/>
  <c r="L34" i="4" s="1"/>
  <c r="M34" i="4" s="1"/>
  <c r="N34" i="4" s="1"/>
  <c r="O34" i="4" s="1"/>
  <c r="P34" i="4" s="1"/>
  <c r="Q34" i="4" s="1"/>
  <c r="H16" i="6" l="1"/>
  <c r="I16" i="6" s="1"/>
  <c r="H110" i="8"/>
  <c r="H14" i="11" s="1"/>
  <c r="H52" i="12" s="1"/>
  <c r="H14" i="16" s="1"/>
  <c r="I33" i="4"/>
  <c r="H40" i="6"/>
  <c r="H31" i="6"/>
  <c r="I31" i="6" s="1"/>
  <c r="J31" i="6" s="1"/>
  <c r="K31" i="6" s="1"/>
  <c r="L31" i="6" s="1"/>
  <c r="M31" i="6" s="1"/>
  <c r="N31" i="6" s="1"/>
  <c r="O31" i="6" s="1"/>
  <c r="P31" i="6" s="1"/>
  <c r="Q31" i="6" s="1"/>
  <c r="H28" i="6"/>
  <c r="I28" i="6" s="1"/>
  <c r="H19" i="6"/>
  <c r="I19" i="6" s="1"/>
  <c r="H25" i="6"/>
  <c r="I25" i="6" s="1"/>
  <c r="E55" i="13"/>
  <c r="H37" i="6"/>
  <c r="I37" i="6" s="1"/>
  <c r="J37" i="6" s="1"/>
  <c r="K37" i="6" s="1"/>
  <c r="L37" i="6" s="1"/>
  <c r="M37" i="6" s="1"/>
  <c r="N37" i="6" s="1"/>
  <c r="O37" i="6" s="1"/>
  <c r="P37" i="6" s="1"/>
  <c r="Q37" i="6" s="1"/>
  <c r="G55" i="13"/>
  <c r="H34" i="6"/>
  <c r="I34" i="6" s="1"/>
  <c r="J34" i="6" s="1"/>
  <c r="K34" i="6" s="1"/>
  <c r="L34" i="6" s="1"/>
  <c r="M34" i="6" s="1"/>
  <c r="N34" i="6" s="1"/>
  <c r="O34" i="6" s="1"/>
  <c r="P34" i="6" s="1"/>
  <c r="Q34" i="6" s="1"/>
  <c r="F55" i="13"/>
  <c r="D55" i="13"/>
  <c r="J10" i="8"/>
  <c r="J13" i="8" s="1"/>
  <c r="J55" i="8"/>
  <c r="K48" i="8"/>
  <c r="K51" i="8" s="1"/>
  <c r="J34" i="8"/>
  <c r="K27" i="8"/>
  <c r="K30" i="8" s="1"/>
  <c r="J16" i="8"/>
  <c r="J19" i="8" s="1"/>
  <c r="I23" i="8"/>
  <c r="I110" i="8" s="1"/>
  <c r="I14" i="11" s="1"/>
  <c r="N44" i="8"/>
  <c r="O37" i="8"/>
  <c r="O40" i="8" s="1"/>
  <c r="J26" i="4"/>
  <c r="I52" i="12" l="1"/>
  <c r="I14" i="16" s="1"/>
  <c r="H139" i="8"/>
  <c r="H144" i="8" s="1"/>
  <c r="H149" i="8" s="1"/>
  <c r="I139" i="8"/>
  <c r="J33" i="4"/>
  <c r="K33" i="4" s="1"/>
  <c r="L33" i="4" s="1"/>
  <c r="M33" i="4" s="1"/>
  <c r="N33" i="4" s="1"/>
  <c r="O33" i="4" s="1"/>
  <c r="P33" i="4" s="1"/>
  <c r="Q33" i="4" s="1"/>
  <c r="I40" i="6"/>
  <c r="C55" i="13"/>
  <c r="K10" i="8"/>
  <c r="K13" i="8" s="1"/>
  <c r="K34" i="8"/>
  <c r="L27" i="8"/>
  <c r="L30" i="8" s="1"/>
  <c r="K55" i="8"/>
  <c r="L48" i="8"/>
  <c r="L51" i="8" s="1"/>
  <c r="O44" i="8"/>
  <c r="P37" i="8"/>
  <c r="P40" i="8" s="1"/>
  <c r="K16" i="8"/>
  <c r="K19" i="8" s="1"/>
  <c r="J23" i="8"/>
  <c r="J110" i="8" s="1"/>
  <c r="J14" i="11" s="1"/>
  <c r="J52" i="12" s="1"/>
  <c r="J14" i="16" s="1"/>
  <c r="J16" i="6"/>
  <c r="J25" i="6"/>
  <c r="J19" i="6"/>
  <c r="J28" i="6"/>
  <c r="K26" i="4"/>
  <c r="C14" i="3"/>
  <c r="D14" i="3"/>
  <c r="E14" i="3"/>
  <c r="F14" i="3"/>
  <c r="G14" i="3"/>
  <c r="C15" i="3"/>
  <c r="D15" i="3"/>
  <c r="E15" i="3"/>
  <c r="F15" i="3"/>
  <c r="G15" i="3"/>
  <c r="C16" i="3"/>
  <c r="D16" i="3"/>
  <c r="E16" i="3"/>
  <c r="F16" i="3"/>
  <c r="G16" i="3"/>
  <c r="C17" i="3"/>
  <c r="D17" i="3"/>
  <c r="E17" i="3"/>
  <c r="F17" i="3"/>
  <c r="G17" i="3"/>
  <c r="C18" i="3"/>
  <c r="D18" i="3"/>
  <c r="E18" i="3"/>
  <c r="F18" i="3"/>
  <c r="G18" i="3"/>
  <c r="C19" i="3"/>
  <c r="D19" i="3"/>
  <c r="E19" i="3"/>
  <c r="F19" i="3"/>
  <c r="G19" i="3"/>
  <c r="C20" i="3"/>
  <c r="D20" i="3"/>
  <c r="E20" i="3"/>
  <c r="F20" i="3"/>
  <c r="G20" i="3"/>
  <c r="C21" i="3"/>
  <c r="D21" i="3"/>
  <c r="E21" i="3"/>
  <c r="F21" i="3"/>
  <c r="G21" i="3"/>
  <c r="C27" i="3"/>
  <c r="D27" i="3"/>
  <c r="E27" i="3"/>
  <c r="F27" i="3"/>
  <c r="G27" i="3"/>
  <c r="C31" i="3"/>
  <c r="D31" i="3"/>
  <c r="E31" i="3"/>
  <c r="F31" i="3"/>
  <c r="G31" i="3"/>
  <c r="C33" i="3"/>
  <c r="D33" i="3"/>
  <c r="E33" i="3"/>
  <c r="F33" i="3"/>
  <c r="G33" i="3"/>
  <c r="C34" i="3"/>
  <c r="D34" i="3"/>
  <c r="E34" i="3"/>
  <c r="F34" i="3"/>
  <c r="G34" i="3"/>
  <c r="C35" i="3"/>
  <c r="D35" i="3"/>
  <c r="E35" i="3"/>
  <c r="F35" i="3"/>
  <c r="G35" i="3"/>
  <c r="C39" i="3"/>
  <c r="D39" i="3"/>
  <c r="E39" i="3"/>
  <c r="F39" i="3"/>
  <c r="G39" i="3"/>
  <c r="D10" i="3"/>
  <c r="E10" i="3"/>
  <c r="F10" i="3"/>
  <c r="G10" i="3"/>
  <c r="C10" i="3"/>
  <c r="D7" i="3"/>
  <c r="E7" i="3" s="1"/>
  <c r="F7" i="3" s="1"/>
  <c r="G7" i="3" s="1"/>
  <c r="I144" i="8" l="1"/>
  <c r="I149" i="8" s="1"/>
  <c r="J139" i="8"/>
  <c r="J144" i="8" s="1"/>
  <c r="J149" i="8" s="1"/>
  <c r="H12" i="4" a="1"/>
  <c r="J40" i="6"/>
  <c r="K40" i="6" s="1"/>
  <c r="D23" i="3"/>
  <c r="F23" i="3"/>
  <c r="G23" i="3"/>
  <c r="C23" i="3"/>
  <c r="E23" i="3"/>
  <c r="L10" i="8"/>
  <c r="L13" i="8" s="1"/>
  <c r="P44" i="8"/>
  <c r="Q37" i="8"/>
  <c r="Q40" i="8" s="1"/>
  <c r="Q44" i="8" s="1"/>
  <c r="L34" i="8"/>
  <c r="M27" i="8"/>
  <c r="M30" i="8" s="1"/>
  <c r="L55" i="8"/>
  <c r="M48" i="8"/>
  <c r="M51" i="8" s="1"/>
  <c r="L16" i="8"/>
  <c r="L19" i="8" s="1"/>
  <c r="K23" i="8"/>
  <c r="K110" i="8" s="1"/>
  <c r="K14" i="11" s="1"/>
  <c r="K52" i="12" s="1"/>
  <c r="K14" i="16" s="1"/>
  <c r="K28" i="6"/>
  <c r="K25" i="6"/>
  <c r="K16" i="6"/>
  <c r="K19" i="6"/>
  <c r="L26" i="4"/>
  <c r="G62" i="2"/>
  <c r="G52" i="2"/>
  <c r="G43" i="2"/>
  <c r="G74" i="2" s="1"/>
  <c r="G21" i="2"/>
  <c r="G33" i="2"/>
  <c r="F62" i="2"/>
  <c r="F52" i="2"/>
  <c r="F43" i="2"/>
  <c r="F21" i="2"/>
  <c r="F33" i="2"/>
  <c r="E33" i="2"/>
  <c r="E62" i="2"/>
  <c r="E52" i="2"/>
  <c r="E43" i="2"/>
  <c r="E21" i="2"/>
  <c r="D62" i="2"/>
  <c r="D52" i="2"/>
  <c r="C52" i="2"/>
  <c r="D43" i="2"/>
  <c r="D21" i="2"/>
  <c r="D33" i="2"/>
  <c r="C43" i="2"/>
  <c r="C62" i="2"/>
  <c r="C21" i="2"/>
  <c r="C33" i="2"/>
  <c r="D7" i="2"/>
  <c r="E7" i="2" s="1"/>
  <c r="F7" i="2" s="1"/>
  <c r="G7" i="2" s="1"/>
  <c r="G12" i="1"/>
  <c r="F12" i="1"/>
  <c r="E12" i="1"/>
  <c r="D12" i="1"/>
  <c r="C12" i="1"/>
  <c r="D7" i="1"/>
  <c r="E7" i="1" s="1"/>
  <c r="F7" i="1" s="1"/>
  <c r="G7" i="1" s="1"/>
  <c r="K139" i="8" l="1"/>
  <c r="K144" i="8" s="1"/>
  <c r="K149" i="8" s="1"/>
  <c r="C12" i="3"/>
  <c r="C25" i="3" s="1"/>
  <c r="C29" i="3" s="1"/>
  <c r="C37" i="3" s="1"/>
  <c r="C41" i="3" s="1"/>
  <c r="C47" i="1"/>
  <c r="G47" i="1"/>
  <c r="G46" i="1"/>
  <c r="G26" i="1"/>
  <c r="D47" i="1"/>
  <c r="D46" i="1"/>
  <c r="D26" i="1"/>
  <c r="E12" i="3"/>
  <c r="E25" i="3" s="1"/>
  <c r="E29" i="3" s="1"/>
  <c r="E37" i="3" s="1"/>
  <c r="E41" i="3" s="1"/>
  <c r="E46" i="1"/>
  <c r="E47" i="1"/>
  <c r="E26" i="1"/>
  <c r="F46" i="1"/>
  <c r="F47" i="1"/>
  <c r="F26" i="1"/>
  <c r="O12" i="4"/>
  <c r="H12" i="4"/>
  <c r="H11" i="4" s="1"/>
  <c r="H13" i="4" s="1"/>
  <c r="P12" i="4"/>
  <c r="M12" i="4"/>
  <c r="I12" i="4"/>
  <c r="L12" i="4"/>
  <c r="K12" i="4"/>
  <c r="J12" i="4"/>
  <c r="Q12" i="4"/>
  <c r="N12" i="4"/>
  <c r="F74" i="2"/>
  <c r="D74" i="2"/>
  <c r="E71" i="2"/>
  <c r="E72" i="2"/>
  <c r="C74" i="2"/>
  <c r="E74" i="2"/>
  <c r="F71" i="2"/>
  <c r="F72" i="2"/>
  <c r="C71" i="2"/>
  <c r="C72" i="2"/>
  <c r="D71" i="2"/>
  <c r="D72" i="2"/>
  <c r="G72" i="2"/>
  <c r="G71" i="2"/>
  <c r="L40" i="6"/>
  <c r="G12" i="3"/>
  <c r="G25" i="3" s="1"/>
  <c r="G29" i="3" s="1"/>
  <c r="G37" i="3" s="1"/>
  <c r="G41" i="3" s="1"/>
  <c r="D12" i="3"/>
  <c r="D25" i="3" s="1"/>
  <c r="D29" i="3" s="1"/>
  <c r="D37" i="3" s="1"/>
  <c r="D41" i="3" s="1"/>
  <c r="F12" i="3"/>
  <c r="F25" i="3" s="1"/>
  <c r="F29" i="3" s="1"/>
  <c r="F37" i="3" s="1"/>
  <c r="F41" i="3" s="1"/>
  <c r="M10" i="8"/>
  <c r="M13" i="8" s="1"/>
  <c r="N48" i="8"/>
  <c r="N51" i="8" s="1"/>
  <c r="M55" i="8"/>
  <c r="N27" i="8"/>
  <c r="N30" i="8" s="1"/>
  <c r="M34" i="8"/>
  <c r="M16" i="8"/>
  <c r="M19" i="8" s="1"/>
  <c r="L23" i="8"/>
  <c r="L25" i="6"/>
  <c r="L19" i="6"/>
  <c r="L16" i="6"/>
  <c r="L28" i="6"/>
  <c r="M26" i="4"/>
  <c r="F36" i="2"/>
  <c r="G66" i="2"/>
  <c r="F66" i="2"/>
  <c r="G36" i="2"/>
  <c r="D66" i="2"/>
  <c r="E66" i="2"/>
  <c r="E36" i="2"/>
  <c r="C26" i="1"/>
  <c r="D36" i="2"/>
  <c r="C66" i="2"/>
  <c r="C36" i="2"/>
  <c r="H15" i="4" l="1"/>
  <c r="H17" i="4"/>
  <c r="H19" i="4"/>
  <c r="L110" i="8"/>
  <c r="L14" i="11" s="1"/>
  <c r="L52" i="12" s="1"/>
  <c r="L14" i="16" s="1"/>
  <c r="C30" i="1"/>
  <c r="C76" i="2"/>
  <c r="C48" i="1"/>
  <c r="G76" i="2"/>
  <c r="G48" i="1"/>
  <c r="G30" i="1"/>
  <c r="E76" i="2"/>
  <c r="E48" i="1"/>
  <c r="E30" i="1"/>
  <c r="D76" i="2"/>
  <c r="D48" i="1"/>
  <c r="D30" i="1"/>
  <c r="F48" i="1"/>
  <c r="F76" i="2"/>
  <c r="F30" i="1"/>
  <c r="I11" i="4"/>
  <c r="I13" i="4" s="1"/>
  <c r="C53" i="1"/>
  <c r="C52" i="1"/>
  <c r="E52" i="1"/>
  <c r="E53" i="1"/>
  <c r="D52" i="1"/>
  <c r="D53" i="1"/>
  <c r="F52" i="1"/>
  <c r="F53" i="1"/>
  <c r="G53" i="1"/>
  <c r="G52" i="1"/>
  <c r="M40" i="6"/>
  <c r="N10" i="8"/>
  <c r="N13" i="8" s="1"/>
  <c r="E88" i="3"/>
  <c r="E90" i="3"/>
  <c r="E97" i="3"/>
  <c r="E81" i="3"/>
  <c r="E72" i="3"/>
  <c r="E47" i="3"/>
  <c r="E51" i="3"/>
  <c r="E58" i="3"/>
  <c r="E62" i="3"/>
  <c r="E68" i="3"/>
  <c r="E46" i="3"/>
  <c r="E87" i="3"/>
  <c r="E54" i="3"/>
  <c r="E82" i="3"/>
  <c r="E89" i="3"/>
  <c r="E91" i="3"/>
  <c r="E73" i="3"/>
  <c r="E48" i="3"/>
  <c r="E52" i="3"/>
  <c r="E59" i="3"/>
  <c r="E63" i="3"/>
  <c r="E93" i="3"/>
  <c r="E74" i="3"/>
  <c r="E50" i="3"/>
  <c r="E83" i="3"/>
  <c r="E92" i="3"/>
  <c r="E49" i="3"/>
  <c r="E53" i="3"/>
  <c r="E60" i="3"/>
  <c r="E64" i="3"/>
  <c r="E61" i="3"/>
  <c r="E65" i="3"/>
  <c r="D82" i="3"/>
  <c r="D89" i="3"/>
  <c r="D91" i="3"/>
  <c r="D73" i="3"/>
  <c r="D48" i="3"/>
  <c r="D52" i="3"/>
  <c r="D59" i="3"/>
  <c r="D63" i="3"/>
  <c r="D97" i="3"/>
  <c r="D72" i="3"/>
  <c r="D51" i="3"/>
  <c r="D62" i="3"/>
  <c r="D46" i="3"/>
  <c r="D83" i="3"/>
  <c r="D92" i="3"/>
  <c r="D49" i="3"/>
  <c r="D53" i="3"/>
  <c r="D60" i="3"/>
  <c r="D64" i="3"/>
  <c r="D88" i="3"/>
  <c r="D90" i="3"/>
  <c r="D81" i="3"/>
  <c r="D47" i="3"/>
  <c r="D58" i="3"/>
  <c r="D68" i="3"/>
  <c r="D87" i="3"/>
  <c r="D93" i="3"/>
  <c r="D74" i="3"/>
  <c r="D50" i="3"/>
  <c r="D54" i="3"/>
  <c r="D61" i="3"/>
  <c r="D65" i="3"/>
  <c r="C83" i="3"/>
  <c r="C92" i="3"/>
  <c r="C49" i="3"/>
  <c r="C53" i="3"/>
  <c r="C60" i="3"/>
  <c r="C64" i="3"/>
  <c r="C89" i="3"/>
  <c r="C81" i="3"/>
  <c r="C87" i="3"/>
  <c r="C93" i="3"/>
  <c r="C74" i="3"/>
  <c r="C50" i="3"/>
  <c r="C54" i="3"/>
  <c r="C61" i="3"/>
  <c r="C65" i="3"/>
  <c r="C82" i="3"/>
  <c r="C91" i="3"/>
  <c r="C73" i="3"/>
  <c r="C48" i="3"/>
  <c r="C63" i="3"/>
  <c r="C88" i="3"/>
  <c r="C90" i="3"/>
  <c r="C97" i="3"/>
  <c r="C72" i="3"/>
  <c r="C47" i="3"/>
  <c r="C51" i="3"/>
  <c r="C58" i="3"/>
  <c r="C62" i="3"/>
  <c r="C68" i="3"/>
  <c r="C52" i="3"/>
  <c r="C59" i="3"/>
  <c r="C46" i="3"/>
  <c r="F87" i="3"/>
  <c r="F93" i="3"/>
  <c r="F74" i="3"/>
  <c r="F50" i="3"/>
  <c r="F54" i="3"/>
  <c r="F61" i="3"/>
  <c r="F65" i="3"/>
  <c r="F64" i="3"/>
  <c r="F88" i="3"/>
  <c r="F90" i="3"/>
  <c r="F97" i="3"/>
  <c r="F81" i="3"/>
  <c r="F72" i="3"/>
  <c r="F47" i="3"/>
  <c r="F51" i="3"/>
  <c r="F58" i="3"/>
  <c r="F62" i="3"/>
  <c r="F68" i="3"/>
  <c r="F46" i="3"/>
  <c r="F53" i="3"/>
  <c r="F60" i="3"/>
  <c r="F82" i="3"/>
  <c r="F89" i="3"/>
  <c r="F91" i="3"/>
  <c r="F73" i="3"/>
  <c r="F48" i="3"/>
  <c r="F52" i="3"/>
  <c r="F59" i="3"/>
  <c r="F63" i="3"/>
  <c r="F83" i="3"/>
  <c r="F92" i="3"/>
  <c r="F49" i="3"/>
  <c r="G83" i="3"/>
  <c r="G92" i="3"/>
  <c r="G49" i="3"/>
  <c r="G53" i="3"/>
  <c r="G60" i="3"/>
  <c r="G64" i="3"/>
  <c r="G82" i="3"/>
  <c r="G91" i="3"/>
  <c r="G73" i="3"/>
  <c r="G48" i="3"/>
  <c r="G52" i="3"/>
  <c r="G59" i="3"/>
  <c r="G87" i="3"/>
  <c r="G93" i="3"/>
  <c r="G74" i="3"/>
  <c r="G50" i="3"/>
  <c r="G54" i="3"/>
  <c r="G61" i="3"/>
  <c r="G65" i="3"/>
  <c r="G89" i="3"/>
  <c r="G63" i="3"/>
  <c r="G88" i="3"/>
  <c r="G90" i="3"/>
  <c r="G97" i="3"/>
  <c r="G81" i="3"/>
  <c r="G72" i="3"/>
  <c r="G47" i="3"/>
  <c r="G51" i="3"/>
  <c r="G58" i="3"/>
  <c r="G62" i="3"/>
  <c r="G68" i="3"/>
  <c r="G46" i="3"/>
  <c r="O27" i="8"/>
  <c r="O30" i="8" s="1"/>
  <c r="N34" i="8"/>
  <c r="N16" i="8"/>
  <c r="N19" i="8" s="1"/>
  <c r="M23" i="8"/>
  <c r="O48" i="8"/>
  <c r="O51" i="8" s="1"/>
  <c r="N55" i="8"/>
  <c r="M16" i="6"/>
  <c r="M19" i="6"/>
  <c r="M28" i="6"/>
  <c r="M25" i="6"/>
  <c r="N26" i="4"/>
  <c r="H21" i="4" l="1"/>
  <c r="H15" i="7" s="1"/>
  <c r="H22" i="7" s="1"/>
  <c r="I15" i="4"/>
  <c r="I17" i="4"/>
  <c r="I19" i="4"/>
  <c r="L139" i="8"/>
  <c r="L144" i="8" s="1"/>
  <c r="L149" i="8" s="1"/>
  <c r="M110" i="8"/>
  <c r="M14" i="11" s="1"/>
  <c r="M52" i="12" s="1"/>
  <c r="M14" i="16" s="1"/>
  <c r="E49" i="1"/>
  <c r="E75" i="2"/>
  <c r="E38" i="1"/>
  <c r="D75" i="2"/>
  <c r="D49" i="1"/>
  <c r="D38" i="1"/>
  <c r="G49" i="1"/>
  <c r="G75" i="2"/>
  <c r="G38" i="1"/>
  <c r="C38" i="1"/>
  <c r="C49" i="1"/>
  <c r="C75" i="2"/>
  <c r="F49" i="1"/>
  <c r="F75" i="2"/>
  <c r="F38" i="1"/>
  <c r="H36" i="10"/>
  <c r="H29" i="12" s="1"/>
  <c r="H48" i="12" s="1"/>
  <c r="J11" i="4"/>
  <c r="J13" i="4" s="1"/>
  <c r="N40" i="6"/>
  <c r="O10" i="8"/>
  <c r="O13" i="8" s="1"/>
  <c r="G56" i="3"/>
  <c r="D95" i="3"/>
  <c r="D85" i="3"/>
  <c r="C56" i="3"/>
  <c r="C76" i="3"/>
  <c r="C95" i="3"/>
  <c r="G76" i="3"/>
  <c r="F76" i="3"/>
  <c r="D76" i="3"/>
  <c r="E95" i="3"/>
  <c r="E67" i="3"/>
  <c r="E85" i="3"/>
  <c r="G67" i="3"/>
  <c r="G70" i="3" s="1"/>
  <c r="G85" i="3"/>
  <c r="F67" i="3"/>
  <c r="F85" i="3"/>
  <c r="F95" i="3"/>
  <c r="D67" i="3"/>
  <c r="D56" i="3"/>
  <c r="E56" i="3"/>
  <c r="G95" i="3"/>
  <c r="F56" i="3"/>
  <c r="C67" i="3"/>
  <c r="C85" i="3"/>
  <c r="E76" i="3"/>
  <c r="O55" i="8"/>
  <c r="P48" i="8"/>
  <c r="P51" i="8" s="1"/>
  <c r="O34" i="8"/>
  <c r="P27" i="8"/>
  <c r="P30" i="8" s="1"/>
  <c r="O16" i="8"/>
  <c r="O19" i="8" s="1"/>
  <c r="N23" i="8"/>
  <c r="N19" i="6"/>
  <c r="N25" i="6"/>
  <c r="N28" i="6"/>
  <c r="N16" i="6"/>
  <c r="O26" i="4"/>
  <c r="H10" i="9" l="1"/>
  <c r="H28" i="9" s="1"/>
  <c r="H29" i="11" s="1"/>
  <c r="H38" i="12" s="1"/>
  <c r="H10" i="10"/>
  <c r="H12" i="10" s="1"/>
  <c r="H22" i="4"/>
  <c r="H25" i="4"/>
  <c r="H34" i="10" s="1"/>
  <c r="H28" i="12" s="1"/>
  <c r="H47" i="12" s="1"/>
  <c r="H11" i="7"/>
  <c r="H20" i="7" s="1"/>
  <c r="H24" i="7" s="1"/>
  <c r="I21" i="4"/>
  <c r="I15" i="7" s="1"/>
  <c r="I22" i="7" s="1"/>
  <c r="H10" i="6"/>
  <c r="H21" i="6" s="1"/>
  <c r="H17" i="10" s="1"/>
  <c r="J15" i="4"/>
  <c r="J17" i="4"/>
  <c r="J19" i="4"/>
  <c r="H30" i="6"/>
  <c r="H20" i="10" s="1"/>
  <c r="H55" i="13"/>
  <c r="I36" i="10"/>
  <c r="I29" i="12" s="1"/>
  <c r="I48" i="12" s="1"/>
  <c r="H25" i="9"/>
  <c r="H28" i="11" s="1"/>
  <c r="H37" i="12" s="1"/>
  <c r="H18" i="9"/>
  <c r="H18" i="11" s="1"/>
  <c r="H55" i="12" s="1"/>
  <c r="N110" i="8"/>
  <c r="N14" i="11" s="1"/>
  <c r="N52" i="12" s="1"/>
  <c r="N14" i="16" s="1"/>
  <c r="M139" i="8"/>
  <c r="M144" i="8" s="1"/>
  <c r="M149" i="8" s="1"/>
  <c r="C42" i="6"/>
  <c r="C50" i="1"/>
  <c r="D42" i="1"/>
  <c r="D42" i="6"/>
  <c r="D11" i="16" s="1"/>
  <c r="G42" i="1"/>
  <c r="G42" i="6"/>
  <c r="F42" i="1"/>
  <c r="F42" i="6"/>
  <c r="F11" i="16" s="1"/>
  <c r="E42" i="1"/>
  <c r="E42" i="6"/>
  <c r="E11" i="16" s="1"/>
  <c r="H59" i="9"/>
  <c r="H60" i="11" s="1"/>
  <c r="H24" i="12" s="1"/>
  <c r="H34" i="9"/>
  <c r="H31" i="11" s="1"/>
  <c r="H40" i="12" s="1"/>
  <c r="H56" i="9"/>
  <c r="H59" i="11" s="1"/>
  <c r="H23" i="12" s="1"/>
  <c r="H31" i="9"/>
  <c r="H30" i="11" s="1"/>
  <c r="H39" i="12" s="1"/>
  <c r="K11" i="4"/>
  <c r="K13" i="4" s="1"/>
  <c r="H50" i="9"/>
  <c r="H57" i="11" s="1"/>
  <c r="H21" i="12" s="1"/>
  <c r="H13" i="9"/>
  <c r="H11" i="11" s="1"/>
  <c r="H50" i="12" s="1"/>
  <c r="C70" i="3"/>
  <c r="C99" i="3"/>
  <c r="O40" i="6"/>
  <c r="P10" i="8"/>
  <c r="P13" i="8" s="1"/>
  <c r="F70" i="3"/>
  <c r="D99" i="3"/>
  <c r="E70" i="3"/>
  <c r="E99" i="3"/>
  <c r="F99" i="3"/>
  <c r="D70" i="3"/>
  <c r="G99" i="3"/>
  <c r="P16" i="8"/>
  <c r="P19" i="8" s="1"/>
  <c r="O23" i="8"/>
  <c r="O110" i="8" s="1"/>
  <c r="O14" i="11" s="1"/>
  <c r="O52" i="12" s="1"/>
  <c r="O14" i="16" s="1"/>
  <c r="P34" i="8"/>
  <c r="Q27" i="8"/>
  <c r="Q30" i="8" s="1"/>
  <c r="Q34" i="8" s="1"/>
  <c r="P55" i="8"/>
  <c r="Q48" i="8"/>
  <c r="Q51" i="8" s="1"/>
  <c r="Q55" i="8" s="1"/>
  <c r="O28" i="6"/>
  <c r="O19" i="6"/>
  <c r="O16" i="6"/>
  <c r="O25" i="6"/>
  <c r="P26" i="4"/>
  <c r="H53" i="9" l="1"/>
  <c r="H58" i="11" s="1"/>
  <c r="H39" i="6" s="1"/>
  <c r="H32" i="10" s="1"/>
  <c r="H15" i="12" s="1"/>
  <c r="H43" i="9"/>
  <c r="H50" i="11" s="1"/>
  <c r="H65" i="12" s="1"/>
  <c r="H40" i="9"/>
  <c r="H49" i="11" s="1"/>
  <c r="H64" i="12" s="1"/>
  <c r="H22" i="9"/>
  <c r="H25" i="11" s="1"/>
  <c r="H34" i="12" s="1"/>
  <c r="H47" i="9"/>
  <c r="H55" i="11" s="1"/>
  <c r="H19" i="12" s="1"/>
  <c r="H37" i="9"/>
  <c r="H48" i="11" s="1"/>
  <c r="H63" i="12" s="1"/>
  <c r="H15" i="9"/>
  <c r="H12" i="11" s="1"/>
  <c r="H51" i="12" s="1"/>
  <c r="H58" i="12" s="1"/>
  <c r="H36" i="6"/>
  <c r="H22" i="10" s="1"/>
  <c r="H12" i="6"/>
  <c r="H14" i="10" s="1"/>
  <c r="H42" i="6"/>
  <c r="G11" i="16"/>
  <c r="I22" i="4"/>
  <c r="I10" i="10"/>
  <c r="I12" i="10" s="1"/>
  <c r="I10" i="9"/>
  <c r="I56" i="9" s="1"/>
  <c r="I59" i="11" s="1"/>
  <c r="I23" i="12" s="1"/>
  <c r="I25" i="4"/>
  <c r="I34" i="10" s="1"/>
  <c r="I28" i="12" s="1"/>
  <c r="I47" i="12" s="1"/>
  <c r="I10" i="6"/>
  <c r="I21" i="6" s="1"/>
  <c r="I17" i="10" s="1"/>
  <c r="H15" i="6"/>
  <c r="H15" i="10" s="1"/>
  <c r="H24" i="6"/>
  <c r="H19" i="10" s="1"/>
  <c r="H33" i="6"/>
  <c r="H21" i="10" s="1"/>
  <c r="H18" i="6"/>
  <c r="H16" i="10" s="1"/>
  <c r="H27" i="6"/>
  <c r="H18" i="10" s="1"/>
  <c r="I11" i="7"/>
  <c r="I20" i="7" s="1"/>
  <c r="I24" i="7" s="1"/>
  <c r="J21" i="4"/>
  <c r="J11" i="7" s="1"/>
  <c r="J20" i="7" s="1"/>
  <c r="K15" i="4"/>
  <c r="K17" i="4"/>
  <c r="K19" i="4"/>
  <c r="I55" i="13"/>
  <c r="H53" i="13"/>
  <c r="H27" i="11"/>
  <c r="H36" i="12" s="1"/>
  <c r="I28" i="9"/>
  <c r="I29" i="11" s="1"/>
  <c r="I38" i="12" s="1"/>
  <c r="I13" i="9"/>
  <c r="I11" i="11" s="1"/>
  <c r="I50" i="12" s="1"/>
  <c r="O139" i="8"/>
  <c r="N139" i="8"/>
  <c r="N144" i="8" s="1"/>
  <c r="N149" i="8" s="1"/>
  <c r="H52" i="11"/>
  <c r="H21" i="11"/>
  <c r="F50" i="1"/>
  <c r="F54" i="1"/>
  <c r="F51" i="1"/>
  <c r="D50" i="1"/>
  <c r="D54" i="1"/>
  <c r="D51" i="1"/>
  <c r="E50" i="1"/>
  <c r="E54" i="1"/>
  <c r="E51" i="1"/>
  <c r="G50" i="1"/>
  <c r="G54" i="1"/>
  <c r="G51" i="1"/>
  <c r="L11" i="4"/>
  <c r="L13" i="4" s="1"/>
  <c r="J36" i="10"/>
  <c r="J29" i="12" s="1"/>
  <c r="J48" i="12" s="1"/>
  <c r="H71" i="12"/>
  <c r="P40" i="6"/>
  <c r="Q10" i="8"/>
  <c r="Q13" i="8" s="1"/>
  <c r="H56" i="11"/>
  <c r="H26" i="11"/>
  <c r="H35" i="12" s="1"/>
  <c r="Q16" i="8"/>
  <c r="Q19" i="8" s="1"/>
  <c r="Q23" i="8" s="1"/>
  <c r="P23" i="8"/>
  <c r="P110" i="8" s="1"/>
  <c r="P14" i="11" s="1"/>
  <c r="P52" i="12" s="1"/>
  <c r="P14" i="16" s="1"/>
  <c r="P16" i="6"/>
  <c r="P28" i="6"/>
  <c r="P25" i="6"/>
  <c r="P19" i="6"/>
  <c r="Q26" i="4"/>
  <c r="I33" i="6" l="1"/>
  <c r="I21" i="10" s="1"/>
  <c r="I43" i="9"/>
  <c r="I50" i="11" s="1"/>
  <c r="I65" i="12" s="1"/>
  <c r="H22" i="12"/>
  <c r="J15" i="7"/>
  <c r="J22" i="7" s="1"/>
  <c r="J24" i="7" s="1"/>
  <c r="I34" i="9"/>
  <c r="I31" i="11" s="1"/>
  <c r="I40" i="12" s="1"/>
  <c r="I50" i="9"/>
  <c r="I57" i="11" s="1"/>
  <c r="I21" i="12" s="1"/>
  <c r="H24" i="10"/>
  <c r="H26" i="10" s="1"/>
  <c r="H30" i="10" s="1"/>
  <c r="H38" i="10" s="1"/>
  <c r="J10" i="6"/>
  <c r="J12" i="6" s="1"/>
  <c r="J14" i="10" s="1"/>
  <c r="I53" i="9"/>
  <c r="I58" i="11" s="1"/>
  <c r="I22" i="12" s="1"/>
  <c r="I18" i="9"/>
  <c r="I18" i="11" s="1"/>
  <c r="I55" i="12" s="1"/>
  <c r="I36" i="6"/>
  <c r="I22" i="10" s="1"/>
  <c r="I12" i="6"/>
  <c r="I14" i="10" s="1"/>
  <c r="I30" i="6"/>
  <c r="I20" i="10" s="1"/>
  <c r="I15" i="6"/>
  <c r="I15" i="10" s="1"/>
  <c r="I24" i="6"/>
  <c r="I19" i="10" s="1"/>
  <c r="I18" i="6"/>
  <c r="I16" i="10" s="1"/>
  <c r="I27" i="6"/>
  <c r="I18" i="10" s="1"/>
  <c r="C33" i="16"/>
  <c r="E33" i="16" s="1"/>
  <c r="H11" i="16"/>
  <c r="I42" i="6"/>
  <c r="I22" i="9"/>
  <c r="I25" i="11" s="1"/>
  <c r="I34" i="12" s="1"/>
  <c r="I37" i="9"/>
  <c r="I48" i="11" s="1"/>
  <c r="I63" i="12" s="1"/>
  <c r="I31" i="9"/>
  <c r="I30" i="11" s="1"/>
  <c r="I39" i="12" s="1"/>
  <c r="I15" i="9"/>
  <c r="I12" i="11" s="1"/>
  <c r="I51" i="12" s="1"/>
  <c r="I47" i="9"/>
  <c r="I55" i="11" s="1"/>
  <c r="I19" i="12" s="1"/>
  <c r="I59" i="9"/>
  <c r="I60" i="11" s="1"/>
  <c r="I24" i="12" s="1"/>
  <c r="I25" i="9"/>
  <c r="I28" i="11" s="1"/>
  <c r="I37" i="12" s="1"/>
  <c r="I40" i="9"/>
  <c r="I49" i="11" s="1"/>
  <c r="I64" i="12" s="1"/>
  <c r="J10" i="10"/>
  <c r="J12" i="10" s="1"/>
  <c r="J22" i="4"/>
  <c r="J25" i="4"/>
  <c r="J34" i="10" s="1"/>
  <c r="J28" i="12" s="1"/>
  <c r="J47" i="12" s="1"/>
  <c r="K21" i="4"/>
  <c r="K15" i="7" s="1"/>
  <c r="K22" i="7" s="1"/>
  <c r="K55" i="13" s="1"/>
  <c r="J10" i="9"/>
  <c r="J31" i="9" s="1"/>
  <c r="J30" i="11" s="1"/>
  <c r="L15" i="4"/>
  <c r="L17" i="4"/>
  <c r="L19" i="4"/>
  <c r="J40" i="9"/>
  <c r="J49" i="11" s="1"/>
  <c r="J53" i="13"/>
  <c r="I53" i="13"/>
  <c r="I27" i="11"/>
  <c r="I36" i="12" s="1"/>
  <c r="I39" i="6"/>
  <c r="I32" i="10" s="1"/>
  <c r="I15" i="12" s="1"/>
  <c r="O144" i="8"/>
  <c r="O149" i="8" s="1"/>
  <c r="P139" i="8"/>
  <c r="P144" i="8" s="1"/>
  <c r="P149" i="8" s="1"/>
  <c r="Q110" i="8"/>
  <c r="Q14" i="11" s="1"/>
  <c r="Q52" i="12" s="1"/>
  <c r="Q14" i="16" s="1"/>
  <c r="I56" i="11"/>
  <c r="J33" i="6"/>
  <c r="J21" i="10" s="1"/>
  <c r="M11" i="4"/>
  <c r="M13" i="4" s="1"/>
  <c r="K36" i="10"/>
  <c r="K29" i="12" s="1"/>
  <c r="K48" i="12" s="1"/>
  <c r="Q40" i="6"/>
  <c r="H20" i="12"/>
  <c r="H62" i="11"/>
  <c r="H18" i="7"/>
  <c r="H43" i="13" s="1"/>
  <c r="Q25" i="6"/>
  <c r="Q16" i="6"/>
  <c r="Q19" i="6"/>
  <c r="Q28" i="6"/>
  <c r="J15" i="6" l="1"/>
  <c r="J15" i="10" s="1"/>
  <c r="J18" i="6"/>
  <c r="J16" i="10" s="1"/>
  <c r="J55" i="13"/>
  <c r="K25" i="4"/>
  <c r="K34" i="10" s="1"/>
  <c r="K28" i="12" s="1"/>
  <c r="K47" i="12" s="1"/>
  <c r="J21" i="6"/>
  <c r="J17" i="10" s="1"/>
  <c r="I58" i="12"/>
  <c r="J22" i="9"/>
  <c r="J25" i="11" s="1"/>
  <c r="J34" i="12" s="1"/>
  <c r="H15" i="16"/>
  <c r="J30" i="6"/>
  <c r="J20" i="10" s="1"/>
  <c r="J36" i="6"/>
  <c r="J22" i="10" s="1"/>
  <c r="J27" i="6"/>
  <c r="J18" i="10" s="1"/>
  <c r="J24" i="6"/>
  <c r="J19" i="10" s="1"/>
  <c r="I52" i="11"/>
  <c r="I24" i="10"/>
  <c r="I26" i="10" s="1"/>
  <c r="I30" i="10" s="1"/>
  <c r="I38" i="10" s="1"/>
  <c r="J42" i="6"/>
  <c r="I11" i="16"/>
  <c r="J64" i="12"/>
  <c r="J39" i="12"/>
  <c r="I21" i="11"/>
  <c r="J50" i="9"/>
  <c r="J57" i="11" s="1"/>
  <c r="J21" i="12" s="1"/>
  <c r="J53" i="9"/>
  <c r="J58" i="11" s="1"/>
  <c r="J39" i="6" s="1"/>
  <c r="J32" i="10" s="1"/>
  <c r="J15" i="12" s="1"/>
  <c r="J47" i="9"/>
  <c r="J55" i="11" s="1"/>
  <c r="J19" i="12" s="1"/>
  <c r="K22" i="4"/>
  <c r="K11" i="7"/>
  <c r="K20" i="7" s="1"/>
  <c r="K53" i="13" s="1"/>
  <c r="J18" i="9"/>
  <c r="J18" i="11" s="1"/>
  <c r="J55" i="12" s="1"/>
  <c r="K10" i="6"/>
  <c r="K10" i="9"/>
  <c r="K56" i="9" s="1"/>
  <c r="K59" i="11" s="1"/>
  <c r="K10" i="10"/>
  <c r="K12" i="10" s="1"/>
  <c r="L21" i="4"/>
  <c r="L11" i="7" s="1"/>
  <c r="L20" i="7" s="1"/>
  <c r="J34" i="9"/>
  <c r="J31" i="11" s="1"/>
  <c r="J40" i="12" s="1"/>
  <c r="J59" i="9"/>
  <c r="J60" i="11" s="1"/>
  <c r="J24" i="12" s="1"/>
  <c r="J13" i="9"/>
  <c r="J11" i="11" s="1"/>
  <c r="J50" i="12" s="1"/>
  <c r="J25" i="9"/>
  <c r="J28" i="11" s="1"/>
  <c r="J37" i="12" s="1"/>
  <c r="J56" i="9"/>
  <c r="J59" i="11" s="1"/>
  <c r="J23" i="12" s="1"/>
  <c r="J28" i="9"/>
  <c r="J29" i="11" s="1"/>
  <c r="J38" i="12" s="1"/>
  <c r="J37" i="9"/>
  <c r="J48" i="11" s="1"/>
  <c r="J63" i="12" s="1"/>
  <c r="J15" i="9"/>
  <c r="J12" i="11" s="1"/>
  <c r="J51" i="12" s="1"/>
  <c r="J43" i="9"/>
  <c r="J50" i="11" s="1"/>
  <c r="J65" i="12" s="1"/>
  <c r="M15" i="4"/>
  <c r="M19" i="4"/>
  <c r="M17" i="4"/>
  <c r="I71" i="12"/>
  <c r="J27" i="11"/>
  <c r="J36" i="12" s="1"/>
  <c r="L36" i="10"/>
  <c r="L29" i="12" s="1"/>
  <c r="L48" i="12" s="1"/>
  <c r="Q139" i="8"/>
  <c r="Q144" i="8" s="1"/>
  <c r="Q149" i="8" s="1"/>
  <c r="I26" i="11"/>
  <c r="I35" i="12" s="1"/>
  <c r="J26" i="11"/>
  <c r="N11" i="4"/>
  <c r="N13" i="4" s="1"/>
  <c r="I20" i="12"/>
  <c r="I15" i="16" s="1"/>
  <c r="I62" i="11"/>
  <c r="J24" i="10" l="1"/>
  <c r="J26" i="10" s="1"/>
  <c r="J30" i="10" s="1"/>
  <c r="K40" i="9"/>
  <c r="K49" i="11" s="1"/>
  <c r="K64" i="12" s="1"/>
  <c r="K50" i="9"/>
  <c r="K57" i="11" s="1"/>
  <c r="K21" i="12" s="1"/>
  <c r="L10" i="9"/>
  <c r="L56" i="9" s="1"/>
  <c r="L59" i="11" s="1"/>
  <c r="L23" i="12" s="1"/>
  <c r="J22" i="12"/>
  <c r="K34" i="9"/>
  <c r="K31" i="11" s="1"/>
  <c r="K40" i="12" s="1"/>
  <c r="K53" i="9"/>
  <c r="K58" i="11" s="1"/>
  <c r="K22" i="12" s="1"/>
  <c r="K18" i="9"/>
  <c r="K18" i="11" s="1"/>
  <c r="K55" i="12" s="1"/>
  <c r="K30" i="6"/>
  <c r="K20" i="10" s="1"/>
  <c r="K12" i="6"/>
  <c r="K14" i="10" s="1"/>
  <c r="K31" i="9"/>
  <c r="K30" i="11" s="1"/>
  <c r="K39" i="12" s="1"/>
  <c r="K47" i="9"/>
  <c r="K55" i="11" s="1"/>
  <c r="K19" i="12" s="1"/>
  <c r="K15" i="6"/>
  <c r="K15" i="10" s="1"/>
  <c r="K33" i="6"/>
  <c r="K21" i="10" s="1"/>
  <c r="K18" i="6"/>
  <c r="K16" i="10" s="1"/>
  <c r="J38" i="10"/>
  <c r="J71" i="12"/>
  <c r="K42" i="6"/>
  <c r="J11" i="16"/>
  <c r="K37" i="9"/>
  <c r="K48" i="11" s="1"/>
  <c r="K63" i="12" s="1"/>
  <c r="K22" i="9"/>
  <c r="K25" i="11" s="1"/>
  <c r="K34" i="12" s="1"/>
  <c r="K25" i="9"/>
  <c r="K28" i="11" s="1"/>
  <c r="K37" i="12" s="1"/>
  <c r="K13" i="9"/>
  <c r="K11" i="11" s="1"/>
  <c r="K50" i="12" s="1"/>
  <c r="K59" i="9"/>
  <c r="K60" i="11" s="1"/>
  <c r="K24" i="12" s="1"/>
  <c r="K43" i="9"/>
  <c r="K50" i="11" s="1"/>
  <c r="K27" i="11"/>
  <c r="K36" i="12" s="1"/>
  <c r="K28" i="9"/>
  <c r="K29" i="11" s="1"/>
  <c r="K38" i="12" s="1"/>
  <c r="K15" i="9"/>
  <c r="K12" i="11" s="1"/>
  <c r="K51" i="12" s="1"/>
  <c r="K24" i="6"/>
  <c r="K19" i="10" s="1"/>
  <c r="K27" i="6"/>
  <c r="K18" i="10" s="1"/>
  <c r="J58" i="12"/>
  <c r="J52" i="11"/>
  <c r="K65" i="12"/>
  <c r="K21" i="6"/>
  <c r="K17" i="10" s="1"/>
  <c r="K36" i="6"/>
  <c r="K22" i="10" s="1"/>
  <c r="K24" i="7"/>
  <c r="L10" i="10"/>
  <c r="L12" i="10" s="1"/>
  <c r="L15" i="7"/>
  <c r="L22" i="7" s="1"/>
  <c r="L24" i="7" s="1"/>
  <c r="L22" i="4"/>
  <c r="L25" i="4"/>
  <c r="L34" i="10" s="1"/>
  <c r="L28" i="12" s="1"/>
  <c r="L47" i="12" s="1"/>
  <c r="L10" i="6"/>
  <c r="K23" i="12"/>
  <c r="J21" i="11"/>
  <c r="M21" i="4"/>
  <c r="M25" i="4" s="1"/>
  <c r="M34" i="10" s="1"/>
  <c r="M28" i="12" s="1"/>
  <c r="M47" i="12" s="1"/>
  <c r="N15" i="4"/>
  <c r="N19" i="4"/>
  <c r="N17" i="4"/>
  <c r="L53" i="13"/>
  <c r="K39" i="6"/>
  <c r="K32" i="10" s="1"/>
  <c r="K71" i="12" s="1"/>
  <c r="J35" i="12"/>
  <c r="J56" i="11"/>
  <c r="J20" i="12" s="1"/>
  <c r="I18" i="7"/>
  <c r="I43" i="13" s="1"/>
  <c r="L34" i="9"/>
  <c r="L31" i="11" s="1"/>
  <c r="L40" i="12" s="1"/>
  <c r="L43" i="9"/>
  <c r="L50" i="11" s="1"/>
  <c r="L65" i="12" s="1"/>
  <c r="L53" i="9"/>
  <c r="L58" i="11" s="1"/>
  <c r="L22" i="12" s="1"/>
  <c r="M36" i="10"/>
  <c r="M29" i="12" s="1"/>
  <c r="M48" i="12" s="1"/>
  <c r="O11" i="4"/>
  <c r="O13" i="4" s="1"/>
  <c r="J18" i="7"/>
  <c r="J43" i="13" s="1"/>
  <c r="L13" i="9" l="1"/>
  <c r="L11" i="11" s="1"/>
  <c r="L50" i="12" s="1"/>
  <c r="L18" i="9"/>
  <c r="L18" i="11" s="1"/>
  <c r="L55" i="12" s="1"/>
  <c r="L25" i="9"/>
  <c r="L28" i="11" s="1"/>
  <c r="L37" i="12" s="1"/>
  <c r="L28" i="9"/>
  <c r="L29" i="11" s="1"/>
  <c r="L38" i="12" s="1"/>
  <c r="L47" i="9"/>
  <c r="L55" i="11" s="1"/>
  <c r="L19" i="12" s="1"/>
  <c r="K21" i="11"/>
  <c r="N21" i="4"/>
  <c r="L40" i="9"/>
  <c r="L49" i="11" s="1"/>
  <c r="L64" i="12" s="1"/>
  <c r="L31" i="9"/>
  <c r="L30" i="11" s="1"/>
  <c r="L39" i="12" s="1"/>
  <c r="L15" i="9"/>
  <c r="L12" i="11" s="1"/>
  <c r="L51" i="12" s="1"/>
  <c r="K52" i="11"/>
  <c r="L22" i="9"/>
  <c r="L25" i="11" s="1"/>
  <c r="L34" i="12" s="1"/>
  <c r="L59" i="9"/>
  <c r="L60" i="11" s="1"/>
  <c r="L24" i="12" s="1"/>
  <c r="L50" i="9"/>
  <c r="L57" i="11" s="1"/>
  <c r="L21" i="12" s="1"/>
  <c r="L37" i="9"/>
  <c r="L48" i="11" s="1"/>
  <c r="L63" i="12" s="1"/>
  <c r="J15" i="16"/>
  <c r="L33" i="6"/>
  <c r="L21" i="10" s="1"/>
  <c r="L12" i="6"/>
  <c r="L14" i="10" s="1"/>
  <c r="M22" i="4"/>
  <c r="K24" i="10"/>
  <c r="K26" i="10" s="1"/>
  <c r="K30" i="10" s="1"/>
  <c r="K38" i="10" s="1"/>
  <c r="L36" i="6"/>
  <c r="L22" i="10" s="1"/>
  <c r="L24" i="6"/>
  <c r="L19" i="10" s="1"/>
  <c r="L42" i="6"/>
  <c r="K11" i="16"/>
  <c r="K58" i="12"/>
  <c r="L55" i="13"/>
  <c r="L27" i="6"/>
  <c r="L18" i="10" s="1"/>
  <c r="L30" i="6"/>
  <c r="L20" i="10" s="1"/>
  <c r="M15" i="7"/>
  <c r="M22" i="7" s="1"/>
  <c r="M55" i="13" s="1"/>
  <c r="M11" i="7"/>
  <c r="M20" i="7" s="1"/>
  <c r="M10" i="10"/>
  <c r="M12" i="10" s="1"/>
  <c r="M10" i="6"/>
  <c r="M33" i="6" s="1"/>
  <c r="M21" i="10" s="1"/>
  <c r="M10" i="9"/>
  <c r="M56" i="9" s="1"/>
  <c r="M59" i="11" s="1"/>
  <c r="M23" i="12" s="1"/>
  <c r="L15" i="6"/>
  <c r="L15" i="10" s="1"/>
  <c r="L21" i="6"/>
  <c r="L17" i="10" s="1"/>
  <c r="L18" i="6"/>
  <c r="L16" i="10" s="1"/>
  <c r="O15" i="4"/>
  <c r="O17" i="4"/>
  <c r="O19" i="4"/>
  <c r="N11" i="7"/>
  <c r="N20" i="7" s="1"/>
  <c r="N15" i="7"/>
  <c r="N22" i="7" s="1"/>
  <c r="L26" i="11"/>
  <c r="N10" i="9"/>
  <c r="N31" i="9" s="1"/>
  <c r="N30" i="11" s="1"/>
  <c r="M53" i="13"/>
  <c r="L27" i="11"/>
  <c r="L36" i="12" s="1"/>
  <c r="J62" i="11"/>
  <c r="K15" i="12"/>
  <c r="L58" i="12"/>
  <c r="K26" i="11"/>
  <c r="K35" i="12" s="1"/>
  <c r="L21" i="11"/>
  <c r="L52" i="11"/>
  <c r="L39" i="6"/>
  <c r="L32" i="10" s="1"/>
  <c r="L71" i="12" s="1"/>
  <c r="K56" i="11"/>
  <c r="K62" i="11" s="1"/>
  <c r="N25" i="4"/>
  <c r="N34" i="10" s="1"/>
  <c r="N28" i="12" s="1"/>
  <c r="N47" i="12" s="1"/>
  <c r="N36" i="10"/>
  <c r="N29" i="12" s="1"/>
  <c r="N48" i="12" s="1"/>
  <c r="N10" i="6"/>
  <c r="N22" i="4"/>
  <c r="N10" i="10"/>
  <c r="N12" i="10" s="1"/>
  <c r="P11" i="4"/>
  <c r="P13" i="4" s="1"/>
  <c r="M15" i="9" l="1"/>
  <c r="M12" i="11" s="1"/>
  <c r="M51" i="12" s="1"/>
  <c r="M27" i="6"/>
  <c r="M18" i="10" s="1"/>
  <c r="M36" i="6"/>
  <c r="M22" i="10" s="1"/>
  <c r="N33" i="6"/>
  <c r="N21" i="10" s="1"/>
  <c r="N12" i="6"/>
  <c r="N14" i="10" s="1"/>
  <c r="M40" i="9"/>
  <c r="M49" i="11" s="1"/>
  <c r="M64" i="12" s="1"/>
  <c r="M30" i="6"/>
  <c r="M20" i="10" s="1"/>
  <c r="M12" i="6"/>
  <c r="M14" i="10" s="1"/>
  <c r="L24" i="10"/>
  <c r="L26" i="10" s="1"/>
  <c r="L30" i="10" s="1"/>
  <c r="L38" i="10" s="1"/>
  <c r="M42" i="6"/>
  <c r="L11" i="16"/>
  <c r="M53" i="9"/>
  <c r="M58" i="11" s="1"/>
  <c r="M22" i="12" s="1"/>
  <c r="M24" i="6"/>
  <c r="M19" i="10" s="1"/>
  <c r="M50" i="9"/>
  <c r="M57" i="11" s="1"/>
  <c r="M21" i="12" s="1"/>
  <c r="M24" i="7"/>
  <c r="M18" i="9"/>
  <c r="M18" i="11" s="1"/>
  <c r="M55" i="12" s="1"/>
  <c r="M43" i="9"/>
  <c r="M50" i="11" s="1"/>
  <c r="M65" i="12" s="1"/>
  <c r="M34" i="9"/>
  <c r="M31" i="11" s="1"/>
  <c r="M40" i="12" s="1"/>
  <c r="M59" i="9"/>
  <c r="M60" i="11" s="1"/>
  <c r="M24" i="12" s="1"/>
  <c r="M21" i="6"/>
  <c r="M17" i="10" s="1"/>
  <c r="M15" i="6"/>
  <c r="M15" i="10" s="1"/>
  <c r="M47" i="9"/>
  <c r="M55" i="11" s="1"/>
  <c r="M19" i="12" s="1"/>
  <c r="M28" i="9"/>
  <c r="M29" i="11" s="1"/>
  <c r="M38" i="12" s="1"/>
  <c r="M37" i="9"/>
  <c r="M48" i="11" s="1"/>
  <c r="M63" i="12" s="1"/>
  <c r="M25" i="9"/>
  <c r="M28" i="11" s="1"/>
  <c r="M37" i="12" s="1"/>
  <c r="M18" i="6"/>
  <c r="M16" i="10" s="1"/>
  <c r="M22" i="9"/>
  <c r="M25" i="11" s="1"/>
  <c r="M34" i="12" s="1"/>
  <c r="M31" i="9"/>
  <c r="M30" i="11" s="1"/>
  <c r="M39" i="12" s="1"/>
  <c r="M13" i="9"/>
  <c r="M11" i="11" s="1"/>
  <c r="M50" i="12" s="1"/>
  <c r="O21" i="4"/>
  <c r="O11" i="7" s="1"/>
  <c r="O20" i="7" s="1"/>
  <c r="P15" i="4"/>
  <c r="P17" i="4"/>
  <c r="P19" i="4"/>
  <c r="N28" i="9"/>
  <c r="N29" i="11" s="1"/>
  <c r="N53" i="9"/>
  <c r="N58" i="11" s="1"/>
  <c r="N39" i="6" s="1"/>
  <c r="N32" i="10" s="1"/>
  <c r="N13" i="9"/>
  <c r="N11" i="11" s="1"/>
  <c r="N56" i="9"/>
  <c r="N59" i="11" s="1"/>
  <c r="N23" i="12" s="1"/>
  <c r="N24" i="7"/>
  <c r="N37" i="9"/>
  <c r="N48" i="11" s="1"/>
  <c r="N40" i="9"/>
  <c r="N49" i="11" s="1"/>
  <c r="N64" i="12" s="1"/>
  <c r="N18" i="9"/>
  <c r="N18" i="11" s="1"/>
  <c r="N34" i="9"/>
  <c r="N31" i="11" s="1"/>
  <c r="N40" i="12" s="1"/>
  <c r="N43" i="9"/>
  <c r="N50" i="11" s="1"/>
  <c r="N59" i="9"/>
  <c r="N60" i="11" s="1"/>
  <c r="N15" i="9"/>
  <c r="N12" i="11" s="1"/>
  <c r="N51" i="12" s="1"/>
  <c r="N22" i="9"/>
  <c r="N25" i="11" s="1"/>
  <c r="N25" i="9"/>
  <c r="N28" i="11" s="1"/>
  <c r="N47" i="9"/>
  <c r="N55" i="11" s="1"/>
  <c r="N19" i="12" s="1"/>
  <c r="N50" i="9"/>
  <c r="N57" i="11" s="1"/>
  <c r="N21" i="12" s="1"/>
  <c r="M27" i="11"/>
  <c r="M36" i="12" s="1"/>
  <c r="N55" i="13"/>
  <c r="N53" i="13"/>
  <c r="L35" i="12"/>
  <c r="L15" i="12"/>
  <c r="K20" i="12"/>
  <c r="K15" i="16" s="1"/>
  <c r="M26" i="11"/>
  <c r="M35" i="12" s="1"/>
  <c r="N18" i="6"/>
  <c r="N16" i="10" s="1"/>
  <c r="N24" i="6"/>
  <c r="N19" i="10" s="1"/>
  <c r="N27" i="11"/>
  <c r="K18" i="7"/>
  <c r="K43" i="13" s="1"/>
  <c r="N30" i="6"/>
  <c r="N20" i="10" s="1"/>
  <c r="N21" i="6"/>
  <c r="N17" i="10" s="1"/>
  <c r="N36" i="6"/>
  <c r="N22" i="10" s="1"/>
  <c r="N15" i="6"/>
  <c r="N15" i="10" s="1"/>
  <c r="O36" i="10"/>
  <c r="O29" i="12" s="1"/>
  <c r="O48" i="12" s="1"/>
  <c r="N27" i="6"/>
  <c r="N18" i="10" s="1"/>
  <c r="O25" i="4"/>
  <c r="O34" i="10" s="1"/>
  <c r="O28" i="12" s="1"/>
  <c r="O47" i="12" s="1"/>
  <c r="Q11" i="4"/>
  <c r="Q13" i="4" s="1"/>
  <c r="O22" i="4"/>
  <c r="L56" i="11"/>
  <c r="L18" i="7"/>
  <c r="L43" i="13" s="1"/>
  <c r="N50" i="12" l="1"/>
  <c r="O10" i="10"/>
  <c r="O12" i="10" s="1"/>
  <c r="O10" i="9"/>
  <c r="O31" i="9" s="1"/>
  <c r="O30" i="11" s="1"/>
  <c r="O39" i="12" s="1"/>
  <c r="N65" i="12"/>
  <c r="M52" i="11"/>
  <c r="N37" i="12"/>
  <c r="M58" i="12"/>
  <c r="M24" i="10"/>
  <c r="M26" i="10" s="1"/>
  <c r="M30" i="10" s="1"/>
  <c r="N24" i="12"/>
  <c r="N55" i="12"/>
  <c r="M39" i="6"/>
  <c r="M32" i="10" s="1"/>
  <c r="M71" i="12" s="1"/>
  <c r="N24" i="10"/>
  <c r="N26" i="10" s="1"/>
  <c r="N30" i="10" s="1"/>
  <c r="N38" i="10" s="1"/>
  <c r="N42" i="6"/>
  <c r="M11" i="16"/>
  <c r="N38" i="12"/>
  <c r="N34" i="12"/>
  <c r="O15" i="7"/>
  <c r="O22" i="7" s="1"/>
  <c r="O55" i="13" s="1"/>
  <c r="P21" i="4"/>
  <c r="P10" i="6" s="1"/>
  <c r="M21" i="11"/>
  <c r="N39" i="12"/>
  <c r="O10" i="6"/>
  <c r="Q15" i="4"/>
  <c r="Q17" i="4"/>
  <c r="Q19" i="4"/>
  <c r="N22" i="12"/>
  <c r="N52" i="11"/>
  <c r="N63" i="12"/>
  <c r="N36" i="12"/>
  <c r="N21" i="11"/>
  <c r="N58" i="12"/>
  <c r="P36" i="10"/>
  <c r="P29" i="12" s="1"/>
  <c r="P48" i="12" s="1"/>
  <c r="O13" i="9"/>
  <c r="O11" i="11" s="1"/>
  <c r="O50" i="12" s="1"/>
  <c r="O25" i="9"/>
  <c r="O28" i="11" s="1"/>
  <c r="O37" i="12" s="1"/>
  <c r="O40" i="9"/>
  <c r="O49" i="11" s="1"/>
  <c r="O64" i="12" s="1"/>
  <c r="O18" i="9"/>
  <c r="O18" i="11" s="1"/>
  <c r="O55" i="12" s="1"/>
  <c r="O53" i="9"/>
  <c r="O58" i="11" s="1"/>
  <c r="O22" i="12" s="1"/>
  <c r="O43" i="9"/>
  <c r="O50" i="11" s="1"/>
  <c r="O65" i="12" s="1"/>
  <c r="O50" i="9"/>
  <c r="O57" i="11" s="1"/>
  <c r="O21" i="12" s="1"/>
  <c r="O59" i="9"/>
  <c r="O60" i="11" s="1"/>
  <c r="O24" i="12" s="1"/>
  <c r="O37" i="9"/>
  <c r="O48" i="11" s="1"/>
  <c r="O63" i="12" s="1"/>
  <c r="O22" i="9"/>
  <c r="O25" i="11" s="1"/>
  <c r="O34" i="12" s="1"/>
  <c r="O15" i="9"/>
  <c r="O12" i="11" s="1"/>
  <c r="O51" i="12" s="1"/>
  <c r="O34" i="9"/>
  <c r="O31" i="11" s="1"/>
  <c r="O40" i="12" s="1"/>
  <c r="O28" i="9"/>
  <c r="O29" i="11" s="1"/>
  <c r="O38" i="12" s="1"/>
  <c r="O47" i="9"/>
  <c r="O55" i="11" s="1"/>
  <c r="O19" i="12" s="1"/>
  <c r="O56" i="9"/>
  <c r="O59" i="11" s="1"/>
  <c r="O23" i="12" s="1"/>
  <c r="M56" i="11"/>
  <c r="M62" i="11" s="1"/>
  <c r="P10" i="9"/>
  <c r="P31" i="9" s="1"/>
  <c r="P30" i="11" s="1"/>
  <c r="P39" i="12" s="1"/>
  <c r="Q36" i="10"/>
  <c r="Q29" i="12" s="1"/>
  <c r="Q48" i="12" s="1"/>
  <c r="N15" i="12"/>
  <c r="N71" i="12"/>
  <c r="L20" i="12"/>
  <c r="L15" i="16" s="1"/>
  <c r="L62" i="11"/>
  <c r="P10" i="10" l="1"/>
  <c r="P12" i="10" s="1"/>
  <c r="P25" i="4"/>
  <c r="P34" i="10" s="1"/>
  <c r="P28" i="12" s="1"/>
  <c r="P47" i="12" s="1"/>
  <c r="M15" i="12"/>
  <c r="M38" i="10"/>
  <c r="O24" i="7"/>
  <c r="P36" i="6"/>
  <c r="P22" i="10" s="1"/>
  <c r="P12" i="6"/>
  <c r="P14" i="10" s="1"/>
  <c r="O27" i="6"/>
  <c r="O18" i="10" s="1"/>
  <c r="O12" i="6"/>
  <c r="O14" i="10" s="1"/>
  <c r="O42" i="6"/>
  <c r="N11" i="16"/>
  <c r="P15" i="7"/>
  <c r="P22" i="7" s="1"/>
  <c r="P55" i="13" s="1"/>
  <c r="P22" i="4"/>
  <c r="P11" i="7"/>
  <c r="P20" i="7" s="1"/>
  <c r="P53" i="13" s="1"/>
  <c r="O24" i="6"/>
  <c r="O19" i="10" s="1"/>
  <c r="O30" i="6"/>
  <c r="O20" i="10" s="1"/>
  <c r="Q21" i="4"/>
  <c r="Q15" i="7" s="1"/>
  <c r="Q22" i="7" s="1"/>
  <c r="Q55" i="13" s="1"/>
  <c r="O15" i="6"/>
  <c r="O15" i="10" s="1"/>
  <c r="O18" i="6"/>
  <c r="O16" i="10" s="1"/>
  <c r="O21" i="6"/>
  <c r="O17" i="10" s="1"/>
  <c r="O33" i="6"/>
  <c r="O21" i="10" s="1"/>
  <c r="O36" i="6"/>
  <c r="O22" i="10" s="1"/>
  <c r="P21" i="6"/>
  <c r="P17" i="10" s="1"/>
  <c r="P24" i="7"/>
  <c r="O53" i="13"/>
  <c r="O27" i="11"/>
  <c r="O36" i="12" s="1"/>
  <c r="P24" i="6"/>
  <c r="P19" i="10" s="1"/>
  <c r="O39" i="6"/>
  <c r="O32" i="10" s="1"/>
  <c r="O15" i="12" s="1"/>
  <c r="P27" i="6"/>
  <c r="P18" i="10" s="1"/>
  <c r="P30" i="6"/>
  <c r="P20" i="10" s="1"/>
  <c r="P15" i="6"/>
  <c r="P15" i="10" s="1"/>
  <c r="P33" i="6"/>
  <c r="P21" i="10" s="1"/>
  <c r="O52" i="11"/>
  <c r="O58" i="12"/>
  <c r="P50" i="9"/>
  <c r="P57" i="11" s="1"/>
  <c r="P21" i="12" s="1"/>
  <c r="P37" i="9"/>
  <c r="P48" i="11" s="1"/>
  <c r="P63" i="12" s="1"/>
  <c r="O21" i="11"/>
  <c r="P13" i="9"/>
  <c r="P11" i="11" s="1"/>
  <c r="P50" i="12" s="1"/>
  <c r="P56" i="9"/>
  <c r="P59" i="11" s="1"/>
  <c r="P23" i="12" s="1"/>
  <c r="P25" i="9"/>
  <c r="P28" i="11" s="1"/>
  <c r="P37" i="12" s="1"/>
  <c r="M20" i="12"/>
  <c r="M15" i="16" s="1"/>
  <c r="P18" i="6"/>
  <c r="P16" i="10" s="1"/>
  <c r="M18" i="7"/>
  <c r="M43" i="13" s="1"/>
  <c r="P47" i="9"/>
  <c r="P55" i="11" s="1"/>
  <c r="P19" i="12" s="1"/>
  <c r="P18" i="9"/>
  <c r="P18" i="11" s="1"/>
  <c r="P55" i="12" s="1"/>
  <c r="P15" i="9"/>
  <c r="P12" i="11" s="1"/>
  <c r="P51" i="12" s="1"/>
  <c r="P22" i="9"/>
  <c r="P25" i="11" s="1"/>
  <c r="P34" i="12" s="1"/>
  <c r="P28" i="9"/>
  <c r="P29" i="11" s="1"/>
  <c r="P38" i="12" s="1"/>
  <c r="P43" i="9"/>
  <c r="P50" i="11" s="1"/>
  <c r="P65" i="12" s="1"/>
  <c r="P34" i="9"/>
  <c r="P31" i="11" s="1"/>
  <c r="P40" i="12" s="1"/>
  <c r="P40" i="9"/>
  <c r="P49" i="11" s="1"/>
  <c r="P64" i="12" s="1"/>
  <c r="P59" i="9"/>
  <c r="P60" i="11" s="1"/>
  <c r="P24" i="12" s="1"/>
  <c r="P53" i="9"/>
  <c r="P58" i="11" s="1"/>
  <c r="P22" i="12" s="1"/>
  <c r="N56" i="11"/>
  <c r="N26" i="11"/>
  <c r="N35" i="12" s="1"/>
  <c r="O56" i="11"/>
  <c r="O26" i="11"/>
  <c r="O24" i="10" l="1"/>
  <c r="P24" i="10"/>
  <c r="P42" i="6"/>
  <c r="O11" i="16"/>
  <c r="O26" i="10"/>
  <c r="O30" i="10" s="1"/>
  <c r="O38" i="10" s="1"/>
  <c r="Q11" i="7"/>
  <c r="Q10" i="6"/>
  <c r="Q15" i="6" s="1"/>
  <c r="Q15" i="10" s="1"/>
  <c r="Q10" i="9"/>
  <c r="Q25" i="4"/>
  <c r="Q34" i="10" s="1"/>
  <c r="Q28" i="12" s="1"/>
  <c r="Q47" i="12" s="1"/>
  <c r="Q22" i="4"/>
  <c r="Q24" i="6"/>
  <c r="Q19" i="10" s="1"/>
  <c r="Q10" i="10"/>
  <c r="Q12" i="10" s="1"/>
  <c r="O71" i="12"/>
  <c r="P27" i="11"/>
  <c r="P36" i="12" s="1"/>
  <c r="P39" i="6"/>
  <c r="P32" i="10" s="1"/>
  <c r="P15" i="12" s="1"/>
  <c r="P58" i="12"/>
  <c r="P21" i="11"/>
  <c r="N62" i="11"/>
  <c r="N18" i="7"/>
  <c r="N43" i="13" s="1"/>
  <c r="P26" i="10"/>
  <c r="P30" i="10" s="1"/>
  <c r="P52" i="11"/>
  <c r="N20" i="12"/>
  <c r="N15" i="16" s="1"/>
  <c r="O35" i="12"/>
  <c r="O20" i="12"/>
  <c r="O15" i="16" s="1"/>
  <c r="O62" i="11"/>
  <c r="O18" i="7"/>
  <c r="O43" i="13" s="1"/>
  <c r="Q30" i="6" l="1"/>
  <c r="Q20" i="10" s="1"/>
  <c r="Q12" i="6"/>
  <c r="Q14" i="10" s="1"/>
  <c r="Q42" i="6"/>
  <c r="Q11" i="16" s="1"/>
  <c r="P11" i="16"/>
  <c r="Q18" i="6"/>
  <c r="Q16" i="10" s="1"/>
  <c r="Q36" i="6"/>
  <c r="Q22" i="10" s="1"/>
  <c r="Q33" i="6"/>
  <c r="Q21" i="10" s="1"/>
  <c r="Q21" i="6"/>
  <c r="Q17" i="10" s="1"/>
  <c r="Q27" i="6"/>
  <c r="Q18" i="10" s="1"/>
  <c r="Q20" i="7"/>
  <c r="Q27" i="11"/>
  <c r="Q36" i="12" s="1"/>
  <c r="Q31" i="9"/>
  <c r="Q30" i="11" s="1"/>
  <c r="Q39" i="12" s="1"/>
  <c r="Q47" i="9"/>
  <c r="Q55" i="11" s="1"/>
  <c r="Q19" i="12" s="1"/>
  <c r="Q25" i="9"/>
  <c r="Q28" i="11" s="1"/>
  <c r="Q37" i="12" s="1"/>
  <c r="Q40" i="9"/>
  <c r="Q49" i="11" s="1"/>
  <c r="Q64" i="12" s="1"/>
  <c r="Q59" i="9"/>
  <c r="Q60" i="11" s="1"/>
  <c r="Q24" i="12" s="1"/>
  <c r="Q56" i="9"/>
  <c r="Q59" i="11" s="1"/>
  <c r="Q23" i="12" s="1"/>
  <c r="Q53" i="9"/>
  <c r="Q58" i="11" s="1"/>
  <c r="Q37" i="9"/>
  <c r="Q48" i="11" s="1"/>
  <c r="Q34" i="9"/>
  <c r="Q31" i="11" s="1"/>
  <c r="Q40" i="12" s="1"/>
  <c r="Q50" i="9"/>
  <c r="Q57" i="11" s="1"/>
  <c r="Q21" i="12" s="1"/>
  <c r="Q15" i="9"/>
  <c r="Q12" i="11" s="1"/>
  <c r="Q51" i="12" s="1"/>
  <c r="Q43" i="9"/>
  <c r="Q50" i="11" s="1"/>
  <c r="Q65" i="12" s="1"/>
  <c r="Q18" i="9"/>
  <c r="Q18" i="11" s="1"/>
  <c r="Q55" i="12" s="1"/>
  <c r="Q28" i="9"/>
  <c r="Q29" i="11" s="1"/>
  <c r="Q38" i="12" s="1"/>
  <c r="Q22" i="9"/>
  <c r="Q25" i="11" s="1"/>
  <c r="Q34" i="12" s="1"/>
  <c r="Q13" i="9"/>
  <c r="Q11" i="11" s="1"/>
  <c r="P38" i="10"/>
  <c r="P71" i="12"/>
  <c r="P26" i="11"/>
  <c r="P35" i="12" s="1"/>
  <c r="P56" i="11"/>
  <c r="P20" i="12" s="1"/>
  <c r="P15" i="16" s="1"/>
  <c r="Q26" i="11"/>
  <c r="Q56" i="11"/>
  <c r="Q24" i="10" l="1"/>
  <c r="Q26" i="10" s="1"/>
  <c r="Q30" i="10" s="1"/>
  <c r="Q53" i="13"/>
  <c r="Q24" i="7"/>
  <c r="Q21" i="11"/>
  <c r="Q50" i="12"/>
  <c r="Q58" i="12" s="1"/>
  <c r="Q52" i="11"/>
  <c r="Q63" i="12"/>
  <c r="Q39" i="6"/>
  <c r="Q32" i="10" s="1"/>
  <c r="Q22" i="12"/>
  <c r="P18" i="7"/>
  <c r="P43" i="13" s="1"/>
  <c r="Q35" i="12"/>
  <c r="P62" i="11"/>
  <c r="Q18" i="7"/>
  <c r="Q43" i="13" s="1"/>
  <c r="Q62" i="11"/>
  <c r="Q20" i="12"/>
  <c r="Q15" i="16" l="1"/>
  <c r="Q15" i="12"/>
  <c r="Q71" i="12"/>
  <c r="Q38" i="10"/>
  <c r="C11" i="13"/>
  <c r="C30" i="10" l="1"/>
  <c r="C38" i="10" s="1"/>
  <c r="C13" i="13" l="1"/>
  <c r="C34" i="13"/>
  <c r="C17" i="13"/>
  <c r="C15" i="13"/>
  <c r="C42" i="10"/>
  <c r="C45" i="10" l="1"/>
  <c r="C19" i="13"/>
  <c r="C32" i="13"/>
  <c r="C57" i="13"/>
  <c r="C28" i="13"/>
  <c r="F11" i="13"/>
  <c r="M11" i="13"/>
  <c r="E11" i="13"/>
  <c r="Q11" i="13"/>
  <c r="K11" i="13"/>
  <c r="I11" i="13"/>
  <c r="N11" i="13"/>
  <c r="H11" i="13"/>
  <c r="G11" i="13"/>
  <c r="G10" i="16" l="1"/>
  <c r="G12" i="16" s="1"/>
  <c r="G16" i="16" s="1"/>
  <c r="Q10" i="16"/>
  <c r="Q12" i="16" s="1"/>
  <c r="Q16" i="16" s="1"/>
  <c r="N10" i="16"/>
  <c r="N12" i="16" s="1"/>
  <c r="N16" i="16" s="1"/>
  <c r="K13" i="13"/>
  <c r="I10" i="16"/>
  <c r="I12" i="16" s="1"/>
  <c r="I16" i="16" s="1"/>
  <c r="E34" i="13"/>
  <c r="N13" i="13"/>
  <c r="P11" i="13"/>
  <c r="O10" i="16"/>
  <c r="O12" i="16" s="1"/>
  <c r="O16" i="16" s="1"/>
  <c r="L11" i="13"/>
  <c r="G34" i="13"/>
  <c r="J11" i="13"/>
  <c r="O13" i="13"/>
  <c r="O11" i="13"/>
  <c r="D11" i="13"/>
  <c r="E13" i="13"/>
  <c r="C43" i="16" l="1"/>
  <c r="I13" i="13"/>
  <c r="G13" i="13"/>
  <c r="Q13" i="13"/>
  <c r="H10" i="16"/>
  <c r="H12" i="16" s="1"/>
  <c r="H16" i="16" s="1"/>
  <c r="H13" i="13"/>
  <c r="E10" i="16"/>
  <c r="E12" i="16" s="1"/>
  <c r="E16" i="16" s="1"/>
  <c r="K10" i="16"/>
  <c r="K12" i="16" s="1"/>
  <c r="K16" i="16" s="1"/>
  <c r="F10" i="16"/>
  <c r="F12" i="16" s="1"/>
  <c r="F16" i="16" s="1"/>
  <c r="F34" i="13"/>
  <c r="F13" i="13"/>
  <c r="D10" i="16"/>
  <c r="D12" i="16" s="1"/>
  <c r="D16" i="16" s="1"/>
  <c r="D34" i="13"/>
  <c r="D13" i="13"/>
  <c r="K12" i="12"/>
  <c r="K15" i="13"/>
  <c r="K40" i="10"/>
  <c r="K42" i="10" s="1"/>
  <c r="E12" i="12"/>
  <c r="E43" i="12" s="1"/>
  <c r="E24" i="13"/>
  <c r="E26" i="13"/>
  <c r="E15" i="13"/>
  <c r="E17" i="13"/>
  <c r="J10" i="16"/>
  <c r="J12" i="16" s="1"/>
  <c r="J16" i="16" s="1"/>
  <c r="J13" i="13"/>
  <c r="Q12" i="12"/>
  <c r="Q40" i="10"/>
  <c r="Q42" i="10" s="1"/>
  <c r="Q15" i="13"/>
  <c r="I40" i="10"/>
  <c r="I42" i="10" s="1"/>
  <c r="I15" i="13"/>
  <c r="I12" i="12"/>
  <c r="G24" i="13"/>
  <c r="G15" i="13"/>
  <c r="G12" i="12"/>
  <c r="G43" i="12" s="1"/>
  <c r="G17" i="13"/>
  <c r="G26" i="13"/>
  <c r="O15" i="13"/>
  <c r="O12" i="12"/>
  <c r="O40" i="10"/>
  <c r="O42" i="10" s="1"/>
  <c r="P13" i="13"/>
  <c r="P10" i="16"/>
  <c r="P12" i="16" s="1"/>
  <c r="P16" i="16" s="1"/>
  <c r="M13" i="13"/>
  <c r="M10" i="16"/>
  <c r="M12" i="16" s="1"/>
  <c r="M16" i="16" s="1"/>
  <c r="L13" i="13"/>
  <c r="L10" i="16"/>
  <c r="L12" i="16" s="1"/>
  <c r="L16" i="16" s="1"/>
  <c r="N40" i="10"/>
  <c r="N42" i="10" s="1"/>
  <c r="N12" i="12"/>
  <c r="N15" i="13"/>
  <c r="H40" i="10"/>
  <c r="H42" i="10" s="1"/>
  <c r="H15" i="13"/>
  <c r="H12" i="12"/>
  <c r="C48" i="16" l="1"/>
  <c r="K19" i="13"/>
  <c r="K28" i="13"/>
  <c r="N19" i="13"/>
  <c r="N28" i="13"/>
  <c r="I19" i="13"/>
  <c r="I28" i="13"/>
  <c r="J15" i="13"/>
  <c r="J40" i="10"/>
  <c r="J42" i="10" s="1"/>
  <c r="J12" i="12"/>
  <c r="G57" i="13"/>
  <c r="G36" i="13"/>
  <c r="G45" i="10"/>
  <c r="G28" i="13"/>
  <c r="G30" i="13"/>
  <c r="G19" i="13"/>
  <c r="G68" i="12"/>
  <c r="G73" i="12" s="1"/>
  <c r="G75" i="12" s="1"/>
  <c r="G32" i="13"/>
  <c r="M40" i="10"/>
  <c r="M42" i="10" s="1"/>
  <c r="M12" i="12"/>
  <c r="M15" i="13"/>
  <c r="Q17" i="13"/>
  <c r="Q30" i="12"/>
  <c r="Q43" i="12" s="1"/>
  <c r="D15" i="13"/>
  <c r="D17" i="13"/>
  <c r="D12" i="12"/>
  <c r="D43" i="12" s="1"/>
  <c r="D26" i="13"/>
  <c r="D24" i="13"/>
  <c r="F12" i="12"/>
  <c r="F43" i="12" s="1"/>
  <c r="F26" i="13"/>
  <c r="F15" i="13"/>
  <c r="F24" i="13"/>
  <c r="F17" i="13"/>
  <c r="H28" i="13"/>
  <c r="H19" i="13"/>
  <c r="H17" i="13"/>
  <c r="H30" i="12"/>
  <c r="H43" i="12" s="1"/>
  <c r="O28" i="13"/>
  <c r="O19" i="13"/>
  <c r="Q28" i="13"/>
  <c r="Q19" i="13"/>
  <c r="E68" i="12"/>
  <c r="E73" i="12" s="1"/>
  <c r="E75" i="12" s="1"/>
  <c r="E30" i="13"/>
  <c r="E28" i="13"/>
  <c r="E32" i="13"/>
  <c r="E57" i="13"/>
  <c r="E45" i="10"/>
  <c r="E36" i="13"/>
  <c r="E19" i="13"/>
  <c r="N17" i="13"/>
  <c r="N30" i="12"/>
  <c r="N43" i="12" s="1"/>
  <c r="L15" i="13"/>
  <c r="L40" i="10"/>
  <c r="L42" i="10" s="1"/>
  <c r="L12" i="12"/>
  <c r="P40" i="10"/>
  <c r="P42" i="10" s="1"/>
  <c r="P12" i="12"/>
  <c r="P15" i="13"/>
  <c r="O30" i="12"/>
  <c r="O43" i="12" s="1"/>
  <c r="O17" i="13"/>
  <c r="I30" i="12"/>
  <c r="I43" i="12" s="1"/>
  <c r="I17" i="13"/>
  <c r="K30" i="12"/>
  <c r="K43" i="12" s="1"/>
  <c r="K17" i="13"/>
  <c r="C47" i="16" l="1"/>
  <c r="C50" i="16" s="1"/>
  <c r="M28" i="13"/>
  <c r="M19" i="13"/>
  <c r="P30" i="12"/>
  <c r="P43" i="12" s="1"/>
  <c r="P17" i="13"/>
  <c r="F19" i="13"/>
  <c r="F28" i="13"/>
  <c r="F57" i="13"/>
  <c r="F68" i="12"/>
  <c r="F73" i="12" s="1"/>
  <c r="F75" i="12" s="1"/>
  <c r="F45" i="10"/>
  <c r="F30" i="13"/>
  <c r="F36" i="13"/>
  <c r="F32" i="13"/>
  <c r="J28" i="13"/>
  <c r="J19" i="13"/>
  <c r="L30" i="12"/>
  <c r="L43" i="12" s="1"/>
  <c r="L17" i="13"/>
  <c r="D68" i="12"/>
  <c r="D73" i="12" s="1"/>
  <c r="D75" i="12" s="1"/>
  <c r="D77" i="12" s="1"/>
  <c r="D45" i="10"/>
  <c r="D36" i="13"/>
  <c r="D32" i="13"/>
  <c r="D57" i="13"/>
  <c r="D30" i="13"/>
  <c r="D19" i="13"/>
  <c r="D28" i="13"/>
  <c r="J17" i="13"/>
  <c r="J30" i="12"/>
  <c r="J43" i="12" s="1"/>
  <c r="M30" i="12"/>
  <c r="M43" i="12" s="1"/>
  <c r="M17" i="13"/>
  <c r="H45" i="10" l="1"/>
  <c r="E76" i="12"/>
  <c r="E77" i="12" s="1"/>
  <c r="D80" i="12"/>
  <c r="P28" i="13"/>
  <c r="P19" i="13"/>
  <c r="L19" i="13"/>
  <c r="L28" i="13"/>
  <c r="I45" i="10" l="1"/>
  <c r="H44" i="10"/>
  <c r="E80" i="12"/>
  <c r="F76" i="12"/>
  <c r="F77" i="12" s="1"/>
  <c r="I44" i="10" l="1"/>
  <c r="I32" i="13" s="1"/>
  <c r="J45" i="10"/>
  <c r="H41" i="11"/>
  <c r="H32" i="13"/>
  <c r="G76" i="12"/>
  <c r="G77" i="12" s="1"/>
  <c r="F80" i="12"/>
  <c r="H68" i="12" l="1"/>
  <c r="H73" i="12" s="1"/>
  <c r="H75" i="12" s="1"/>
  <c r="I41" i="11"/>
  <c r="H43" i="11"/>
  <c r="H34" i="13"/>
  <c r="K45" i="10"/>
  <c r="J44" i="10"/>
  <c r="J32" i="13" s="1"/>
  <c r="G80" i="12"/>
  <c r="H76" i="12"/>
  <c r="H77" i="12" l="1"/>
  <c r="L45" i="10"/>
  <c r="K44" i="10"/>
  <c r="K32" i="13" s="1"/>
  <c r="H26" i="13"/>
  <c r="H57" i="13"/>
  <c r="H66" i="11"/>
  <c r="H24" i="11" s="1"/>
  <c r="H80" i="12" s="1"/>
  <c r="H30" i="13"/>
  <c r="H48" i="13"/>
  <c r="H36" i="13"/>
  <c r="I34" i="13"/>
  <c r="I68" i="12"/>
  <c r="I73" i="12" s="1"/>
  <c r="I75" i="12" s="1"/>
  <c r="I43" i="11"/>
  <c r="J41" i="11"/>
  <c r="I76" i="12"/>
  <c r="I77" i="12" l="1"/>
  <c r="I30" i="13"/>
  <c r="I26" i="13"/>
  <c r="I57" i="13"/>
  <c r="I66" i="11"/>
  <c r="I24" i="11" s="1"/>
  <c r="I51" i="13" s="1"/>
  <c r="I48" i="13"/>
  <c r="I36" i="13"/>
  <c r="C52" i="16"/>
  <c r="C57" i="16" s="1"/>
  <c r="C61" i="16" s="1"/>
  <c r="H51" i="13"/>
  <c r="H33" i="11"/>
  <c r="L44" i="10"/>
  <c r="L32" i="13" s="1"/>
  <c r="M45" i="10"/>
  <c r="J34" i="13"/>
  <c r="J43" i="11"/>
  <c r="J68" i="12"/>
  <c r="J73" i="12" s="1"/>
  <c r="J75" i="12" s="1"/>
  <c r="K41" i="11"/>
  <c r="J76" i="12"/>
  <c r="I80" i="12" l="1"/>
  <c r="I33" i="11"/>
  <c r="J26" i="13"/>
  <c r="J48" i="13"/>
  <c r="J30" i="13"/>
  <c r="J66" i="11"/>
  <c r="J24" i="11" s="1"/>
  <c r="J33" i="11" s="1"/>
  <c r="J36" i="11" s="1"/>
  <c r="J36" i="13"/>
  <c r="J57" i="13"/>
  <c r="J77" i="12"/>
  <c r="K76" i="12" s="1"/>
  <c r="H41" i="13"/>
  <c r="H36" i="11"/>
  <c r="H39" i="13"/>
  <c r="K68" i="12"/>
  <c r="K73" i="12" s="1"/>
  <c r="K75" i="12" s="1"/>
  <c r="K43" i="11"/>
  <c r="L41" i="11"/>
  <c r="K34" i="13"/>
  <c r="M44" i="10"/>
  <c r="M32" i="13" s="1"/>
  <c r="N45" i="10"/>
  <c r="G69" i="16"/>
  <c r="C65" i="16"/>
  <c r="J41" i="13" l="1"/>
  <c r="K77" i="12"/>
  <c r="J39" i="13"/>
  <c r="J51" i="13"/>
  <c r="J80" i="12"/>
  <c r="I36" i="11"/>
  <c r="I24" i="13" s="1"/>
  <c r="I39" i="13"/>
  <c r="I41" i="13"/>
  <c r="L68" i="12"/>
  <c r="L73" i="12" s="1"/>
  <c r="L75" i="12" s="1"/>
  <c r="L43" i="11"/>
  <c r="M41" i="11"/>
  <c r="L34" i="13"/>
  <c r="O45" i="10"/>
  <c r="N44" i="10"/>
  <c r="N32" i="13" s="1"/>
  <c r="K26" i="13"/>
  <c r="K48" i="13"/>
  <c r="K57" i="13"/>
  <c r="K36" i="13"/>
  <c r="K66" i="11"/>
  <c r="K24" i="11" s="1"/>
  <c r="K51" i="13" s="1"/>
  <c r="H68" i="11"/>
  <c r="H22" i="13"/>
  <c r="H24" i="13"/>
  <c r="H46" i="13"/>
  <c r="K30" i="13"/>
  <c r="J68" i="11"/>
  <c r="L76" i="12"/>
  <c r="J46" i="13"/>
  <c r="K33" i="11" l="1"/>
  <c r="K39" i="13" s="1"/>
  <c r="J22" i="13"/>
  <c r="K80" i="12"/>
  <c r="I22" i="13"/>
  <c r="J24" i="13"/>
  <c r="I68" i="11"/>
  <c r="I46" i="13"/>
  <c r="L26" i="13"/>
  <c r="L48" i="13"/>
  <c r="L66" i="11"/>
  <c r="L24" i="11" s="1"/>
  <c r="L51" i="13" s="1"/>
  <c r="L57" i="13"/>
  <c r="P45" i="10"/>
  <c r="O44" i="10"/>
  <c r="O32" i="13" s="1"/>
  <c r="L36" i="13"/>
  <c r="L77" i="12"/>
  <c r="M76" i="12" s="1"/>
  <c r="L30" i="13"/>
  <c r="N41" i="11"/>
  <c r="M34" i="13"/>
  <c r="M68" i="12"/>
  <c r="M73" i="12" s="1"/>
  <c r="M75" i="12" s="1"/>
  <c r="M43" i="11"/>
  <c r="M36" i="13" s="1"/>
  <c r="K36" i="11"/>
  <c r="K24" i="13" s="1"/>
  <c r="K41" i="13" l="1"/>
  <c r="K46" i="13"/>
  <c r="L33" i="11"/>
  <c r="L39" i="13" s="1"/>
  <c r="L80" i="12"/>
  <c r="M77" i="12"/>
  <c r="N76" i="12" s="1"/>
  <c r="N43" i="11"/>
  <c r="N34" i="13"/>
  <c r="N68" i="12"/>
  <c r="N73" i="12" s="1"/>
  <c r="N75" i="12" s="1"/>
  <c r="O41" i="11"/>
  <c r="M26" i="13"/>
  <c r="M66" i="11"/>
  <c r="M24" i="11" s="1"/>
  <c r="M51" i="13" s="1"/>
  <c r="M57" i="13"/>
  <c r="M48" i="13"/>
  <c r="M30" i="13"/>
  <c r="Q45" i="10"/>
  <c r="Q44" i="10" s="1"/>
  <c r="Q32" i="13" s="1"/>
  <c r="P44" i="10"/>
  <c r="P32" i="13" s="1"/>
  <c r="K68" i="11"/>
  <c r="K22" i="13"/>
  <c r="L41" i="13" l="1"/>
  <c r="L36" i="11"/>
  <c r="L22" i="13" s="1"/>
  <c r="M80" i="12"/>
  <c r="N77" i="12"/>
  <c r="O76" i="12" s="1"/>
  <c r="P41" i="11"/>
  <c r="O34" i="13"/>
  <c r="O68" i="12"/>
  <c r="O73" i="12" s="1"/>
  <c r="O75" i="12" s="1"/>
  <c r="O43" i="11"/>
  <c r="M33" i="11"/>
  <c r="M41" i="13" s="1"/>
  <c r="N36" i="13"/>
  <c r="N57" i="13"/>
  <c r="N26" i="13"/>
  <c r="N66" i="11"/>
  <c r="N24" i="11" s="1"/>
  <c r="N51" i="13" s="1"/>
  <c r="N30" i="13"/>
  <c r="N48" i="13"/>
  <c r="L24" i="13" l="1"/>
  <c r="L46" i="13"/>
  <c r="L68" i="11"/>
  <c r="O77" i="12"/>
  <c r="N33" i="11"/>
  <c r="N36" i="11" s="1"/>
  <c r="N80" i="12"/>
  <c r="O30" i="13"/>
  <c r="O66" i="11"/>
  <c r="O24" i="11" s="1"/>
  <c r="O33" i="11" s="1"/>
  <c r="O39" i="13" s="1"/>
  <c r="O57" i="13"/>
  <c r="O36" i="13"/>
  <c r="O26" i="13"/>
  <c r="O48" i="13"/>
  <c r="M39" i="13"/>
  <c r="M36" i="11"/>
  <c r="P34" i="13"/>
  <c r="P43" i="11"/>
  <c r="Q41" i="11"/>
  <c r="P68" i="12"/>
  <c r="P73" i="12" s="1"/>
  <c r="P75" i="12" s="1"/>
  <c r="O36" i="11" l="1"/>
  <c r="O68" i="11" s="1"/>
  <c r="O80" i="12"/>
  <c r="O41" i="13"/>
  <c r="N24" i="13"/>
  <c r="P76" i="12"/>
  <c r="P77" i="12" s="1"/>
  <c r="Q76" i="12" s="1"/>
  <c r="O51" i="13"/>
  <c r="M24" i="13"/>
  <c r="M22" i="13"/>
  <c r="N41" i="13"/>
  <c r="N39" i="13"/>
  <c r="M46" i="13"/>
  <c r="M68" i="11"/>
  <c r="Q68" i="12"/>
  <c r="Q73" i="12" s="1"/>
  <c r="Q75" i="12" s="1"/>
  <c r="Q43" i="11"/>
  <c r="Q34" i="13"/>
  <c r="P30" i="13"/>
  <c r="P36" i="13"/>
  <c r="P48" i="13"/>
  <c r="P26" i="13"/>
  <c r="P66" i="11"/>
  <c r="P24" i="11" s="1"/>
  <c r="P51" i="13" s="1"/>
  <c r="P57" i="13"/>
  <c r="N46" i="13"/>
  <c r="N22" i="13"/>
  <c r="N68" i="11"/>
  <c r="O46" i="13"/>
  <c r="O24" i="13" l="1"/>
  <c r="O22" i="13"/>
  <c r="Q77" i="12"/>
  <c r="P33" i="11"/>
  <c r="P39" i="13" s="1"/>
  <c r="P80" i="12"/>
  <c r="Q36" i="13"/>
  <c r="Q30" i="13"/>
  <c r="Q48" i="13"/>
  <c r="Q66" i="11"/>
  <c r="Q24" i="11" s="1"/>
  <c r="Q33" i="11" s="1"/>
  <c r="Q36" i="11" s="1"/>
  <c r="Q68" i="11" s="1"/>
  <c r="Q57" i="13"/>
  <c r="Q26" i="13"/>
  <c r="P36" i="11"/>
  <c r="P68" i="11" s="1"/>
  <c r="P41" i="13" l="1"/>
  <c r="P24" i="13"/>
  <c r="Q51" i="13"/>
  <c r="Q46" i="13"/>
  <c r="Q41" i="13"/>
  <c r="Q80" i="12"/>
  <c r="Q39" i="13"/>
  <c r="Q22" i="13"/>
  <c r="P46" i="13"/>
  <c r="P22" i="13"/>
  <c r="Q24" i="13"/>
</calcChain>
</file>

<file path=xl/sharedStrings.xml><?xml version="1.0" encoding="utf-8"?>
<sst xmlns="http://schemas.openxmlformats.org/spreadsheetml/2006/main" count="829" uniqueCount="324">
  <si>
    <t>Net translation/ transaction exchange loss</t>
  </si>
  <si>
    <t>Fees and commission Expense</t>
  </si>
  <si>
    <t>Net loss on fair value changes</t>
  </si>
  <si>
    <t>Impairment on financial instruments</t>
  </si>
  <si>
    <t>Cost of services rendered</t>
  </si>
  <si>
    <t>Employee Benefits Expenses</t>
  </si>
  <si>
    <t>Corporate Social Responsibility Expenses</t>
  </si>
  <si>
    <t>Other Expenses</t>
  </si>
  <si>
    <t>Total Expenses</t>
  </si>
  <si>
    <t>EBITDA</t>
  </si>
  <si>
    <t>Depreciation and amortization expense</t>
  </si>
  <si>
    <t>EBIT</t>
  </si>
  <si>
    <t xml:space="preserve">Finance costs  </t>
  </si>
  <si>
    <t>Other income</t>
  </si>
  <si>
    <t>Total Income</t>
  </si>
  <si>
    <t>Share of Profit/Loss of Joint Venture accounted for using equity method</t>
  </si>
  <si>
    <t>Profit before Tax</t>
  </si>
  <si>
    <t>Total Tax Expense</t>
  </si>
  <si>
    <t>Net Profit</t>
  </si>
  <si>
    <t>ASSETS</t>
  </si>
  <si>
    <t>Cash and cash equivalents</t>
  </si>
  <si>
    <t>Other Bank Balances</t>
  </si>
  <si>
    <t>Trade receivables</t>
  </si>
  <si>
    <t>Derivative financial instruments</t>
  </si>
  <si>
    <t>Loans</t>
  </si>
  <si>
    <t>Investments</t>
  </si>
  <si>
    <t>Other financial assets</t>
  </si>
  <si>
    <t>Current Assets</t>
  </si>
  <si>
    <t>Total Current Assets</t>
  </si>
  <si>
    <t>Current tax assets (net)</t>
  </si>
  <si>
    <t>Deferred tax assets (net)</t>
  </si>
  <si>
    <t>Investment Property</t>
  </si>
  <si>
    <t>Property, Plant &amp; Equipment</t>
  </si>
  <si>
    <t>Capital Work-in-Progress</t>
  </si>
  <si>
    <t>Intangible Assets Under Development</t>
  </si>
  <si>
    <t>Other Intangible Assets</t>
  </si>
  <si>
    <t>Other non-financial assets</t>
  </si>
  <si>
    <t>Investments accounted for using equity method</t>
  </si>
  <si>
    <t>Non-Current Assets</t>
  </si>
  <si>
    <t>Total Non-current assets</t>
  </si>
  <si>
    <t>EQUITY</t>
  </si>
  <si>
    <t>Equity Share Capital</t>
  </si>
  <si>
    <t>Other equity</t>
  </si>
  <si>
    <t>LIABILITIES</t>
  </si>
  <si>
    <t>Trade Payables</t>
  </si>
  <si>
    <t>Debt Securities</t>
  </si>
  <si>
    <t>Borrowings (other than debt securities)</t>
  </si>
  <si>
    <t>Subordinated Liabilities</t>
  </si>
  <si>
    <t>Other financial liabilities</t>
  </si>
  <si>
    <t>Total Non-current liabilities</t>
  </si>
  <si>
    <t>Provisions</t>
  </si>
  <si>
    <t>Other non-financial liabilities</t>
  </si>
  <si>
    <t>Total Current liabilities</t>
  </si>
  <si>
    <t>Non-Current Liabilities</t>
  </si>
  <si>
    <t>Current Liabilities</t>
  </si>
  <si>
    <t>Liabilities directly associated with assets classified as held for sale</t>
  </si>
  <si>
    <t xml:space="preserve">Assets classified as held for sale </t>
  </si>
  <si>
    <t>Total Assets</t>
  </si>
  <si>
    <t>Total equity</t>
  </si>
  <si>
    <t>TOTAL EQUITY AND LIABILITIES</t>
  </si>
  <si>
    <t>Instruments Entirely Equity In Nature</t>
  </si>
  <si>
    <t>Current tax liabilities (net)</t>
  </si>
  <si>
    <t>Audited</t>
  </si>
  <si>
    <t>Particulars</t>
  </si>
  <si>
    <t xml:space="preserve">Total Revenue from Operations </t>
  </si>
  <si>
    <t>Bank Balance Other than above</t>
  </si>
  <si>
    <t>Tax Rate</t>
  </si>
  <si>
    <t>Freehold land</t>
  </si>
  <si>
    <t>Opening Gross Block</t>
  </si>
  <si>
    <t>Additions</t>
  </si>
  <si>
    <t>Disposals / Adjustments</t>
  </si>
  <si>
    <t>Closing Gross Block</t>
  </si>
  <si>
    <t>Buildings</t>
  </si>
  <si>
    <t>Accumulated Depreciation</t>
  </si>
  <si>
    <t>Depreciation for year</t>
  </si>
  <si>
    <t>Net Block</t>
  </si>
  <si>
    <t>Furniture and fittings</t>
  </si>
  <si>
    <t>Right of use Land</t>
  </si>
  <si>
    <t>Vehicles</t>
  </si>
  <si>
    <t>Leasehold Improvements</t>
  </si>
  <si>
    <t>Computer Software</t>
  </si>
  <si>
    <t>Total PPE Net Block</t>
  </si>
  <si>
    <t>Depreciation for PPE</t>
  </si>
  <si>
    <t>Total Fixed Assets - Net Block</t>
  </si>
  <si>
    <t>Increase in Fixed Assets</t>
  </si>
  <si>
    <t>Capital WIP</t>
  </si>
  <si>
    <t>Increase in Capital WIP</t>
  </si>
  <si>
    <t>Total Capex</t>
  </si>
  <si>
    <t>Trade Receivables</t>
  </si>
  <si>
    <t>Inventories</t>
  </si>
  <si>
    <t>Net Working Capital</t>
  </si>
  <si>
    <t>DSO</t>
  </si>
  <si>
    <t>DPO</t>
  </si>
  <si>
    <t>Net Trade Cycle</t>
  </si>
  <si>
    <t>Plant &amp; Equipment</t>
  </si>
  <si>
    <t>Dividend</t>
  </si>
  <si>
    <t>Add</t>
  </si>
  <si>
    <t>Depreciation &amp; Amortization</t>
  </si>
  <si>
    <t>Finance costs</t>
  </si>
  <si>
    <t>Increase/(decrease) in Current Liabilities</t>
  </si>
  <si>
    <t>Less</t>
  </si>
  <si>
    <t>Other Income</t>
  </si>
  <si>
    <t>Share of associates profit</t>
  </si>
  <si>
    <t>Taxes paid</t>
  </si>
  <si>
    <t>Increase/(decrease) in Current Assets</t>
  </si>
  <si>
    <t>Capital Expenditure on PPE,property &amp; Intangibles</t>
  </si>
  <si>
    <t>Increase/(decrease) in Non Current Liabilities</t>
  </si>
  <si>
    <t>less</t>
  </si>
  <si>
    <t>Finance Cost</t>
  </si>
  <si>
    <t>Opening Cash &amp; Cash equivalents</t>
  </si>
  <si>
    <t>Closing Cash &amp; Cash equivalents</t>
  </si>
  <si>
    <t>Profitability Ratios</t>
  </si>
  <si>
    <t>EBITDA Margin</t>
  </si>
  <si>
    <t>Operating Margin</t>
  </si>
  <si>
    <t>Pretax Margin</t>
  </si>
  <si>
    <t>Effective Tax rate</t>
  </si>
  <si>
    <t>Net Margin</t>
  </si>
  <si>
    <t>DuPont/Earning Power</t>
  </si>
  <si>
    <t>Asset Turnover</t>
  </si>
  <si>
    <t>Pre tax ROA</t>
  </si>
  <si>
    <t>Pre Tax ROE</t>
  </si>
  <si>
    <t>Tax Complement</t>
  </si>
  <si>
    <t>ROE</t>
  </si>
  <si>
    <t>Equity Retention</t>
  </si>
  <si>
    <t>Return on Capital Employed</t>
  </si>
  <si>
    <t>Reinvestment Rate</t>
  </si>
  <si>
    <t>Liquidity Ratio</t>
  </si>
  <si>
    <t>Quick ratio</t>
  </si>
  <si>
    <t>Current ratio</t>
  </si>
  <si>
    <t>Cash Cycle (Days)</t>
  </si>
  <si>
    <t>Leverage</t>
  </si>
  <si>
    <t>Asset/Equity</t>
  </si>
  <si>
    <t>Debt/Equity</t>
  </si>
  <si>
    <t>Operating</t>
  </si>
  <si>
    <t>A/R Turnover</t>
  </si>
  <si>
    <t>Avg. A/R Days</t>
  </si>
  <si>
    <t>Avg. A/P Days</t>
  </si>
  <si>
    <t>ROIC</t>
  </si>
  <si>
    <t>Beta Calculation</t>
  </si>
  <si>
    <t>Date</t>
  </si>
  <si>
    <t>Chg%</t>
  </si>
  <si>
    <t>Nifty 50</t>
  </si>
  <si>
    <t>Rec ltd</t>
  </si>
  <si>
    <t>Beta</t>
  </si>
  <si>
    <t>Equity Market Return</t>
  </si>
  <si>
    <t>Price</t>
  </si>
  <si>
    <t>YearFrac</t>
  </si>
  <si>
    <t>Rate</t>
  </si>
  <si>
    <t>Add: Depreciation &amp; Amortization</t>
  </si>
  <si>
    <t>Less: Capex</t>
  </si>
  <si>
    <t>Change in working capital</t>
  </si>
  <si>
    <t>Unlevered FCFF</t>
  </si>
  <si>
    <t>Cost of Equity</t>
  </si>
  <si>
    <t>Risk-free rate (Rf)</t>
  </si>
  <si>
    <t>Market return (Rm)</t>
  </si>
  <si>
    <t>Equity Risk Premium (Rm-Rf)</t>
  </si>
  <si>
    <t>Discount rate (WACC)</t>
  </si>
  <si>
    <t>Weightage</t>
  </si>
  <si>
    <t>WACC</t>
  </si>
  <si>
    <t>Equity</t>
  </si>
  <si>
    <t>Debt (after tax)</t>
  </si>
  <si>
    <t>Market Data</t>
  </si>
  <si>
    <t>Financial Data</t>
  </si>
  <si>
    <t>Valuation</t>
  </si>
  <si>
    <t>Company name</t>
  </si>
  <si>
    <t>Share</t>
  </si>
  <si>
    <t>Market cap</t>
  </si>
  <si>
    <t>Debt</t>
  </si>
  <si>
    <t>Cash</t>
  </si>
  <si>
    <t>EV</t>
  </si>
  <si>
    <t>Sale</t>
  </si>
  <si>
    <t>Earnings</t>
  </si>
  <si>
    <t>EV/Sales</t>
  </si>
  <si>
    <t>EV/EBITDA</t>
  </si>
  <si>
    <t>P/E</t>
  </si>
  <si>
    <t>I R F C</t>
  </si>
  <si>
    <t>Power Fin.Corpn.</t>
  </si>
  <si>
    <t>Indian Renewable</t>
  </si>
  <si>
    <t>IFCI</t>
  </si>
  <si>
    <t>Average</t>
  </si>
  <si>
    <t>Median</t>
  </si>
  <si>
    <t>REC.Ltd</t>
  </si>
  <si>
    <t>Metric</t>
  </si>
  <si>
    <t>Comps</t>
  </si>
  <si>
    <t>Net Debt</t>
  </si>
  <si>
    <t>Equity Value</t>
  </si>
  <si>
    <t>Shares</t>
  </si>
  <si>
    <t>Share Price</t>
  </si>
  <si>
    <t>EV/Revenue</t>
  </si>
  <si>
    <t>Amount</t>
  </si>
  <si>
    <t>No of Outstanding shares</t>
  </si>
  <si>
    <t>Nos</t>
  </si>
  <si>
    <t>Face Value per share</t>
  </si>
  <si>
    <t>Rs.</t>
  </si>
  <si>
    <t>Current Market Price</t>
  </si>
  <si>
    <t>Market Capitalization</t>
  </si>
  <si>
    <t>INR in crs</t>
  </si>
  <si>
    <t>Equity value</t>
  </si>
  <si>
    <t>Debt Value</t>
  </si>
  <si>
    <t>Market value</t>
  </si>
  <si>
    <t>Terminal value</t>
  </si>
  <si>
    <t>Perpetual Growth rate</t>
  </si>
  <si>
    <t>Intrinsic value</t>
  </si>
  <si>
    <t>Sum of PV of cashflows</t>
  </si>
  <si>
    <t>PV of Terminal value</t>
  </si>
  <si>
    <t>Enterprise value</t>
  </si>
  <si>
    <t>Add: Cash &amp; Cash Equivalents</t>
  </si>
  <si>
    <t>Less: Debt</t>
  </si>
  <si>
    <t>Less: Non-controlling interest</t>
  </si>
  <si>
    <t>Less: Preferred stock</t>
  </si>
  <si>
    <t>No of shares outstanding</t>
  </si>
  <si>
    <t>Intrinsic value per share</t>
  </si>
  <si>
    <t>Current Market price</t>
  </si>
  <si>
    <t>Upside/downside potential</t>
  </si>
  <si>
    <t>The effective tax rate has remained relatively raise over the projected period its range from 21.74%  to 23.74%.In the earlier year 2020, the effective tax rate was around 29.27%, indicating a higher tax burden. after that, the effective tax rate is projected to increase, from 21.74% to 23.74%.The consistent effective tax rate suggests a stable tax environment for the company, which is an important factor in its overall financial performance.</t>
  </si>
  <si>
    <t>Interest Income</t>
  </si>
  <si>
    <t>Dividend Income</t>
  </si>
  <si>
    <t>Fees and Commission Income</t>
  </si>
  <si>
    <t>Sale of services</t>
  </si>
  <si>
    <t>Net gain/ (loss) on fair value changes</t>
  </si>
  <si>
    <t>Best Case</t>
  </si>
  <si>
    <t>Base Case</t>
  </si>
  <si>
    <t>Worst Case</t>
  </si>
  <si>
    <t>Scenario For Interest Income</t>
  </si>
  <si>
    <t>Revenue Buildup</t>
  </si>
  <si>
    <t>Fixed Assets Schedule (FAS)</t>
  </si>
  <si>
    <t>BS Items</t>
  </si>
  <si>
    <t>Working Capital</t>
  </si>
  <si>
    <t>Balance Sheet</t>
  </si>
  <si>
    <t>Equity Beta</t>
  </si>
  <si>
    <t>DCF Analysis</t>
  </si>
  <si>
    <t>KPIs</t>
  </si>
  <si>
    <t>Revenue % (y-o-y)</t>
  </si>
  <si>
    <t>GP%</t>
  </si>
  <si>
    <t>EBITDA%</t>
  </si>
  <si>
    <t>EBIT %</t>
  </si>
  <si>
    <t>NP %</t>
  </si>
  <si>
    <t>ROA</t>
  </si>
  <si>
    <t>Assets / Equity</t>
  </si>
  <si>
    <t>Liquidity ratios</t>
  </si>
  <si>
    <t>Solvency ratios</t>
  </si>
  <si>
    <t>Debt-Equity ratio</t>
  </si>
  <si>
    <t>Interest coverage ratio</t>
  </si>
  <si>
    <t>Debt-service coverage ratio</t>
  </si>
  <si>
    <t>Terminal Growth Rate</t>
  </si>
  <si>
    <t>Discount Rate</t>
  </si>
  <si>
    <t>Y -o-Y growth</t>
  </si>
  <si>
    <t>Company Name</t>
  </si>
  <si>
    <t>ISIN Code</t>
  </si>
  <si>
    <t>Sector Name</t>
  </si>
  <si>
    <t>Industry</t>
  </si>
  <si>
    <t>Exchange Name</t>
  </si>
  <si>
    <t>INE020B01018</t>
  </si>
  <si>
    <t>Financial Institution</t>
  </si>
  <si>
    <t>power and energy sector</t>
  </si>
  <si>
    <t>REC LTD</t>
  </si>
  <si>
    <t>Assumptions</t>
  </si>
  <si>
    <t>Company data</t>
  </si>
  <si>
    <t>P&amp;L Input</t>
  </si>
  <si>
    <t>(INR in Crores)</t>
  </si>
  <si>
    <t>Common Sizing</t>
  </si>
  <si>
    <t>Projected</t>
  </si>
  <si>
    <t>Cost Buidup</t>
  </si>
  <si>
    <t>Fixed Assets Schedule</t>
  </si>
  <si>
    <t>Balance Sheet Items</t>
  </si>
  <si>
    <t>Income Statement</t>
  </si>
  <si>
    <t>Cash Flow Statement</t>
  </si>
  <si>
    <t>Check</t>
  </si>
  <si>
    <t>Ratio Analysis</t>
  </si>
  <si>
    <t>Interpretation of Ratios</t>
  </si>
  <si>
    <t>The "Tax Complement" represents the proportion of earnings retained after taxes, calculated as 1−Tax Rate. It reflects how much of the pre-tax earnings are available for reinvestment or distribution.In this sheet, it ranges from 0.81to 0.76, indicating variation in the tax rate's impact across years. Lower values suggest higher tax burdens, while higher values indicate lower effective tax rates. This metric is critical for analyzing how tax policies affect profitability and reinvestment capacity.</t>
  </si>
  <si>
    <t>Comparable Company Analysis</t>
  </si>
  <si>
    <t>Charts</t>
  </si>
  <si>
    <t>The Avg. A/R Days in the image range from 0.88 to 1.44, representing the average number of days the company takes to collect payments from its customers.Lower values (e.g.0.88 days) indicate faster collection of receivables, which supports better cash flow and liquidity.Higher values (e.g.1.44 days) suggest slightly slower collections, but the range is generally low and stable at 1.14 in projected years, indicating strong credit control practices.The relatively stable trend implies consistency in the company's credit and collection processes over time.Reducing Avg. A/R Days indicates enhanced collection efficiency stronger cash flow and potentially more effective credit management practices.</t>
  </si>
  <si>
    <t>The Average Accounts Payable Days have significantly increased from 0.56 days to 0.70 days in audited year after in projection stabilizing at 0.51 days. This trend are constant for payments to suppliers, reflecting improved financial discipline or strategic payment management. The current level suggests a more balanced approach between maintaining liquidity and sustaining strong supplier relationships."</t>
  </si>
  <si>
    <t>Revenue Build up</t>
  </si>
  <si>
    <t>Cost Build Up</t>
  </si>
  <si>
    <t>Right to used Buildings</t>
  </si>
  <si>
    <t>EDP Equipment's</t>
  </si>
  <si>
    <t>Office Equipment's</t>
  </si>
  <si>
    <t>Cash flows from Operating activities</t>
  </si>
  <si>
    <t>Cash flows from Investing activities</t>
  </si>
  <si>
    <t>Cash flows from Financing activities</t>
  </si>
  <si>
    <t>Net Cash flows during the year</t>
  </si>
  <si>
    <t>The Equity Retention ratio measures the proportion of earnings retained in the business after dividends.The ratio starts at 0.56, and then stabilizes around 0.75  in later periods, indicating varying retention strategies.The high values suggest a focus on reinvestment and growth, while the stabilization indicates consistent payout policies.A steady ratio in later years aligns with long-term financial planning and shareholder expectations.</t>
  </si>
  <si>
    <t>The Cash Cycle (Days) in the image ranges from 58.07 to 252.52A long cash cycle and indicates challeges in efficient management of receivables, leading to slow cash recovery.    REC Limited does not hold inventories, the length of the cycle is primarily driven by the collection period of receivables. if is it higher  cash cycle values suggest a delay in either inventory turnover or receivables collection, which may strain cash flow.</t>
  </si>
  <si>
    <t>NOPAT</t>
  </si>
  <si>
    <t>Operating financial cost expenses</t>
  </si>
  <si>
    <t xml:space="preserve">The EBITDA margin for Rec Limited improved from 34.64% in 2020 to 61.00% in 2024, indicating stronger operational efficiency and improved profitability. if declined reflecting challenges in managing operating expenses and potential cost pressures.From 2025 onwards, the margin is projected to stabilize at 47.31%, suggesting improved cost control, steady cash flow generation, and sustained operational performance. This stability may also indicate favorable market conditions and competitiveness within the industry. </t>
  </si>
  <si>
    <t>Rec limited's operating margin increased and reflecting improvement in profitability and cost management.Looking ahead (2024-2034), the margin is expected to gradually rise from 47.26% to 47.29%, signaling better cost control and business stability. The lower margins highlight the company's sensitivity to costs and price fluctuations in the industry, while the projected stability suggests improved operational efficiency, favorable market conditions, and sustained investor confidence in the long term.</t>
  </si>
  <si>
    <t>The pre tax margin during the audited years (2020 to 2024), the company's pretax margin increased from 23.49% and 37.81%, indicating improvement  in profitability. However, in the forecasted period, the pretax margin is expected to stabilize within a narrow range of 33.20% to 33.23%, reflecting an anticipated consistency in operational performance and profitability.The initial fluctuation might indicate external challenges or operational inefficiencies, which appear resolved over time.Improve margins in projections suggest a focus on cost control and predictable growth.</t>
  </si>
  <si>
    <t>The net margin reflects the percentage of revenue that remains as profit after covering all expenses, including taxes and interest. It is a key indicator of overall profitability, cost efficiency, and financial stability.The net margin increased from  16.61%  to 29.78% in audited year.signaling efforts to enhance operational efficiency and control expenses.Future projections indicate net margins range between 25.99% and 25.34%  means closed to 25% reflecting a consistent yet modest profitability level. This stability suggests the company is implementing balanced financial strategies, focusing on long-term sustainability rather than aggressive profit expansion.</t>
  </si>
  <si>
    <t xml:space="preserve">Asset Turnover reflects the company's efficiency in generating sales from its assets, indicating how well resources are utilized to drive revenue. A higher ratio suggests better asset productivity, while a lower ratio may indicate inefficiencies or underutilization.The ratio has shown an fluctuation trend from 132.08%,785.91%,144.50%,141.90 from 2021 to 2024 respectively in audited years, demonstrating some challenges in  asset utilization and revenue generation. However, in projected years (169.82% to 157.75%), it indicates slight fluctuations, suggesting varying efficiency in asset deployment. A higher asset turnover ratio can enhance profitability and return on investment, provided cost structures remain stable.This metric is particularly useful when benchmarked against industry peers, offering insights into competitive performance. </t>
  </si>
  <si>
    <t>Pre-Tax ROA (Return on Assets) measures the company's ability to generate profits from its assets before taxes.It range between 3.54% and 2.88% from audited to prejected years indicating inconsistent profitability from asset utilization.Higher values (e.g.3.54%) suggest better operational efficiency, while lower values (e.g.2.88%) might indicate challenges in converting assets into earnings.The trend should be compared to industry benchmarks for a clearer evaluation of performance.</t>
  </si>
  <si>
    <t>Pre-Tax ROE (Return on Equity) measures the profitability generated per unit of shareholder equity before taxes.The values range from 28.18% to 20.86%, showing variability in returns provided to shareholders.Peaks like 28.18% indicate strong profitability, while lower figures (e.g.20.86%) may reflect challenges in equity efficiency or operational issues.This metric should be compared with industry norms to assess the company's competitive financial performance.</t>
  </si>
  <si>
    <t xml:space="preserve">Return on Equity (ROE) measures a company's profitability and efficiency in generating returns from shareholders' equity. It is a key indicator of financial performance, capital utilization, and shareholder value creation.In the given data, ROE is range  from 21.11% to 22.19% in auditede year and range from 18.50% to 15.91%in projected year  highlighting variations in financial performance across different years.A higher ROE in certain years suggests effective capital utilization and strong profitability, indicating the company's ability to reward investors.However, a declining trend in ROE may point to challenges in sustaining efficient returns, such as rising debt, increased operating costs, or weak revenue growth. </t>
  </si>
  <si>
    <t>Projected improvement in ROCE suggests more  effective utilization of capital in the  future. Optimize capital investments and ensure efficient allocation to high return projects.it from the 31.53% to 27.96% in projection.</t>
  </si>
  <si>
    <t>The Reinvestment Rate reflects the percentage of earnings reinvested into the business for growth.It begins at range between 15.68% and 17.30% for audited years then range 14.67% to 12.43% for projected years, indicating changes in growth strategy.The peak of 14.67% corresponds to the highest equity retention, suggesting a focused reinvestment phase.Lower reinvestment rates might indicate prioritization of dividends or limited growth opportunities.The stabilization in later years reflects a matured business focusing on consistent reinvestment for steady growth.</t>
  </si>
  <si>
    <t>The Quick Ratio in the image ranges from 1.10 to 1.16, reflecting the company’s ability to meet short-term liabilities using its most liquid assets (excluding inventory). This metric is crucial in assessing liquidity, financial stability, and cash flow management.Values below 1 (as seen in most data points) suggest potential liquidity concerns, indicating that the company may struggle to cover short-term obligations without selling inventory or securing additional financing. A low quick ratio may also signal slow receivables collection, rising short-term liabilities, or inefficient working capital management.Ratios above 1 indicate a stronger position to handle short-term liabilities, providing greater financial flexibility and reduced reliance on inventory for cash flow.</t>
  </si>
  <si>
    <t>The Current Ratio in the image ranges from 1.10 to 1.16, reflecting the company’s ability to cover short-term liabilities using current assets. This ratio is a key measure of liquidity, financial stability, and working capital efficiency.Ratios below 1 suggest liquidity risks, indicating that the company may struggle to meet short-term obligations without relying on external financing or asset liquidation. A low current ratio may signal rising short-term liabilities, inefficient cash flow management, or slow asset turnover.wever, the increasing trend over time, from 1.10 to 1.15, demonstrates significant improvement in financial stability and a stronger ability to manage liabilities. A ratio above 1 in suggests a healthy liquidity position, ensuring the company can meet its obligations comfortably.</t>
  </si>
  <si>
    <t>The decreased in the Asset to Equity Ratio from 9.80 to 6.92 indicates that the company has significantly decreased its financial leverage. This decreases in order in leverage suggests a low financial risk as the company is now low vulnerable to interest costs and repayment obligation.This small decrease shows that REC Limited is starting to depend a little more on its own money and a little less on debt. This is generally a good sign because it means the company is improving its financial health and reducing its risk from borrowing too much.</t>
  </si>
  <si>
    <t>The debt-to-equity ratio of REC Limited was between 1.74 and 2.48 during the audited years. This shows that the company was depending heavily on borrowed money compared to its own funds. In the projected years, the ratio is expected to be slightly better, ranging from 1.90 to 1.69. This small change means the company plans to reduce its debt compared to equity, which can lead to stronger financial health, lower risk, and better long-term stability.</t>
  </si>
  <si>
    <t>The A/R Turnover Ratio in the image ranges from  24.54 to 416.24 in audited year reflecting how efficiently the company collects revenue from its credit sales.Higher ratios  indicate strong credit management and quick collection of receivables, which improves cash flow but in projected year range from 9.81 to 2.73.Lower ratios suggest slower collection, which could lead to cash flow constraints or a buildup of outstanding receivables.the slower collection may be delayed which could affect working capital and lquidity and incresed in credit risk.</t>
  </si>
  <si>
    <t>The Return on Invested Capital (ROIC) in the image ranges from 6.48% to 5.13%, reflecting the company’s ability to generate returns on capital invested in its operations.The increase in subsequent periods shows significant improvement, indicating effective deployment of capital and stronger profitability.The Return on Invested Capital (ROIC) has shown a significant improvement, rising from 5.13% to 6.48% in audited year. This indicates enhanced efficiency in the utilization of capital, suggesting that the company is now generating substantially higher returns on its invested capital and is moving toward stronger value creation for its stakeholders.after that in projected year going to the 5.58% and indicating some challeges in profitability.</t>
  </si>
  <si>
    <t>Revenue from operations per case is projected by taking the average growth in interest income from audited years as the base case, and adjusting it by +3% for the best case and -3% for the worst case, with the assumption of a constant rate for further projected years.</t>
  </si>
  <si>
    <t>Revenue from operations, including dividend income, fees and commissions, net gain/(loss) on fair value changes, and sale of services, should be calculated as a percentage of interest income. Then, take the average across the audited years and multiply it by the projected revenue to obtain the projected value.</t>
  </si>
  <si>
    <t>Other income is projected as a percentage of revenue from operations. Take the average across the audited years, apply a constant rate for all projected years, and multiply it by the projected revenue to obtain the other income projection.</t>
  </si>
  <si>
    <t>Share of profits/losses of joint ventures accounted for using the equity method should be considered as zero for the projection.</t>
  </si>
  <si>
    <t>All costs are projected as a percentage of revenue from operations. Take the average across all audited years and multiply it by the projected revenue from operations.</t>
  </si>
  <si>
    <t>Net translation/transaction exchange loss is projected as a percentage of revenue from operations. Take the average of the last four years and multiply it by the revenue from operations.</t>
  </si>
  <si>
    <t>Net loss on fair value changes is considered as zero for the projection.</t>
  </si>
  <si>
    <t>Finance costs, calculated from the balance sheet, use the latest year's borrowing percentage rates for projections.</t>
  </si>
  <si>
    <t>Every two years, the tax rate is expected to increase by 0.5% from the previous year</t>
  </si>
  <si>
    <t>Figures for the year 2024 are used to forecast the additions, disposals, and depreciation of fixed assets and intangible assets, with a 0.5% growth rate for each projected year.</t>
  </si>
  <si>
    <t>Capital WIP is forecasted with the same absolute growth and increased by 0.5% for each projected year.</t>
  </si>
  <si>
    <t>Balance sheet items are predicted as a percentage of revenue, using the average of the last five years as a constant, and then multiplied by the projected revenue from operations to obtain all items.</t>
  </si>
  <si>
    <t>Trade receivables and trade payables are calculated as a percentage of revenue, using the average of the last four years for projection purposes.</t>
  </si>
  <si>
    <t>Inventories are not present in the company's balance sheet, so they should be considered as zero.</t>
  </si>
  <si>
    <t>For future years, DSO and DPO are calculated using revenue for projection purposes.</t>
  </si>
  <si>
    <t>Since the last three years of data for Investment Property, Intangible Assets Under Development, and Investment Accounted for Using the Equity Method are not available, these should be considered as zero for projection purposes.</t>
  </si>
  <si>
    <t>Cash and cash equivalents are taken as the balancing figures in the balance sheet.</t>
  </si>
  <si>
    <t>Beta is calculated by finding the slope of the relationship between the return of REC Ltd. and the market return, represented by Nifty 50</t>
  </si>
  <si>
    <t>Consider the risk-free return as 7.01% and the perpetual growth rate as 6%.</t>
  </si>
  <si>
    <t>IRFC, Power Finance Corporation, Indian Renewable, and IFCI have been selected for the comparable company analysis due to their market capitalization being relatively close to that of REC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</si>
</sst>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3" formatCode="_(* #,##0.00_);_(* \(#,##0.00\);_(* &quot;-&quot;??_);_(@_)"/>
    <numFmt numFmtId="164" formatCode="0.00&quot;x&quot;"/>
    <numFmt numFmtId="165" formatCode="[$-409]d\-mmm\-yyyy;@"/>
    <numFmt numFmtId="166" formatCode="0.0%"/>
  </numFmts>
  <fonts count="14" x14ac:knownFonts="1">
    <font>
      <sz val="11"/>
      <color theme="1"/>
      <name val="Calibri"/>
      <family val="2"/>
      <scheme val="minor"/>
    </font>
    <font>
      <sz val="11"/>
      <color theme="1"/>
      <name val="Cambria"/>
      <family val="1"/>
    </font>
    <font>
      <b/>
      <sz val="11"/>
      <color theme="1"/>
      <name val="Cambria"/>
      <family val="1"/>
    </font>
    <font>
      <b/>
      <sz val="11"/>
      <name val="Cambria"/>
      <family val="1"/>
    </font>
    <font>
      <sz val="11"/>
      <color theme="1"/>
      <name val="Calibri"/>
      <family val="2"/>
      <scheme val="minor"/>
    </font>
    <font>
      <b/>
      <sz val="11"/>
      <color theme="1"/>
      <name val="Calibri"/>
      <family val="2"/>
      <scheme val="minor"/>
    </font>
    <font>
      <u/>
      <sz val="11"/>
      <color theme="1"/>
      <name val="Cambria"/>
      <family val="1"/>
    </font>
    <font>
      <sz val="8"/>
      <name val="Calibri"/>
      <family val="2"/>
      <scheme val="minor"/>
    </font>
    <font>
      <sz val="11"/>
      <name val="Cambria"/>
      <family val="1"/>
    </font>
    <font>
      <b/>
      <sz val="11"/>
      <color theme="0"/>
      <name val="Cambria"/>
      <family val="1"/>
    </font>
    <font>
      <b/>
      <sz val="14"/>
      <color theme="0"/>
      <name val="Cambria"/>
      <family val="1"/>
    </font>
    <font>
      <sz val="11"/>
      <color rgb="FF0070C0"/>
      <name val="Cambria"/>
      <family val="1"/>
    </font>
    <font>
      <sz val="11"/>
      <color theme="4"/>
      <name val="Cambria"/>
      <family val="1"/>
    </font>
    <font>
      <sz val="11"/>
      <color theme="0"/>
      <name val="Cambria"/>
      <family val="1"/>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CC"/>
        <bgColor indexed="64"/>
      </patternFill>
    </fill>
    <fill>
      <patternFill patternType="lightGray"/>
    </fill>
    <fill>
      <patternFill patternType="mediumGray"/>
    </fill>
    <fill>
      <patternFill patternType="solid">
        <fgColor theme="0" tint="-0.14999847407452621"/>
        <bgColor indexed="64"/>
      </patternFill>
    </fill>
  </fills>
  <borders count="32">
    <border>
      <left/>
      <right/>
      <top/>
      <bottom/>
      <diagonal/>
    </border>
    <border>
      <left/>
      <right style="thin">
        <color auto="1"/>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style="hair">
        <color auto="1"/>
      </left>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style="hair">
        <color auto="1"/>
      </top>
      <bottom style="hair">
        <color auto="1"/>
      </bottom>
      <diagonal/>
    </border>
    <border>
      <left/>
      <right style="thin">
        <color auto="1"/>
      </right>
      <top style="hair">
        <color auto="1"/>
      </top>
      <bottom/>
      <diagonal/>
    </border>
    <border>
      <left style="hair">
        <color auto="1"/>
      </left>
      <right/>
      <top/>
      <bottom style="thin">
        <color indexed="64"/>
      </bottom>
      <diagonal/>
    </border>
    <border>
      <left style="hair">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indexed="64"/>
      </left>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s>
  <cellStyleXfs count="3">
    <xf numFmtId="0" fontId="0" fillId="0" borderId="0"/>
    <xf numFmtId="9" fontId="4" fillId="0" borderId="0" applyFont="0" applyFill="0" applyBorder="0" applyAlignment="0" applyProtection="0"/>
    <xf numFmtId="43" fontId="4" fillId="0" borderId="0" applyFont="0" applyFill="0" applyBorder="0" applyAlignment="0" applyProtection="0"/>
  </cellStyleXfs>
  <cellXfs count="314">
    <xf numFmtId="0" fontId="0" fillId="0" borderId="0" xfId="0"/>
    <xf numFmtId="4" fontId="0" fillId="0" borderId="0" xfId="0" applyNumberFormat="1"/>
    <xf numFmtId="0" fontId="0" fillId="0" borderId="0" xfId="0" applyAlignment="1">
      <alignment horizontal="center"/>
    </xf>
    <xf numFmtId="0" fontId="1" fillId="0" borderId="3" xfId="0" applyFont="1" applyBorder="1" applyAlignment="1">
      <alignment horizontal="center"/>
    </xf>
    <xf numFmtId="0" fontId="5" fillId="0" borderId="0" xfId="0" applyFont="1"/>
    <xf numFmtId="4" fontId="5" fillId="0" borderId="0" xfId="0" applyNumberFormat="1" applyFont="1"/>
    <xf numFmtId="10" fontId="0" fillId="0" borderId="0" xfId="1" applyNumberFormat="1" applyFont="1"/>
    <xf numFmtId="0" fontId="1" fillId="0" borderId="6" xfId="0" applyFont="1" applyBorder="1" applyAlignment="1">
      <alignment horizontal="center"/>
    </xf>
    <xf numFmtId="0" fontId="1" fillId="0" borderId="0" xfId="0" applyFont="1" applyAlignment="1">
      <alignment horizontal="center"/>
    </xf>
    <xf numFmtId="0" fontId="1" fillId="0" borderId="7" xfId="0" applyFont="1" applyBorder="1" applyAlignment="1">
      <alignment horizontal="center"/>
    </xf>
    <xf numFmtId="10" fontId="0" fillId="0" borderId="0" xfId="0" applyNumberFormat="1"/>
    <xf numFmtId="2" fontId="0" fillId="0" borderId="0" xfId="0" applyNumberFormat="1"/>
    <xf numFmtId="2" fontId="0" fillId="0" borderId="0" xfId="1" applyNumberFormat="1" applyFont="1"/>
    <xf numFmtId="0" fontId="0" fillId="2" borderId="0" xfId="0" applyFill="1"/>
    <xf numFmtId="0" fontId="1" fillId="0" borderId="0" xfId="0" applyFont="1" applyBorder="1" applyAlignment="1">
      <alignment horizontal="center"/>
    </xf>
    <xf numFmtId="2" fontId="0" fillId="2" borderId="0" xfId="0" applyNumberFormat="1" applyFill="1"/>
    <xf numFmtId="0" fontId="1" fillId="0" borderId="1" xfId="0" applyFont="1" applyBorder="1" applyAlignment="1">
      <alignment horizontal="center" vertical="center"/>
    </xf>
    <xf numFmtId="0" fontId="0" fillId="0" borderId="1" xfId="0" applyBorder="1"/>
    <xf numFmtId="0" fontId="2" fillId="0" borderId="0" xfId="0" applyFont="1"/>
    <xf numFmtId="164" fontId="8" fillId="2" borderId="0" xfId="2" applyNumberFormat="1" applyFont="1" applyFill="1" applyAlignment="1">
      <alignment horizontal="center"/>
    </xf>
    <xf numFmtId="0" fontId="1" fillId="0" borderId="7" xfId="0" applyFont="1" applyBorder="1"/>
    <xf numFmtId="0" fontId="1" fillId="0" borderId="8" xfId="0" applyFont="1" applyBorder="1"/>
    <xf numFmtId="0" fontId="1" fillId="0" borderId="9" xfId="0" applyFont="1" applyBorder="1" applyAlignment="1">
      <alignment horizontal="center"/>
    </xf>
    <xf numFmtId="43" fontId="8" fillId="0" borderId="4" xfId="2" applyFont="1" applyBorder="1" applyAlignment="1">
      <alignment horizontal="center"/>
    </xf>
    <xf numFmtId="0" fontId="1" fillId="0" borderId="1" xfId="0" applyFont="1" applyBorder="1" applyAlignment="1">
      <alignment horizontal="center"/>
    </xf>
    <xf numFmtId="43" fontId="3" fillId="0" borderId="10" xfId="2" applyFont="1" applyBorder="1" applyAlignment="1"/>
    <xf numFmtId="10" fontId="1" fillId="0" borderId="0" xfId="1" applyNumberFormat="1" applyFont="1"/>
    <xf numFmtId="0" fontId="1" fillId="0" borderId="0" xfId="0" applyFont="1"/>
    <xf numFmtId="0" fontId="1" fillId="0" borderId="6" xfId="0" applyFont="1" applyBorder="1"/>
    <xf numFmtId="0" fontId="1" fillId="0" borderId="5" xfId="0" applyFont="1" applyBorder="1" applyAlignment="1">
      <alignment horizontal="center"/>
    </xf>
    <xf numFmtId="0" fontId="1" fillId="0" borderId="9" xfId="0" applyFont="1" applyBorder="1"/>
    <xf numFmtId="0" fontId="1" fillId="0" borderId="4" xfId="0" applyFont="1" applyBorder="1"/>
    <xf numFmtId="0" fontId="1" fillId="0" borderId="3" xfId="0" applyFont="1" applyBorder="1"/>
    <xf numFmtId="0" fontId="1" fillId="0" borderId="8" xfId="0" applyFont="1" applyBorder="1" applyAlignment="1">
      <alignment horizontal="center"/>
    </xf>
    <xf numFmtId="0" fontId="9" fillId="2" borderId="0" xfId="0" applyFont="1" applyFill="1" applyAlignment="1">
      <alignment horizontal="center"/>
    </xf>
    <xf numFmtId="43" fontId="0" fillId="2" borderId="0" xfId="0" applyNumberFormat="1" applyFill="1"/>
    <xf numFmtId="43" fontId="0" fillId="2" borderId="0" xfId="0" applyNumberFormat="1" applyFill="1" applyBorder="1"/>
    <xf numFmtId="10" fontId="1" fillId="2" borderId="0" xfId="1" applyNumberFormat="1" applyFont="1" applyFill="1" applyBorder="1"/>
    <xf numFmtId="2" fontId="0" fillId="2" borderId="0" xfId="0" applyNumberFormat="1" applyFill="1" applyBorder="1"/>
    <xf numFmtId="0" fontId="0" fillId="3" borderId="0" xfId="0" applyFill="1"/>
    <xf numFmtId="0" fontId="1" fillId="2" borderId="0" xfId="0" applyFont="1" applyFill="1" applyAlignment="1">
      <alignment horizontal="center"/>
    </xf>
    <xf numFmtId="0" fontId="1" fillId="2" borderId="0" xfId="0" applyFont="1" applyFill="1"/>
    <xf numFmtId="0" fontId="1" fillId="0" borderId="0" xfId="0" applyFont="1" applyBorder="1"/>
    <xf numFmtId="0" fontId="0" fillId="0" borderId="6" xfId="0" applyBorder="1"/>
    <xf numFmtId="0" fontId="0" fillId="0" borderId="0" xfId="0" applyBorder="1"/>
    <xf numFmtId="43" fontId="8" fillId="0" borderId="5" xfId="2" applyFont="1" applyBorder="1" applyAlignment="1">
      <alignment horizontal="center" vertical="top"/>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vertical="top"/>
    </xf>
    <xf numFmtId="0" fontId="1" fillId="2" borderId="11" xfId="0" applyFont="1" applyFill="1" applyBorder="1" applyAlignment="1">
      <alignment horizontal="center"/>
    </xf>
    <xf numFmtId="0" fontId="1" fillId="0" borderId="11" xfId="0" applyFont="1" applyBorder="1" applyAlignment="1">
      <alignment horizontal="center"/>
    </xf>
    <xf numFmtId="0" fontId="1" fillId="3" borderId="0" xfId="0" applyFont="1" applyFill="1" applyAlignment="1">
      <alignment horizontal="center"/>
    </xf>
    <xf numFmtId="0" fontId="10" fillId="3" borderId="0" xfId="0" applyFont="1" applyFill="1" applyAlignment="1">
      <alignment horizontal="center"/>
    </xf>
    <xf numFmtId="0" fontId="2" fillId="0" borderId="14" xfId="0" applyFont="1" applyBorder="1" applyAlignment="1">
      <alignment horizontal="center" vertical="center" wrapText="1"/>
    </xf>
    <xf numFmtId="0" fontId="0" fillId="0" borderId="14" xfId="0" applyBorder="1"/>
    <xf numFmtId="0" fontId="1" fillId="0" borderId="14" xfId="0" applyFont="1" applyBorder="1"/>
    <xf numFmtId="0" fontId="2" fillId="0" borderId="11" xfId="0" applyFont="1" applyBorder="1" applyAlignment="1">
      <alignment wrapText="1"/>
    </xf>
    <xf numFmtId="0" fontId="1" fillId="2" borderId="14" xfId="0" applyFont="1" applyFill="1" applyBorder="1"/>
    <xf numFmtId="43" fontId="11" fillId="0" borderId="0" xfId="0" applyNumberFormat="1" applyFont="1" applyAlignment="1">
      <alignment wrapText="1"/>
    </xf>
    <xf numFmtId="2" fontId="1" fillId="0" borderId="0" xfId="0" applyNumberFormat="1" applyFont="1"/>
    <xf numFmtId="0" fontId="2" fillId="0" borderId="14" xfId="0" applyFont="1" applyBorder="1"/>
    <xf numFmtId="0" fontId="1" fillId="2" borderId="13" xfId="0" applyFont="1" applyFill="1" applyBorder="1"/>
    <xf numFmtId="0" fontId="3" fillId="0" borderId="11" xfId="0" applyFont="1" applyBorder="1" applyAlignment="1">
      <alignment wrapText="1"/>
    </xf>
    <xf numFmtId="0" fontId="3" fillId="0" borderId="11" xfId="0" applyFont="1" applyBorder="1"/>
    <xf numFmtId="43" fontId="3" fillId="0" borderId="10" xfId="0" applyNumberFormat="1" applyFont="1" applyBorder="1" applyAlignment="1">
      <alignment wrapText="1"/>
    </xf>
    <xf numFmtId="43" fontId="11" fillId="0" borderId="1" xfId="0" applyNumberFormat="1" applyFont="1" applyBorder="1" applyAlignment="1">
      <alignment wrapText="1"/>
    </xf>
    <xf numFmtId="43" fontId="3" fillId="0" borderId="2" xfId="0" applyNumberFormat="1" applyFont="1" applyBorder="1" applyAlignment="1">
      <alignment wrapText="1"/>
    </xf>
    <xf numFmtId="10" fontId="1" fillId="0" borderId="1" xfId="1" applyNumberFormat="1" applyFont="1" applyBorder="1"/>
    <xf numFmtId="2" fontId="1" fillId="0" borderId="1" xfId="0" applyNumberFormat="1" applyFont="1" applyBorder="1"/>
    <xf numFmtId="10" fontId="1" fillId="0" borderId="3" xfId="1" applyNumberFormat="1" applyFont="1" applyBorder="1"/>
    <xf numFmtId="10" fontId="1" fillId="0" borderId="5" xfId="1" applyNumberFormat="1" applyFont="1" applyBorder="1"/>
    <xf numFmtId="43" fontId="2" fillId="0" borderId="10" xfId="0" applyNumberFormat="1" applyFont="1" applyBorder="1" applyAlignment="1">
      <alignment wrapText="1"/>
    </xf>
    <xf numFmtId="0" fontId="2" fillId="0" borderId="11" xfId="0" applyFont="1" applyBorder="1"/>
    <xf numFmtId="0" fontId="1" fillId="0" borderId="13" xfId="0" applyFont="1" applyBorder="1"/>
    <xf numFmtId="0" fontId="1" fillId="0" borderId="4" xfId="0" applyFont="1" applyBorder="1" applyAlignment="1">
      <alignment horizontal="center"/>
    </xf>
    <xf numFmtId="0" fontId="0" fillId="0" borderId="4" xfId="0" applyBorder="1"/>
    <xf numFmtId="43" fontId="2" fillId="0" borderId="2" xfId="0" applyNumberFormat="1" applyFont="1" applyBorder="1" applyAlignment="1">
      <alignment wrapText="1"/>
    </xf>
    <xf numFmtId="2" fontId="0" fillId="0" borderId="1" xfId="0" applyNumberFormat="1" applyBorder="1"/>
    <xf numFmtId="2" fontId="0" fillId="0" borderId="3" xfId="0" applyNumberFormat="1" applyBorder="1"/>
    <xf numFmtId="2" fontId="0" fillId="0" borderId="5" xfId="0" applyNumberFormat="1" applyBorder="1"/>
    <xf numFmtId="10" fontId="11" fillId="0" borderId="0" xfId="1" applyNumberFormat="1" applyFont="1" applyAlignment="1">
      <alignment horizontal="center"/>
    </xf>
    <xf numFmtId="10" fontId="2" fillId="0" borderId="10" xfId="1" applyNumberFormat="1" applyFont="1" applyBorder="1" applyAlignment="1">
      <alignment horizontal="center"/>
    </xf>
    <xf numFmtId="0" fontId="2" fillId="0" borderId="14" xfId="0" applyFont="1" applyBorder="1" applyAlignment="1">
      <alignment wrapText="1"/>
    </xf>
    <xf numFmtId="0" fontId="2" fillId="0" borderId="13" xfId="0" applyFont="1" applyBorder="1"/>
    <xf numFmtId="10" fontId="11" fillId="0" borderId="1" xfId="1" applyNumberFormat="1" applyFont="1" applyBorder="1" applyAlignment="1">
      <alignment horizontal="center"/>
    </xf>
    <xf numFmtId="10" fontId="2" fillId="0" borderId="2" xfId="1" applyNumberFormat="1" applyFont="1" applyBorder="1" applyAlignment="1">
      <alignment horizontal="center"/>
    </xf>
    <xf numFmtId="0" fontId="1" fillId="2" borderId="3" xfId="0" applyFont="1" applyFill="1" applyBorder="1" applyAlignment="1">
      <alignment horizontal="center"/>
    </xf>
    <xf numFmtId="0" fontId="1" fillId="0" borderId="11" xfId="0" applyFont="1" applyBorder="1"/>
    <xf numFmtId="43" fontId="1" fillId="0" borderId="0" xfId="0" applyNumberFormat="1" applyFont="1" applyAlignment="1">
      <alignment wrapText="1"/>
    </xf>
    <xf numFmtId="10" fontId="1" fillId="0" borderId="0" xfId="1" applyNumberFormat="1" applyFont="1" applyAlignment="1">
      <alignment wrapText="1"/>
    </xf>
    <xf numFmtId="10" fontId="1" fillId="4" borderId="15" xfId="1" applyNumberFormat="1" applyFont="1" applyFill="1" applyBorder="1" applyAlignment="1">
      <alignment wrapText="1"/>
    </xf>
    <xf numFmtId="10" fontId="1" fillId="4" borderId="16" xfId="1" applyNumberFormat="1" applyFont="1" applyFill="1" applyBorder="1" applyAlignment="1">
      <alignment wrapText="1"/>
    </xf>
    <xf numFmtId="10" fontId="1" fillId="4" borderId="18" xfId="0" applyNumberFormat="1" applyFont="1" applyFill="1" applyBorder="1" applyAlignment="1">
      <alignment horizontal="center"/>
    </xf>
    <xf numFmtId="10" fontId="1" fillId="4" borderId="19" xfId="0" applyNumberFormat="1" applyFont="1" applyFill="1" applyBorder="1"/>
    <xf numFmtId="10" fontId="1" fillId="4" borderId="15" xfId="0" applyNumberFormat="1" applyFont="1" applyFill="1" applyBorder="1" applyAlignment="1">
      <alignment horizontal="center"/>
    </xf>
    <xf numFmtId="10" fontId="1" fillId="4" borderId="16" xfId="0" applyNumberFormat="1" applyFont="1" applyFill="1" applyBorder="1"/>
    <xf numFmtId="0" fontId="0" fillId="5" borderId="0" xfId="0" applyFill="1"/>
    <xf numFmtId="10" fontId="1" fillId="4" borderId="20" xfId="1" applyNumberFormat="1" applyFont="1" applyFill="1" applyBorder="1" applyAlignment="1">
      <alignment wrapText="1"/>
    </xf>
    <xf numFmtId="10" fontId="1" fillId="4" borderId="21" xfId="1" applyNumberFormat="1" applyFont="1" applyFill="1" applyBorder="1" applyAlignment="1">
      <alignment wrapText="1"/>
    </xf>
    <xf numFmtId="0" fontId="2" fillId="0" borderId="14" xfId="0" applyFont="1" applyBorder="1" applyAlignment="1">
      <alignment vertical="center" wrapText="1"/>
    </xf>
    <xf numFmtId="0" fontId="6" fillId="0" borderId="14" xfId="0" applyFont="1" applyBorder="1"/>
    <xf numFmtId="0" fontId="0" fillId="0" borderId="1" xfId="0" applyBorder="1" applyAlignment="1">
      <alignment horizontal="center"/>
    </xf>
    <xf numFmtId="0" fontId="1" fillId="2" borderId="5" xfId="0" applyFont="1" applyFill="1" applyBorder="1" applyAlignment="1">
      <alignment horizontal="center"/>
    </xf>
    <xf numFmtId="43" fontId="1" fillId="0" borderId="1" xfId="0" applyNumberFormat="1" applyFont="1" applyBorder="1" applyAlignment="1">
      <alignment wrapText="1"/>
    </xf>
    <xf numFmtId="10" fontId="1" fillId="4" borderId="23" xfId="1" applyNumberFormat="1" applyFont="1" applyFill="1" applyBorder="1" applyAlignment="1">
      <alignment wrapText="1"/>
    </xf>
    <xf numFmtId="10" fontId="1" fillId="4" borderId="22" xfId="1" applyNumberFormat="1" applyFont="1" applyFill="1" applyBorder="1" applyAlignment="1">
      <alignment wrapText="1"/>
    </xf>
    <xf numFmtId="10" fontId="0" fillId="0" borderId="1" xfId="0" applyNumberFormat="1" applyBorder="1"/>
    <xf numFmtId="10" fontId="1" fillId="4" borderId="24" xfId="0" applyNumberFormat="1" applyFont="1" applyFill="1" applyBorder="1"/>
    <xf numFmtId="10" fontId="1" fillId="4" borderId="23" xfId="0" applyNumberFormat="1" applyFont="1" applyFill="1" applyBorder="1"/>
    <xf numFmtId="0" fontId="0" fillId="5" borderId="7" xfId="0" applyFill="1" applyBorder="1"/>
    <xf numFmtId="0" fontId="0" fillId="5" borderId="3" xfId="0" applyFill="1" applyBorder="1"/>
    <xf numFmtId="10" fontId="1" fillId="4" borderId="25" xfId="1" applyNumberFormat="1" applyFont="1" applyFill="1" applyBorder="1" applyAlignment="1">
      <alignment horizontal="center"/>
    </xf>
    <xf numFmtId="10" fontId="1" fillId="4" borderId="3" xfId="0" applyNumberFormat="1" applyFont="1" applyFill="1" applyBorder="1"/>
    <xf numFmtId="10" fontId="1" fillId="4" borderId="5" xfId="0" applyNumberFormat="1" applyFont="1" applyFill="1" applyBorder="1"/>
    <xf numFmtId="0" fontId="6" fillId="0" borderId="0" xfId="0" applyFont="1" applyBorder="1"/>
    <xf numFmtId="0" fontId="0" fillId="3" borderId="0" xfId="0" applyFill="1" applyBorder="1"/>
    <xf numFmtId="43" fontId="8" fillId="0" borderId="0" xfId="0" applyNumberFormat="1" applyFont="1" applyAlignment="1">
      <alignment wrapText="1"/>
    </xf>
    <xf numFmtId="10" fontId="8" fillId="0" borderId="0" xfId="1" applyNumberFormat="1" applyFont="1" applyAlignment="1">
      <alignment wrapText="1"/>
    </xf>
    <xf numFmtId="10" fontId="8" fillId="4" borderId="15" xfId="1" applyNumberFormat="1" applyFont="1" applyFill="1" applyBorder="1" applyAlignment="1">
      <alignment wrapText="1"/>
    </xf>
    <xf numFmtId="10" fontId="8" fillId="4" borderId="16" xfId="1" applyNumberFormat="1" applyFont="1" applyFill="1" applyBorder="1" applyAlignment="1">
      <alignment wrapText="1"/>
    </xf>
    <xf numFmtId="43" fontId="8" fillId="0" borderId="1" xfId="0" applyNumberFormat="1" applyFont="1" applyBorder="1" applyAlignment="1">
      <alignment wrapText="1"/>
    </xf>
    <xf numFmtId="10" fontId="8" fillId="4" borderId="23" xfId="1" applyNumberFormat="1" applyFont="1" applyFill="1" applyBorder="1" applyAlignment="1">
      <alignment wrapText="1"/>
    </xf>
    <xf numFmtId="10" fontId="8" fillId="0" borderId="3" xfId="1" applyNumberFormat="1" applyFont="1" applyBorder="1" applyAlignment="1">
      <alignment wrapText="1"/>
    </xf>
    <xf numFmtId="10" fontId="8" fillId="4" borderId="26" xfId="1" applyNumberFormat="1" applyFont="1" applyFill="1" applyBorder="1" applyAlignment="1">
      <alignment wrapText="1"/>
    </xf>
    <xf numFmtId="10" fontId="8" fillId="4" borderId="27" xfId="1" applyNumberFormat="1" applyFont="1" applyFill="1" applyBorder="1" applyAlignment="1">
      <alignment wrapText="1"/>
    </xf>
    <xf numFmtId="10" fontId="8" fillId="4" borderId="28" xfId="1" applyNumberFormat="1" applyFont="1" applyFill="1" applyBorder="1" applyAlignment="1">
      <alignment wrapText="1"/>
    </xf>
    <xf numFmtId="0" fontId="0" fillId="0" borderId="12" xfId="0" applyBorder="1"/>
    <xf numFmtId="0" fontId="8" fillId="0" borderId="14" xfId="0" applyFont="1" applyBorder="1"/>
    <xf numFmtId="43" fontId="1" fillId="4" borderId="16" xfId="0" applyNumberFormat="1" applyFont="1" applyFill="1" applyBorder="1" applyAlignment="1">
      <alignment wrapText="1"/>
    </xf>
    <xf numFmtId="43" fontId="1" fillId="4" borderId="23" xfId="0" applyNumberFormat="1" applyFont="1" applyFill="1" applyBorder="1" applyAlignment="1">
      <alignment wrapText="1"/>
    </xf>
    <xf numFmtId="10" fontId="0" fillId="3" borderId="0" xfId="1" applyNumberFormat="1" applyFont="1" applyFill="1"/>
    <xf numFmtId="43" fontId="12" fillId="2" borderId="0" xfId="2" applyFont="1" applyFill="1" applyAlignment="1"/>
    <xf numFmtId="43" fontId="1" fillId="2" borderId="0" xfId="2" applyFont="1" applyFill="1" applyAlignment="1"/>
    <xf numFmtId="43" fontId="2" fillId="2" borderId="10" xfId="2" applyFont="1" applyFill="1" applyBorder="1" applyAlignment="1"/>
    <xf numFmtId="43" fontId="2" fillId="2" borderId="2" xfId="2" applyFont="1" applyFill="1" applyBorder="1" applyAlignment="1"/>
    <xf numFmtId="43" fontId="2" fillId="2" borderId="9" xfId="2" applyFont="1" applyFill="1" applyBorder="1" applyAlignment="1"/>
    <xf numFmtId="43" fontId="2" fillId="2" borderId="4" xfId="2" applyFont="1" applyFill="1" applyBorder="1" applyAlignment="1"/>
    <xf numFmtId="43" fontId="2" fillId="2" borderId="3" xfId="2" applyFont="1" applyFill="1" applyBorder="1" applyAlignment="1"/>
    <xf numFmtId="43" fontId="2" fillId="2" borderId="5" xfId="2" applyFont="1" applyFill="1" applyBorder="1" applyAlignment="1"/>
    <xf numFmtId="0" fontId="1" fillId="0" borderId="12" xfId="0" applyFont="1" applyBorder="1"/>
    <xf numFmtId="0" fontId="2" fillId="0" borderId="12" xfId="0" applyFont="1" applyBorder="1"/>
    <xf numFmtId="43" fontId="1" fillId="2" borderId="1" xfId="2" applyFont="1" applyFill="1" applyBorder="1" applyAlignment="1"/>
    <xf numFmtId="43" fontId="8" fillId="2" borderId="0" xfId="2" applyFont="1" applyFill="1" applyAlignment="1"/>
    <xf numFmtId="43" fontId="11" fillId="0" borderId="0" xfId="2" applyFont="1" applyAlignment="1"/>
    <xf numFmtId="43" fontId="1" fillId="0" borderId="0" xfId="2" applyFont="1" applyAlignment="1"/>
    <xf numFmtId="10" fontId="1" fillId="0" borderId="0" xfId="1" applyNumberFormat="1" applyFont="1" applyAlignment="1"/>
    <xf numFmtId="10" fontId="1" fillId="4" borderId="15" xfId="1" applyNumberFormat="1" applyFont="1" applyFill="1" applyBorder="1" applyAlignment="1"/>
    <xf numFmtId="10" fontId="1" fillId="4" borderId="16" xfId="1" applyNumberFormat="1" applyFont="1" applyFill="1" applyBorder="1" applyAlignment="1"/>
    <xf numFmtId="0" fontId="2" fillId="0" borderId="12" xfId="0" applyFont="1" applyBorder="1" applyAlignment="1">
      <alignment vertical="center" wrapText="1"/>
    </xf>
    <xf numFmtId="0" fontId="0" fillId="0" borderId="13" xfId="0" applyBorder="1"/>
    <xf numFmtId="43" fontId="1" fillId="0" borderId="1" xfId="2" applyFont="1" applyBorder="1" applyAlignment="1"/>
    <xf numFmtId="10" fontId="1" fillId="4" borderId="23" xfId="1" applyNumberFormat="1" applyFont="1" applyFill="1" applyBorder="1" applyAlignment="1"/>
    <xf numFmtId="10" fontId="1" fillId="0" borderId="1" xfId="1" applyNumberFormat="1" applyFont="1" applyBorder="1" applyAlignment="1"/>
    <xf numFmtId="43" fontId="2" fillId="0" borderId="10" xfId="2" applyFont="1" applyBorder="1" applyAlignment="1"/>
    <xf numFmtId="43" fontId="2" fillId="0" borderId="2" xfId="2" applyFont="1" applyBorder="1" applyAlignment="1"/>
    <xf numFmtId="0" fontId="4" fillId="0" borderId="0" xfId="0" applyFont="1"/>
    <xf numFmtId="43" fontId="3" fillId="0" borderId="2" xfId="2" applyFont="1" applyBorder="1" applyAlignment="1"/>
    <xf numFmtId="4" fontId="0" fillId="3" borderId="0" xfId="0" applyNumberFormat="1" applyFill="1"/>
    <xf numFmtId="0" fontId="2" fillId="2" borderId="14" xfId="0" applyFont="1" applyFill="1" applyBorder="1"/>
    <xf numFmtId="0" fontId="5" fillId="0" borderId="10" xfId="0" applyFont="1" applyBorder="1"/>
    <xf numFmtId="0" fontId="1" fillId="4" borderId="14" xfId="0" applyFont="1" applyFill="1" applyBorder="1"/>
    <xf numFmtId="0" fontId="0" fillId="4" borderId="0" xfId="0" applyFill="1"/>
    <xf numFmtId="43" fontId="1" fillId="4" borderId="0" xfId="2" applyFont="1" applyFill="1" applyAlignment="1"/>
    <xf numFmtId="43" fontId="11" fillId="4" borderId="0" xfId="2" applyFont="1" applyFill="1" applyAlignment="1"/>
    <xf numFmtId="4" fontId="0" fillId="4" borderId="0" xfId="0" applyNumberFormat="1" applyFill="1"/>
    <xf numFmtId="43" fontId="12" fillId="0" borderId="0" xfId="2" applyFont="1" applyAlignment="1"/>
    <xf numFmtId="43" fontId="11" fillId="0" borderId="1" xfId="2" applyFont="1" applyBorder="1" applyAlignment="1"/>
    <xf numFmtId="43" fontId="11" fillId="4" borderId="1" xfId="2" applyFont="1" applyFill="1" applyBorder="1" applyAlignment="1"/>
    <xf numFmtId="0" fontId="1" fillId="0" borderId="0" xfId="0" applyFont="1" applyAlignment="1">
      <alignment horizontal="left"/>
    </xf>
    <xf numFmtId="0" fontId="0" fillId="0" borderId="4" xfId="0" applyBorder="1" applyAlignment="1">
      <alignment horizontal="center"/>
    </xf>
    <xf numFmtId="0" fontId="0" fillId="0" borderId="9" xfId="0" applyBorder="1" applyAlignment="1">
      <alignment horizontal="center"/>
    </xf>
    <xf numFmtId="0" fontId="1" fillId="0" borderId="11" xfId="0" applyFont="1" applyBorder="1" applyAlignment="1">
      <alignment vertical="center" wrapText="1"/>
    </xf>
    <xf numFmtId="0" fontId="1" fillId="0" borderId="11" xfId="0" applyFont="1" applyBorder="1" applyAlignment="1">
      <alignment horizontal="left" vertical="center" wrapText="1"/>
    </xf>
    <xf numFmtId="0" fontId="1" fillId="0" borderId="14" xfId="0" applyFont="1" applyBorder="1" applyAlignment="1">
      <alignment vertical="center"/>
    </xf>
    <xf numFmtId="0" fontId="1" fillId="0" borderId="10" xfId="0" applyFont="1" applyBorder="1" applyAlignment="1">
      <alignment horizontal="right" vertical="center"/>
    </xf>
    <xf numFmtId="0" fontId="1" fillId="0" borderId="2" xfId="0" applyFont="1" applyBorder="1" applyAlignment="1">
      <alignment vertical="center"/>
    </xf>
    <xf numFmtId="10" fontId="1" fillId="0" borderId="10" xfId="1" applyNumberFormat="1" applyFont="1" applyBorder="1" applyAlignment="1">
      <alignment horizontal="right" vertical="center"/>
    </xf>
    <xf numFmtId="10" fontId="1" fillId="0" borderId="2" xfId="1" applyNumberFormat="1" applyFont="1" applyBorder="1" applyAlignment="1">
      <alignment vertical="center"/>
    </xf>
    <xf numFmtId="2" fontId="1" fillId="0" borderId="10" xfId="0" applyNumberFormat="1" applyFont="1" applyBorder="1" applyAlignment="1">
      <alignment horizontal="right" vertical="center"/>
    </xf>
    <xf numFmtId="2" fontId="1" fillId="0" borderId="2" xfId="0" applyNumberFormat="1" applyFont="1" applyBorder="1" applyAlignment="1">
      <alignment vertical="center"/>
    </xf>
    <xf numFmtId="0" fontId="1" fillId="0" borderId="11" xfId="0" applyFont="1" applyBorder="1" applyAlignment="1">
      <alignment horizontal="center" vertical="center"/>
    </xf>
    <xf numFmtId="0" fontId="2" fillId="0" borderId="11" xfId="0" applyFont="1" applyBorder="1" applyAlignment="1">
      <alignment horizontal="center" vertical="center"/>
    </xf>
    <xf numFmtId="0" fontId="8" fillId="0" borderId="11" xfId="0" applyFont="1" applyBorder="1" applyAlignment="1">
      <alignment horizontal="center" vertical="center"/>
    </xf>
    <xf numFmtId="0" fontId="2" fillId="0" borderId="14" xfId="0" applyFont="1" applyBorder="1" applyAlignment="1">
      <alignment horizontal="center" vertical="top"/>
    </xf>
    <xf numFmtId="0" fontId="12" fillId="0" borderId="10" xfId="0" applyFont="1" applyBorder="1" applyAlignment="1">
      <alignment horizontal="right" vertical="center"/>
    </xf>
    <xf numFmtId="10" fontId="12" fillId="0" borderId="10" xfId="1" applyNumberFormat="1" applyFont="1" applyBorder="1" applyAlignment="1">
      <alignment horizontal="right" vertical="center"/>
    </xf>
    <xf numFmtId="2" fontId="12" fillId="0" borderId="10" xfId="0" applyNumberFormat="1" applyFont="1" applyBorder="1" applyAlignment="1">
      <alignment horizontal="right" vertical="center"/>
    </xf>
    <xf numFmtId="0" fontId="2" fillId="4" borderId="15" xfId="0" applyFont="1" applyFill="1" applyBorder="1" applyAlignment="1">
      <alignment horizontal="center"/>
    </xf>
    <xf numFmtId="2" fontId="2" fillId="4" borderId="17" xfId="1" applyNumberFormat="1" applyFont="1" applyFill="1" applyBorder="1" applyAlignment="1">
      <alignment horizontal="center"/>
    </xf>
    <xf numFmtId="165" fontId="0" fillId="0" borderId="6" xfId="0" applyNumberFormat="1" applyBorder="1" applyAlignment="1">
      <alignment horizontal="center"/>
    </xf>
    <xf numFmtId="43" fontId="12" fillId="0" borderId="0" xfId="2" applyFont="1" applyBorder="1" applyAlignment="1">
      <alignment horizontal="center"/>
    </xf>
    <xf numFmtId="43" fontId="12" fillId="0" borderId="1" xfId="2" applyFont="1" applyBorder="1" applyAlignment="1">
      <alignment horizontal="center"/>
    </xf>
    <xf numFmtId="10" fontId="12" fillId="0" borderId="0" xfId="1" applyNumberFormat="1" applyFont="1" applyBorder="1" applyAlignment="1">
      <alignment horizontal="center"/>
    </xf>
    <xf numFmtId="10" fontId="12" fillId="0" borderId="1" xfId="1" applyNumberFormat="1" applyFont="1" applyBorder="1" applyAlignment="1">
      <alignment horizontal="center"/>
    </xf>
    <xf numFmtId="165" fontId="0" fillId="0" borderId="7" xfId="0" applyNumberFormat="1" applyBorder="1" applyAlignment="1">
      <alignment horizontal="center"/>
    </xf>
    <xf numFmtId="43" fontId="12" fillId="0" borderId="3" xfId="2" applyFont="1" applyBorder="1" applyAlignment="1">
      <alignment horizontal="center"/>
    </xf>
    <xf numFmtId="10" fontId="12" fillId="0" borderId="3" xfId="1" applyNumberFormat="1" applyFont="1" applyBorder="1" applyAlignment="1">
      <alignment horizontal="center"/>
    </xf>
    <xf numFmtId="10" fontId="12" fillId="0" borderId="5" xfId="1" applyNumberFormat="1" applyFont="1" applyBorder="1" applyAlignment="1">
      <alignment horizontal="center"/>
    </xf>
    <xf numFmtId="0" fontId="2" fillId="4" borderId="30" xfId="0" applyFont="1" applyFill="1" applyBorder="1" applyAlignment="1">
      <alignment horizontal="center"/>
    </xf>
    <xf numFmtId="2" fontId="5" fillId="4" borderId="30" xfId="0" applyNumberFormat="1" applyFont="1" applyFill="1" applyBorder="1" applyAlignment="1">
      <alignment horizontal="center"/>
    </xf>
    <xf numFmtId="10" fontId="5" fillId="4" borderId="30" xfId="1" applyNumberFormat="1" applyFont="1" applyFill="1" applyBorder="1" applyAlignment="1">
      <alignment horizontal="center"/>
    </xf>
    <xf numFmtId="43" fontId="12" fillId="0" borderId="5" xfId="2" applyFont="1" applyBorder="1" applyAlignment="1">
      <alignment horizontal="center"/>
    </xf>
    <xf numFmtId="0" fontId="1" fillId="0" borderId="2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43" fontId="12" fillId="0" borderId="0" xfId="2" applyFont="1" applyBorder="1" applyAlignment="1"/>
    <xf numFmtId="43" fontId="12" fillId="0" borderId="0" xfId="2" applyFont="1" applyBorder="1" applyAlignment="1">
      <alignment horizontal="center" vertical="center"/>
    </xf>
    <xf numFmtId="0" fontId="0" fillId="0" borderId="2" xfId="0" applyBorder="1" applyAlignment="1">
      <alignment horizontal="center"/>
    </xf>
    <xf numFmtId="43" fontId="12" fillId="0" borderId="0" xfId="2" applyFont="1" applyAlignment="1">
      <alignment vertical="top"/>
    </xf>
    <xf numFmtId="0" fontId="2" fillId="0" borderId="29" xfId="0" applyFont="1" applyBorder="1"/>
    <xf numFmtId="0" fontId="2" fillId="0" borderId="29" xfId="0" applyFont="1" applyBorder="1" applyAlignment="1">
      <alignment horizontal="left"/>
    </xf>
    <xf numFmtId="9" fontId="1" fillId="0" borderId="0" xfId="0" applyNumberFormat="1" applyFont="1" applyAlignment="1"/>
    <xf numFmtId="10" fontId="1" fillId="0" borderId="0" xfId="0" applyNumberFormat="1" applyFont="1" applyAlignment="1">
      <alignment horizontal="right"/>
    </xf>
    <xf numFmtId="2" fontId="1" fillId="0" borderId="0" xfId="0" applyNumberFormat="1" applyFont="1" applyAlignment="1">
      <alignment horizontal="right"/>
    </xf>
    <xf numFmtId="0" fontId="1" fillId="0" borderId="0" xfId="0" applyFont="1" applyAlignment="1">
      <alignment horizontal="right"/>
    </xf>
    <xf numFmtId="10" fontId="1" fillId="0" borderId="0" xfId="1" applyNumberFormat="1" applyFont="1" applyAlignment="1">
      <alignment horizontal="right"/>
    </xf>
    <xf numFmtId="10" fontId="0" fillId="0" borderId="0" xfId="0" applyNumberFormat="1" applyAlignment="1">
      <alignment horizontal="right"/>
    </xf>
    <xf numFmtId="10" fontId="2" fillId="0" borderId="2" xfId="0" applyNumberFormat="1" applyFont="1" applyBorder="1" applyAlignment="1">
      <alignment horizontal="right"/>
    </xf>
    <xf numFmtId="0" fontId="2" fillId="0" borderId="10" xfId="0" applyFont="1" applyBorder="1" applyAlignment="1">
      <alignment horizontal="right"/>
    </xf>
    <xf numFmtId="10" fontId="2" fillId="0" borderId="10" xfId="0" applyNumberFormat="1" applyFont="1" applyBorder="1" applyAlignment="1">
      <alignment horizontal="right"/>
    </xf>
    <xf numFmtId="10" fontId="5" fillId="0" borderId="10" xfId="0" applyNumberFormat="1" applyFont="1" applyBorder="1" applyAlignment="1">
      <alignment horizontal="right"/>
    </xf>
    <xf numFmtId="0" fontId="1" fillId="2" borderId="0" xfId="0" applyFont="1" applyFill="1" applyAlignment="1">
      <alignment horizontal="left"/>
    </xf>
    <xf numFmtId="10" fontId="1" fillId="2" borderId="0" xfId="0" applyNumberFormat="1" applyFont="1" applyFill="1" applyAlignment="1">
      <alignment horizontal="right"/>
    </xf>
    <xf numFmtId="10" fontId="1" fillId="2" borderId="0" xfId="1" applyNumberFormat="1" applyFont="1" applyFill="1" applyAlignment="1">
      <alignment horizontal="right"/>
    </xf>
    <xf numFmtId="10" fontId="0" fillId="2" borderId="0" xfId="0" applyNumberFormat="1" applyFill="1" applyAlignment="1">
      <alignment horizontal="right"/>
    </xf>
    <xf numFmtId="0" fontId="3" fillId="2" borderId="29" xfId="0" applyFont="1" applyFill="1" applyBorder="1"/>
    <xf numFmtId="10" fontId="1" fillId="0" borderId="0" xfId="1" applyNumberFormat="1" applyFont="1" applyBorder="1"/>
    <xf numFmtId="0" fontId="0" fillId="6" borderId="0" xfId="0" applyFill="1"/>
    <xf numFmtId="10" fontId="1" fillId="6" borderId="1" xfId="1" applyNumberFormat="1" applyFont="1" applyFill="1" applyBorder="1"/>
    <xf numFmtId="2" fontId="0" fillId="0" borderId="0" xfId="0" applyNumberFormat="1" applyBorder="1"/>
    <xf numFmtId="2" fontId="0" fillId="7" borderId="0" xfId="0" applyNumberFormat="1" applyFill="1" applyBorder="1"/>
    <xf numFmtId="43" fontId="13" fillId="2" borderId="0" xfId="1" applyNumberFormat="1" applyFont="1" applyFill="1" applyBorder="1"/>
    <xf numFmtId="0" fontId="10" fillId="2" borderId="0" xfId="0" applyFont="1" applyFill="1" applyAlignment="1">
      <alignment horizontal="center"/>
    </xf>
    <xf numFmtId="43" fontId="8" fillId="2" borderId="0" xfId="2" applyFont="1" applyFill="1" applyAlignment="1">
      <alignment horizontal="center"/>
    </xf>
    <xf numFmtId="164" fontId="1" fillId="0" borderId="0" xfId="0" applyNumberFormat="1" applyFont="1" applyAlignment="1">
      <alignment horizontal="center"/>
    </xf>
    <xf numFmtId="0" fontId="1" fillId="4" borderId="0" xfId="0" applyFont="1" applyFill="1"/>
    <xf numFmtId="43" fontId="8" fillId="4" borderId="0" xfId="2" applyFont="1" applyFill="1" applyAlignment="1">
      <alignment horizontal="center"/>
    </xf>
    <xf numFmtId="0" fontId="1" fillId="4" borderId="0" xfId="0" applyFont="1" applyFill="1" applyAlignment="1">
      <alignment horizontal="center"/>
    </xf>
    <xf numFmtId="164" fontId="1" fillId="4" borderId="0" xfId="0" applyNumberFormat="1" applyFont="1" applyFill="1" applyAlignment="1">
      <alignment horizontal="center"/>
    </xf>
    <xf numFmtId="43" fontId="12" fillId="2" borderId="0" xfId="2" applyFont="1" applyFill="1" applyAlignment="1">
      <alignment horizontal="center"/>
    </xf>
    <xf numFmtId="0" fontId="9" fillId="3" borderId="0" xfId="0" applyFont="1" applyFill="1"/>
    <xf numFmtId="0" fontId="9" fillId="3" borderId="0" xfId="0" applyFont="1" applyFill="1" applyAlignment="1">
      <alignment horizontal="center"/>
    </xf>
    <xf numFmtId="164" fontId="8" fillId="2" borderId="1" xfId="2" applyNumberFormat="1" applyFont="1" applyFill="1" applyBorder="1" applyAlignment="1">
      <alignment horizontal="center"/>
    </xf>
    <xf numFmtId="164" fontId="1" fillId="4" borderId="1" xfId="0" applyNumberFormat="1" applyFont="1" applyFill="1" applyBorder="1" applyAlignment="1">
      <alignment horizontal="center"/>
    </xf>
    <xf numFmtId="0" fontId="10" fillId="2" borderId="1" xfId="0" applyFont="1" applyFill="1" applyBorder="1" applyAlignment="1">
      <alignment horizontal="center"/>
    </xf>
    <xf numFmtId="43" fontId="12" fillId="0" borderId="4" xfId="2" applyFont="1" applyBorder="1" applyAlignment="1">
      <alignment horizontal="center" vertical="center"/>
    </xf>
    <xf numFmtId="43" fontId="0" fillId="0" borderId="0" xfId="0" applyNumberFormat="1"/>
    <xf numFmtId="10" fontId="11" fillId="0" borderId="0" xfId="1" applyNumberFormat="1" applyFont="1" applyAlignment="1">
      <alignment wrapText="1"/>
    </xf>
    <xf numFmtId="10" fontId="1" fillId="0" borderId="0" xfId="0" applyNumberFormat="1" applyFont="1" applyAlignment="1">
      <alignment wrapText="1"/>
    </xf>
    <xf numFmtId="10" fontId="1" fillId="2" borderId="0" xfId="1" applyNumberFormat="1" applyFont="1" applyFill="1" applyAlignment="1">
      <alignment wrapText="1"/>
    </xf>
    <xf numFmtId="10" fontId="1" fillId="2" borderId="0" xfId="1" applyNumberFormat="1" applyFont="1" applyFill="1" applyBorder="1" applyAlignment="1">
      <alignment wrapText="1"/>
    </xf>
    <xf numFmtId="10" fontId="1" fillId="2" borderId="1" xfId="1" applyNumberFormat="1" applyFont="1" applyFill="1" applyBorder="1" applyAlignment="1">
      <alignment wrapText="1"/>
    </xf>
    <xf numFmtId="10" fontId="1" fillId="0" borderId="0" xfId="2" applyNumberFormat="1" applyFont="1" applyAlignment="1"/>
    <xf numFmtId="43" fontId="1" fillId="0" borderId="0" xfId="0" applyNumberFormat="1" applyFont="1"/>
    <xf numFmtId="8" fontId="1" fillId="0" borderId="0" xfId="0" applyNumberFormat="1" applyFont="1"/>
    <xf numFmtId="2" fontId="12" fillId="0" borderId="10" xfId="1" applyNumberFormat="1" applyFont="1" applyBorder="1" applyAlignment="1">
      <alignment horizontal="right" vertical="center"/>
    </xf>
    <xf numFmtId="2" fontId="1" fillId="0" borderId="10" xfId="1" applyNumberFormat="1" applyFont="1" applyBorder="1" applyAlignment="1">
      <alignment horizontal="right" vertical="center"/>
    </xf>
    <xf numFmtId="2" fontId="1" fillId="0" borderId="2" xfId="1" applyNumberFormat="1" applyFont="1" applyBorder="1" applyAlignment="1">
      <alignment vertical="center"/>
    </xf>
    <xf numFmtId="0" fontId="1" fillId="0" borderId="6" xfId="0" applyFont="1" applyBorder="1" applyAlignment="1">
      <alignment horizontal="center" vertical="top"/>
    </xf>
    <xf numFmtId="166" fontId="11" fillId="0" borderId="0" xfId="1" applyNumberFormat="1" applyFont="1" applyAlignment="1">
      <alignment wrapText="1"/>
    </xf>
    <xf numFmtId="166" fontId="0" fillId="0" borderId="0" xfId="0" applyNumberFormat="1"/>
    <xf numFmtId="165" fontId="0" fillId="0" borderId="0" xfId="0" applyNumberFormat="1"/>
    <xf numFmtId="43" fontId="12" fillId="0" borderId="1" xfId="2" applyFont="1" applyBorder="1" applyAlignment="1">
      <alignment horizontal="center" vertical="center"/>
    </xf>
    <xf numFmtId="43" fontId="0" fillId="3" borderId="0" xfId="0" applyNumberFormat="1" applyFill="1"/>
    <xf numFmtId="0" fontId="0" fillId="2" borderId="0" xfId="0" applyFill="1" applyBorder="1"/>
    <xf numFmtId="43" fontId="0" fillId="0" borderId="1" xfId="0" applyNumberFormat="1" applyBorder="1"/>
    <xf numFmtId="10" fontId="8" fillId="4" borderId="31" xfId="1" applyNumberFormat="1" applyFont="1" applyFill="1" applyBorder="1" applyAlignment="1">
      <alignment wrapText="1"/>
    </xf>
    <xf numFmtId="10" fontId="1" fillId="0" borderId="1" xfId="0" applyNumberFormat="1" applyFont="1" applyBorder="1" applyAlignment="1">
      <alignment wrapText="1"/>
    </xf>
    <xf numFmtId="10" fontId="1" fillId="0" borderId="7" xfId="1" applyNumberFormat="1" applyFont="1" applyBorder="1" applyAlignment="1"/>
    <xf numFmtId="10" fontId="1" fillId="0" borderId="3" xfId="1" applyNumberFormat="1" applyFont="1" applyBorder="1" applyAlignment="1"/>
    <xf numFmtId="10" fontId="1" fillId="4" borderId="26" xfId="1" applyNumberFormat="1" applyFont="1" applyFill="1" applyBorder="1" applyAlignment="1"/>
    <xf numFmtId="10" fontId="1" fillId="4" borderId="27" xfId="1" applyNumberFormat="1" applyFont="1" applyFill="1" applyBorder="1" applyAlignment="1"/>
    <xf numFmtId="10" fontId="1" fillId="4" borderId="28" xfId="1" applyNumberFormat="1" applyFont="1" applyFill="1" applyBorder="1" applyAlignment="1"/>
    <xf numFmtId="43" fontId="1" fillId="0" borderId="0" xfId="2" applyFont="1" applyBorder="1" applyAlignment="1"/>
    <xf numFmtId="10" fontId="8" fillId="0" borderId="7" xfId="1" applyNumberFormat="1" applyFont="1" applyBorder="1" applyAlignment="1"/>
    <xf numFmtId="10" fontId="8" fillId="0" borderId="3" xfId="1" applyNumberFormat="1" applyFont="1" applyBorder="1" applyAlignment="1"/>
    <xf numFmtId="10" fontId="1" fillId="0" borderId="3" xfId="2" applyNumberFormat="1" applyFont="1" applyBorder="1" applyAlignment="1"/>
    <xf numFmtId="10" fontId="1" fillId="0" borderId="5" xfId="1" applyNumberFormat="1" applyFont="1" applyBorder="1" applyAlignment="1"/>
    <xf numFmtId="0" fontId="0" fillId="0" borderId="3" xfId="0" applyBorder="1"/>
    <xf numFmtId="0" fontId="0" fillId="0" borderId="5" xfId="0" applyBorder="1"/>
    <xf numFmtId="0" fontId="0" fillId="0" borderId="9" xfId="0" applyBorder="1"/>
    <xf numFmtId="0" fontId="5" fillId="0" borderId="0" xfId="0" applyFont="1" applyBorder="1"/>
    <xf numFmtId="4" fontId="0" fillId="3" borderId="0" xfId="0" applyNumberFormat="1" applyFill="1" applyBorder="1"/>
    <xf numFmtId="0" fontId="8" fillId="3" borderId="0" xfId="0" applyFont="1" applyFill="1" applyBorder="1" applyAlignment="1">
      <alignment horizontal="center" vertical="center"/>
    </xf>
    <xf numFmtId="0" fontId="1" fillId="0" borderId="0" xfId="0" applyFont="1" applyBorder="1" applyAlignment="1">
      <alignment horizontal="center" vertical="center"/>
    </xf>
    <xf numFmtId="10" fontId="12" fillId="0" borderId="0" xfId="2" applyNumberFormat="1" applyFont="1" applyAlignment="1"/>
    <xf numFmtId="10" fontId="1" fillId="0" borderId="1" xfId="2" applyNumberFormat="1" applyFont="1" applyBorder="1" applyAlignment="1"/>
    <xf numFmtId="10" fontId="2" fillId="0" borderId="29" xfId="1" applyNumberFormat="1" applyFont="1" applyBorder="1" applyAlignment="1">
      <alignment horizontal="center"/>
    </xf>
    <xf numFmtId="10" fontId="2" fillId="0" borderId="0" xfId="1" applyNumberFormat="1" applyFont="1" applyBorder="1" applyAlignment="1">
      <alignment horizontal="center"/>
    </xf>
    <xf numFmtId="10" fontId="2" fillId="0" borderId="1" xfId="1" applyNumberFormat="1" applyFont="1" applyBorder="1" applyAlignment="1">
      <alignment horizontal="center"/>
    </xf>
    <xf numFmtId="10" fontId="11" fillId="0" borderId="6" xfId="1" applyNumberFormat="1" applyFont="1" applyBorder="1" applyAlignment="1">
      <alignment horizontal="center"/>
    </xf>
    <xf numFmtId="10" fontId="11" fillId="0" borderId="0" xfId="1" applyNumberFormat="1" applyFont="1" applyBorder="1" applyAlignment="1">
      <alignment horizontal="center"/>
    </xf>
    <xf numFmtId="0" fontId="3" fillId="0" borderId="14" xfId="0" applyFont="1" applyBorder="1"/>
    <xf numFmtId="43" fontId="3" fillId="0" borderId="0" xfId="0" applyNumberFormat="1" applyFont="1" applyBorder="1" applyAlignment="1">
      <alignment wrapText="1"/>
    </xf>
    <xf numFmtId="43" fontId="3" fillId="0" borderId="1" xfId="0" applyNumberFormat="1" applyFont="1" applyBorder="1" applyAlignment="1">
      <alignment wrapText="1"/>
    </xf>
    <xf numFmtId="43" fontId="2" fillId="0" borderId="0" xfId="2" applyFont="1" applyBorder="1" applyAlignment="1"/>
    <xf numFmtId="43" fontId="2" fillId="0" borderId="1" xfId="2" applyFont="1" applyBorder="1" applyAlignment="1"/>
    <xf numFmtId="4" fontId="0" fillId="2" borderId="0" xfId="0" applyNumberFormat="1" applyFill="1"/>
    <xf numFmtId="10" fontId="11" fillId="0" borderId="4" xfId="1" applyNumberFormat="1" applyFont="1" applyBorder="1" applyAlignment="1">
      <alignment horizontal="center"/>
    </xf>
    <xf numFmtId="0" fontId="10" fillId="3" borderId="0" xfId="0" applyFont="1" applyFill="1" applyAlignment="1">
      <alignment horizont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0" fillId="3" borderId="6" xfId="0" applyFont="1" applyFill="1" applyBorder="1" applyAlignment="1">
      <alignment horizontal="center"/>
    </xf>
    <xf numFmtId="0" fontId="10" fillId="3" borderId="0" xfId="0" applyFont="1" applyFill="1" applyBorder="1" applyAlignment="1">
      <alignment horizontal="center"/>
    </xf>
    <xf numFmtId="0" fontId="10" fillId="3" borderId="3" xfId="0" applyFont="1" applyFill="1" applyBorder="1" applyAlignment="1">
      <alignment horizontal="center"/>
    </xf>
    <xf numFmtId="0" fontId="9" fillId="2" borderId="0" xfId="0" applyFont="1" applyFill="1" applyAlignment="1">
      <alignment horizontal="center"/>
    </xf>
    <xf numFmtId="0" fontId="9" fillId="3" borderId="0" xfId="0" applyFont="1" applyFill="1" applyAlignment="1">
      <alignment horizontal="center" vertical="center" textRotation="90" wrapText="1"/>
    </xf>
    <xf numFmtId="0" fontId="9" fillId="3" borderId="0" xfId="0" applyFont="1" applyFill="1" applyAlignment="1">
      <alignment horizontal="center"/>
    </xf>
    <xf numFmtId="0" fontId="9" fillId="2" borderId="0" xfId="0" applyFont="1" applyFill="1" applyAlignment="1">
      <alignment horizontal="center" vertical="center" textRotation="90"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Vs Y-O-Y Growth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461546085575561"/>
          <c:y val="0.15310575050427236"/>
          <c:w val="0.75189283712553823"/>
          <c:h val="0.66844496249140739"/>
        </c:manualLayout>
      </c:layout>
      <c:barChart>
        <c:barDir val="col"/>
        <c:grouping val="clustered"/>
        <c:varyColors val="0"/>
        <c:ser>
          <c:idx val="0"/>
          <c:order val="0"/>
          <c:tx>
            <c:strRef>
              <c:f>'Revenue Bulid Up'!$B$21</c:f>
              <c:strCache>
                <c:ptCount val="1"/>
                <c:pt idx="0">
                  <c:v>Total Revenue from Operations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'Revenue Bulid Up'!$C$7:$Q$7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'Revenue Bulid Up'!$C$21:$Q$21</c:f>
              <c:numCache>
                <c:formatCode>_(* #,##0.00_);_(* \(#,##0.00\);_(* "-"??_);_(@_)</c:formatCode>
                <c:ptCount val="15"/>
                <c:pt idx="0">
                  <c:v>29929.78</c:v>
                </c:pt>
                <c:pt idx="1">
                  <c:v>35552.68</c:v>
                </c:pt>
                <c:pt idx="2">
                  <c:v>39269.049999999996</c:v>
                </c:pt>
                <c:pt idx="3">
                  <c:v>39478.259999999995</c:v>
                </c:pt>
                <c:pt idx="4">
                  <c:v>47504.75</c:v>
                </c:pt>
                <c:pt idx="5">
                  <c:v>53082.850155457418</c:v>
                </c:pt>
                <c:pt idx="6">
                  <c:v>59485.698807049783</c:v>
                </c:pt>
                <c:pt idx="7">
                  <c:v>66660.858491963387</c:v>
                </c:pt>
                <c:pt idx="8">
                  <c:v>74701.485298159416</c:v>
                </c:pt>
                <c:pt idx="9">
                  <c:v>83711.971792620796</c:v>
                </c:pt>
                <c:pt idx="10">
                  <c:v>93809.302364449846</c:v>
                </c:pt>
                <c:pt idx="11">
                  <c:v>105124.57204932914</c:v>
                </c:pt>
                <c:pt idx="12">
                  <c:v>117804.68855445374</c:v>
                </c:pt>
                <c:pt idx="13">
                  <c:v>132014.27958155869</c:v>
                </c:pt>
                <c:pt idx="14">
                  <c:v>147937.83021108003</c:v>
                </c:pt>
              </c:numCache>
            </c:numRef>
          </c:val>
          <c:extLst>
            <c:ext xmlns:c16="http://schemas.microsoft.com/office/drawing/2014/chart" uri="{C3380CC4-5D6E-409C-BE32-E72D297353CC}">
              <c16:uniqueId val="{00000000-FE74-465C-86F1-9C9756F20D25}"/>
            </c:ext>
          </c:extLst>
        </c:ser>
        <c:dLbls>
          <c:showLegendKey val="0"/>
          <c:showVal val="0"/>
          <c:showCatName val="0"/>
          <c:showSerName val="0"/>
          <c:showPercent val="0"/>
          <c:showBubbleSize val="0"/>
        </c:dLbls>
        <c:gapWidth val="219"/>
        <c:overlap val="-27"/>
        <c:axId val="1443016159"/>
        <c:axId val="1443006591"/>
      </c:barChart>
      <c:lineChart>
        <c:grouping val="standard"/>
        <c:varyColors val="0"/>
        <c:ser>
          <c:idx val="1"/>
          <c:order val="1"/>
          <c:tx>
            <c:strRef>
              <c:f>'Revenue Bulid Up'!$B$22</c:f>
              <c:strCache>
                <c:ptCount val="1"/>
                <c:pt idx="0">
                  <c:v>Y -o-Y growth</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'Revenue Bulid Up'!$D$22:$Q$22</c:f>
              <c:numCache>
                <c:formatCode>0.00%</c:formatCode>
                <c:ptCount val="14"/>
                <c:pt idx="0">
                  <c:v>0.18786974043912119</c:v>
                </c:pt>
                <c:pt idx="1">
                  <c:v>0.10453136022375786</c:v>
                </c:pt>
                <c:pt idx="2">
                  <c:v>5.3276053278599189E-3</c:v>
                </c:pt>
                <c:pt idx="3">
                  <c:v>0.20331417848709665</c:v>
                </c:pt>
                <c:pt idx="4">
                  <c:v>0.11742194528878525</c:v>
                </c:pt>
                <c:pt idx="5">
                  <c:v>0.12061991081566092</c:v>
                </c:pt>
                <c:pt idx="6">
                  <c:v>0.1206199108156607</c:v>
                </c:pt>
                <c:pt idx="7">
                  <c:v>0.12061991081566115</c:v>
                </c:pt>
                <c:pt idx="8">
                  <c:v>0.1206199108156607</c:v>
                </c:pt>
                <c:pt idx="9">
                  <c:v>0.12061991081566092</c:v>
                </c:pt>
                <c:pt idx="10">
                  <c:v>0.1206199108156607</c:v>
                </c:pt>
                <c:pt idx="11">
                  <c:v>0.12061991081566092</c:v>
                </c:pt>
                <c:pt idx="12">
                  <c:v>0.12061991081566115</c:v>
                </c:pt>
                <c:pt idx="13">
                  <c:v>0.12061991081566092</c:v>
                </c:pt>
              </c:numCache>
            </c:numRef>
          </c:cat>
          <c:val>
            <c:numRef>
              <c:f>'Revenue Bulid Up'!$C$22:$Q$22</c:f>
              <c:numCache>
                <c:formatCode>0.00%</c:formatCode>
                <c:ptCount val="15"/>
                <c:pt idx="1">
                  <c:v>0.18786974043912119</c:v>
                </c:pt>
                <c:pt idx="2">
                  <c:v>0.10453136022375786</c:v>
                </c:pt>
                <c:pt idx="3">
                  <c:v>5.3276053278599189E-3</c:v>
                </c:pt>
                <c:pt idx="4">
                  <c:v>0.20331417848709665</c:v>
                </c:pt>
                <c:pt idx="5">
                  <c:v>0.11742194528878525</c:v>
                </c:pt>
                <c:pt idx="6">
                  <c:v>0.12061991081566092</c:v>
                </c:pt>
                <c:pt idx="7">
                  <c:v>0.1206199108156607</c:v>
                </c:pt>
                <c:pt idx="8">
                  <c:v>0.12061991081566115</c:v>
                </c:pt>
                <c:pt idx="9">
                  <c:v>0.1206199108156607</c:v>
                </c:pt>
                <c:pt idx="10">
                  <c:v>0.12061991081566092</c:v>
                </c:pt>
                <c:pt idx="11">
                  <c:v>0.1206199108156607</c:v>
                </c:pt>
                <c:pt idx="12">
                  <c:v>0.12061991081566092</c:v>
                </c:pt>
                <c:pt idx="13">
                  <c:v>0.12061991081566115</c:v>
                </c:pt>
                <c:pt idx="14">
                  <c:v>0.12061991081566092</c:v>
                </c:pt>
              </c:numCache>
            </c:numRef>
          </c:val>
          <c:smooth val="0"/>
          <c:extLst>
            <c:ext xmlns:c16="http://schemas.microsoft.com/office/drawing/2014/chart" uri="{C3380CC4-5D6E-409C-BE32-E72D297353CC}">
              <c16:uniqueId val="{00000001-FE74-465C-86F1-9C9756F20D25}"/>
            </c:ext>
          </c:extLst>
        </c:ser>
        <c:dLbls>
          <c:showLegendKey val="0"/>
          <c:showVal val="0"/>
          <c:showCatName val="0"/>
          <c:showSerName val="0"/>
          <c:showPercent val="0"/>
          <c:showBubbleSize val="0"/>
        </c:dLbls>
        <c:marker val="1"/>
        <c:smooth val="0"/>
        <c:axId val="1443016991"/>
        <c:axId val="1443008255"/>
      </c:lineChart>
      <c:catAx>
        <c:axId val="14430161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006591"/>
        <c:crosses val="autoZero"/>
        <c:auto val="1"/>
        <c:lblAlgn val="ctr"/>
        <c:lblOffset val="100"/>
        <c:noMultiLvlLbl val="0"/>
      </c:catAx>
      <c:valAx>
        <c:axId val="1443006591"/>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016159"/>
        <c:crosses val="autoZero"/>
        <c:crossBetween val="between"/>
      </c:valAx>
      <c:valAx>
        <c:axId val="1443008255"/>
        <c:scaling>
          <c:orientation val="minMax"/>
        </c:scaling>
        <c:delete val="0"/>
        <c:axPos val="r"/>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016991"/>
        <c:crosses val="max"/>
        <c:crossBetween val="between"/>
      </c:valAx>
      <c:catAx>
        <c:axId val="1443016991"/>
        <c:scaling>
          <c:orientation val="minMax"/>
        </c:scaling>
        <c:delete val="1"/>
        <c:axPos val="b"/>
        <c:numFmt formatCode="0.00%" sourceLinked="1"/>
        <c:majorTickMark val="none"/>
        <c:minorTickMark val="none"/>
        <c:tickLblPos val="nextTo"/>
        <c:crossAx val="14430082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PAT</a:t>
            </a:r>
            <a:r>
              <a:rPr lang="en-US" baseline="0"/>
              <a:t> Vs EBITDA</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'Income Statement'!$B$26</c:f>
              <c:strCache>
                <c:ptCount val="1"/>
                <c:pt idx="0">
                  <c:v>EBITDA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Statement'!$C$26:$Q$26</c:f>
              <c:numCache>
                <c:formatCode>_(* #,##0.00_);_(* \(#,##0.00\);_(* "-"??_);_(@_)</c:formatCode>
                <c:ptCount val="15"/>
                <c:pt idx="0">
                  <c:v>10367.489999999998</c:v>
                </c:pt>
                <c:pt idx="1">
                  <c:v>14325.450000000004</c:v>
                </c:pt>
                <c:pt idx="2">
                  <c:v>16578.839999999997</c:v>
                </c:pt>
                <c:pt idx="3">
                  <c:v>20518.69999999999</c:v>
                </c:pt>
                <c:pt idx="4">
                  <c:v>28975.68</c:v>
                </c:pt>
                <c:pt idx="5">
                  <c:v>25113.706180781443</c:v>
                </c:pt>
                <c:pt idx="6">
                  <c:v>28142.919180558016</c:v>
                </c:pt>
                <c:pt idx="7">
                  <c:v>31537.515582209278</c:v>
                </c:pt>
                <c:pt idx="8">
                  <c:v>35341.56789908286</c:v>
                </c:pt>
                <c:pt idx="9">
                  <c:v>39604.464667155866</c:v>
                </c:pt>
                <c:pt idx="10">
                  <c:v>44381.551663210208</c:v>
                </c:pt>
                <c:pt idx="11">
                  <c:v>49734.850466687269</c:v>
                </c:pt>
                <c:pt idx="12">
                  <c:v>55733.863694409316</c:v>
                </c:pt>
                <c:pt idx="13">
                  <c:v>62456.477362641177</c:v>
                </c:pt>
                <c:pt idx="14">
                  <c:v>69989.972091983305</c:v>
                </c:pt>
              </c:numCache>
            </c:numRef>
          </c:val>
          <c:extLst>
            <c:ext xmlns:c16="http://schemas.microsoft.com/office/drawing/2014/chart" uri="{C3380CC4-5D6E-409C-BE32-E72D297353CC}">
              <c16:uniqueId val="{00000000-78C0-4E71-AEAA-D47C4A460196}"/>
            </c:ext>
          </c:extLst>
        </c:ser>
        <c:ser>
          <c:idx val="1"/>
          <c:order val="1"/>
          <c:tx>
            <c:strRef>
              <c:f>'Income Statement'!$B$38</c:f>
              <c:strCache>
                <c:ptCount val="1"/>
                <c:pt idx="0">
                  <c:v>Profit before Tax</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Statement'!$C$38:$Q$38</c:f>
              <c:numCache>
                <c:formatCode>_(* #,##0.00_);_(* \(#,##0.00\);_(* "-"??_);_(@_)</c:formatCode>
                <c:ptCount val="15"/>
                <c:pt idx="0">
                  <c:v>7029.9699999999984</c:v>
                </c:pt>
                <c:pt idx="1">
                  <c:v>10779.590000000004</c:v>
                </c:pt>
                <c:pt idx="2">
                  <c:v>12430.529999999995</c:v>
                </c:pt>
                <c:pt idx="3">
                  <c:v>13897.669999999991</c:v>
                </c:pt>
                <c:pt idx="4">
                  <c:v>17959.95</c:v>
                </c:pt>
                <c:pt idx="5">
                  <c:v>17623.518100828569</c:v>
                </c:pt>
                <c:pt idx="6">
                  <c:v>19752.051710697368</c:v>
                </c:pt>
                <c:pt idx="7">
                  <c:v>22137.34278689812</c:v>
                </c:pt>
                <c:pt idx="8">
                  <c:v>24810.361461781729</c:v>
                </c:pt>
                <c:pt idx="9">
                  <c:v>27805.813482649584</c:v>
                </c:pt>
                <c:pt idx="10">
                  <c:v>31162.590801297316</c:v>
                </c:pt>
                <c:pt idx="11">
                  <c:v>34924.27651362944</c:v>
                </c:pt>
                <c:pt idx="12">
                  <c:v>39139.710705045094</c:v>
                </c:pt>
                <c:pt idx="13">
                  <c:v>43863.624548043779</c:v>
                </c:pt>
                <c:pt idx="14">
                  <c:v>49157.350884627871</c:v>
                </c:pt>
              </c:numCache>
            </c:numRef>
          </c:val>
          <c:extLst>
            <c:ext xmlns:c16="http://schemas.microsoft.com/office/drawing/2014/chart" uri="{C3380CC4-5D6E-409C-BE32-E72D297353CC}">
              <c16:uniqueId val="{00000001-78C0-4E71-AEAA-D47C4A460196}"/>
            </c:ext>
          </c:extLst>
        </c:ser>
        <c:dLbls>
          <c:showLegendKey val="0"/>
          <c:showVal val="0"/>
          <c:showCatName val="0"/>
          <c:showSerName val="0"/>
          <c:showPercent val="0"/>
          <c:showBubbleSize val="0"/>
        </c:dLbls>
        <c:gapWidth val="115"/>
        <c:overlap val="-20"/>
        <c:axId val="1443040703"/>
        <c:axId val="1443035295"/>
      </c:barChart>
      <c:catAx>
        <c:axId val="14430407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035295"/>
        <c:crosses val="autoZero"/>
        <c:auto val="1"/>
        <c:lblAlgn val="ctr"/>
        <c:lblOffset val="100"/>
        <c:noMultiLvlLbl val="0"/>
      </c:catAx>
      <c:valAx>
        <c:axId val="1443035295"/>
        <c:scaling>
          <c:orientation val="minMax"/>
        </c:scaling>
        <c:delete val="0"/>
        <c:axPos val="b"/>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040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'Ratio Analysis'!$B$30</c:f>
              <c:strCache>
                <c:ptCount val="1"/>
                <c:pt idx="0">
                  <c:v>ROE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'Ratio Analysis'!$C$7:$Q$7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'Ratio Analysis'!$C$30:$Q$30</c:f>
              <c:numCache>
                <c:formatCode>0.00%</c:formatCode>
                <c:ptCount val="15"/>
                <c:pt idx="1">
                  <c:v>0.21167766291108336</c:v>
                </c:pt>
                <c:pt idx="2">
                  <c:v>0.21110450016686286</c:v>
                </c:pt>
                <c:pt idx="3">
                  <c:v>0.20408497823494762</c:v>
                </c:pt>
                <c:pt idx="4">
                  <c:v>0.22194062387327101</c:v>
                </c:pt>
                <c:pt idx="5">
                  <c:v>0.18499547588433807</c:v>
                </c:pt>
                <c:pt idx="6">
                  <c:v>0.18059958450769648</c:v>
                </c:pt>
                <c:pt idx="7">
                  <c:v>0.17579279409574705</c:v>
                </c:pt>
                <c:pt idx="8">
                  <c:v>0.17271920327307558</c:v>
                </c:pt>
                <c:pt idx="9">
                  <c:v>0.16904048313089834</c:v>
                </c:pt>
                <c:pt idx="10">
                  <c:v>0.16687205046588696</c:v>
                </c:pt>
                <c:pt idx="11">
                  <c:v>0.16398055554374377</c:v>
                </c:pt>
                <c:pt idx="12">
                  <c:v>0.16245378450792283</c:v>
                </c:pt>
                <c:pt idx="13">
                  <c:v>0.16012807534978554</c:v>
                </c:pt>
                <c:pt idx="14">
                  <c:v>0.15906857084960319</c:v>
                </c:pt>
              </c:numCache>
            </c:numRef>
          </c:val>
          <c:smooth val="0"/>
          <c:extLst>
            <c:ext xmlns:c16="http://schemas.microsoft.com/office/drawing/2014/chart" uri="{C3380CC4-5D6E-409C-BE32-E72D297353CC}">
              <c16:uniqueId val="{00000000-235B-4808-87AC-D0311DA6D38E}"/>
            </c:ext>
          </c:extLst>
        </c:ser>
        <c:ser>
          <c:idx val="1"/>
          <c:order val="1"/>
          <c:tx>
            <c:strRef>
              <c:f>'Ratio Analysis'!$B$34</c:f>
              <c:strCache>
                <c:ptCount val="1"/>
                <c:pt idx="0">
                  <c:v>Return on Capital Employed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'Ratio Analysis'!$C$7:$Q$7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'Ratio Analysis'!$C$34:$Q$34</c:f>
              <c:numCache>
                <c:formatCode>0.00%</c:formatCode>
                <c:ptCount val="15"/>
                <c:pt idx="0">
                  <c:v>0.29099903756313789</c:v>
                </c:pt>
                <c:pt idx="1">
                  <c:v>0.3294128665930578</c:v>
                </c:pt>
                <c:pt idx="2">
                  <c:v>0.32496774478397578</c:v>
                </c:pt>
                <c:pt idx="3">
                  <c:v>0.35463134895276621</c:v>
                </c:pt>
                <c:pt idx="4">
                  <c:v>0.41804194873215106</c:v>
                </c:pt>
                <c:pt idx="5">
                  <c:v>0.31533768154704267</c:v>
                </c:pt>
                <c:pt idx="6">
                  <c:v>0.30806525213974778</c:v>
                </c:pt>
                <c:pt idx="7">
                  <c:v>0.30209134271076776</c:v>
                </c:pt>
                <c:pt idx="8">
                  <c:v>0.29694958432271051</c:v>
                </c:pt>
                <c:pt idx="9">
                  <c:v>0.29273102439332543</c:v>
                </c:pt>
                <c:pt idx="10">
                  <c:v>0.28906393130839309</c:v>
                </c:pt>
                <c:pt idx="11">
                  <c:v>0.28608282345911767</c:v>
                </c:pt>
                <c:pt idx="12">
                  <c:v>0.28347199023043623</c:v>
                </c:pt>
                <c:pt idx="13">
                  <c:v>0.28139004221754604</c:v>
                </c:pt>
                <c:pt idx="14">
                  <c:v>0.27955619380608271</c:v>
                </c:pt>
              </c:numCache>
            </c:numRef>
          </c:val>
          <c:smooth val="0"/>
          <c:extLst>
            <c:ext xmlns:c16="http://schemas.microsoft.com/office/drawing/2014/chart" uri="{C3380CC4-5D6E-409C-BE32-E72D297353CC}">
              <c16:uniqueId val="{00000001-235B-4808-87AC-D0311DA6D38E}"/>
            </c:ext>
          </c:extLst>
        </c:ser>
        <c:dLbls>
          <c:showLegendKey val="0"/>
          <c:showVal val="0"/>
          <c:showCatName val="0"/>
          <c:showSerName val="0"/>
          <c:showPercent val="0"/>
          <c:showBubbleSize val="0"/>
        </c:dLbls>
        <c:smooth val="0"/>
        <c:axId val="1548358095"/>
        <c:axId val="1548356847"/>
      </c:lineChart>
      <c:catAx>
        <c:axId val="154835809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8356847"/>
        <c:crosses val="autoZero"/>
        <c:auto val="1"/>
        <c:lblAlgn val="ctr"/>
        <c:lblOffset val="100"/>
        <c:noMultiLvlLbl val="0"/>
      </c:catAx>
      <c:valAx>
        <c:axId val="15483568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8358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EBITDA</a:t>
            </a:r>
            <a:r>
              <a:rPr lang="en-US" baseline="0"/>
              <a:t> Vs Net profit</a:t>
            </a:r>
            <a:endParaRPr lang="en-US"/>
          </a:p>
        </c:rich>
      </c:tx>
      <c:layout>
        <c:manualLayout>
          <c:xMode val="edge"/>
          <c:yMode val="edge"/>
          <c:x val="0.26439566929133856"/>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708221784776903"/>
          <c:y val="0.16912037037037039"/>
          <c:w val="0.81432174103237098"/>
          <c:h val="0.60368802857976089"/>
        </c:manualLayout>
      </c:layout>
      <c:barChart>
        <c:barDir val="col"/>
        <c:grouping val="clustered"/>
        <c:varyColors val="0"/>
        <c:ser>
          <c:idx val="0"/>
          <c:order val="0"/>
          <c:tx>
            <c:strRef>
              <c:f>'Income Statement'!$B$26</c:f>
              <c:strCache>
                <c:ptCount val="1"/>
                <c:pt idx="0">
                  <c:v>EBITDA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Statement'!$C$26:$Q$26</c:f>
              <c:numCache>
                <c:formatCode>_(* #,##0.00_);_(* \(#,##0.00\);_(* "-"??_);_(@_)</c:formatCode>
                <c:ptCount val="15"/>
                <c:pt idx="0">
                  <c:v>10367.489999999998</c:v>
                </c:pt>
                <c:pt idx="1">
                  <c:v>14325.450000000004</c:v>
                </c:pt>
                <c:pt idx="2">
                  <c:v>16578.839999999997</c:v>
                </c:pt>
                <c:pt idx="3">
                  <c:v>20518.69999999999</c:v>
                </c:pt>
                <c:pt idx="4">
                  <c:v>28975.68</c:v>
                </c:pt>
                <c:pt idx="5">
                  <c:v>25113.706180781443</c:v>
                </c:pt>
                <c:pt idx="6">
                  <c:v>28142.919180558016</c:v>
                </c:pt>
                <c:pt idx="7">
                  <c:v>31537.515582209278</c:v>
                </c:pt>
                <c:pt idx="8">
                  <c:v>35341.56789908286</c:v>
                </c:pt>
                <c:pt idx="9">
                  <c:v>39604.464667155866</c:v>
                </c:pt>
                <c:pt idx="10">
                  <c:v>44381.551663210208</c:v>
                </c:pt>
                <c:pt idx="11">
                  <c:v>49734.850466687269</c:v>
                </c:pt>
                <c:pt idx="12">
                  <c:v>55733.863694409316</c:v>
                </c:pt>
                <c:pt idx="13">
                  <c:v>62456.477362641177</c:v>
                </c:pt>
                <c:pt idx="14">
                  <c:v>69989.972091983305</c:v>
                </c:pt>
              </c:numCache>
            </c:numRef>
          </c:val>
          <c:extLst>
            <c:ext xmlns:c16="http://schemas.microsoft.com/office/drawing/2014/chart" uri="{C3380CC4-5D6E-409C-BE32-E72D297353CC}">
              <c16:uniqueId val="{00000000-9FA9-4966-B2E3-EFAEFC4688EB}"/>
            </c:ext>
          </c:extLst>
        </c:ser>
        <c:ser>
          <c:idx val="1"/>
          <c:order val="1"/>
          <c:tx>
            <c:strRef>
              <c:f>'Income Statement'!$B$38</c:f>
              <c:strCache>
                <c:ptCount val="1"/>
                <c:pt idx="0">
                  <c:v>Profit before Tax</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'Income Statement'!$C$7:$Q$7</c:f>
              <c:numCache>
                <c:formatCode>General</c:formatCode>
                <c:ptCount val="15"/>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numCache>
            </c:numRef>
          </c:cat>
          <c:val>
            <c:numRef>
              <c:f>'Income Statement'!$C$38:$Q$38</c:f>
              <c:numCache>
                <c:formatCode>_(* #,##0.00_);_(* \(#,##0.00\);_(* "-"??_);_(@_)</c:formatCode>
                <c:ptCount val="15"/>
                <c:pt idx="0">
                  <c:v>7029.9699999999984</c:v>
                </c:pt>
                <c:pt idx="1">
                  <c:v>10779.590000000004</c:v>
                </c:pt>
                <c:pt idx="2">
                  <c:v>12430.529999999995</c:v>
                </c:pt>
                <c:pt idx="3">
                  <c:v>13897.669999999991</c:v>
                </c:pt>
                <c:pt idx="4">
                  <c:v>17959.95</c:v>
                </c:pt>
                <c:pt idx="5">
                  <c:v>17623.518100828569</c:v>
                </c:pt>
                <c:pt idx="6">
                  <c:v>19752.051710697368</c:v>
                </c:pt>
                <c:pt idx="7">
                  <c:v>22137.34278689812</c:v>
                </c:pt>
                <c:pt idx="8">
                  <c:v>24810.361461781729</c:v>
                </c:pt>
                <c:pt idx="9">
                  <c:v>27805.813482649584</c:v>
                </c:pt>
                <c:pt idx="10">
                  <c:v>31162.590801297316</c:v>
                </c:pt>
                <c:pt idx="11">
                  <c:v>34924.27651362944</c:v>
                </c:pt>
                <c:pt idx="12">
                  <c:v>39139.710705045094</c:v>
                </c:pt>
                <c:pt idx="13">
                  <c:v>43863.624548043779</c:v>
                </c:pt>
                <c:pt idx="14">
                  <c:v>49157.350884627871</c:v>
                </c:pt>
              </c:numCache>
            </c:numRef>
          </c:val>
          <c:extLst>
            <c:ext xmlns:c16="http://schemas.microsoft.com/office/drawing/2014/chart" uri="{C3380CC4-5D6E-409C-BE32-E72D297353CC}">
              <c16:uniqueId val="{00000001-9FA9-4966-B2E3-EFAEFC4688EB}"/>
            </c:ext>
          </c:extLst>
        </c:ser>
        <c:dLbls>
          <c:showLegendKey val="0"/>
          <c:showVal val="0"/>
          <c:showCatName val="0"/>
          <c:showSerName val="0"/>
          <c:showPercent val="0"/>
          <c:showBubbleSize val="0"/>
        </c:dLbls>
        <c:gapWidth val="100"/>
        <c:overlap val="-24"/>
        <c:axId val="1645648671"/>
        <c:axId val="1645622879"/>
      </c:barChart>
      <c:catAx>
        <c:axId val="16456486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5622879"/>
        <c:crosses val="autoZero"/>
        <c:auto val="1"/>
        <c:lblAlgn val="ctr"/>
        <c:lblOffset val="100"/>
        <c:noMultiLvlLbl val="0"/>
      </c:catAx>
      <c:valAx>
        <c:axId val="1645622879"/>
        <c:scaling>
          <c:orientation val="minMax"/>
        </c:scaling>
        <c:delete val="0"/>
        <c:axPos val="l"/>
        <c:majorGridlines>
          <c:spPr>
            <a:ln w="9525" cap="flat" cmpd="sng" algn="ctr">
              <a:solidFill>
                <a:schemeClr val="lt1">
                  <a:lumMod val="95000"/>
                  <a:alpha val="10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5648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4.png"/><Relationship Id="rId4"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751417</xdr:colOff>
      <xdr:row>5</xdr:row>
      <xdr:rowOff>152399</xdr:rowOff>
    </xdr:to>
    <xdr:pic>
      <xdr:nvPicPr>
        <xdr:cNvPr id="5" name="Picture 4">
          <a:extLst>
            <a:ext uri="{FF2B5EF4-FFF2-40B4-BE49-F238E27FC236}">
              <a16:creationId xmlns:a16="http://schemas.microsoft.com/office/drawing/2014/main" id="{43F03CD5-C278-4F1B-8D51-902536811A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95650" cy="1104899"/>
        </a:xfrm>
        <a:prstGeom prst="rect">
          <a:avLst/>
        </a:prstGeom>
      </xdr:spPr>
    </xdr:pic>
    <xdr:clientData/>
  </xdr:twoCellAnchor>
  <xdr:twoCellAnchor editAs="oneCell">
    <xdr:from>
      <xdr:col>4</xdr:col>
      <xdr:colOff>38100</xdr:colOff>
      <xdr:row>7</xdr:row>
      <xdr:rowOff>0</xdr:rowOff>
    </xdr:from>
    <xdr:to>
      <xdr:col>16</xdr:col>
      <xdr:colOff>153441</xdr:colOff>
      <xdr:row>22</xdr:row>
      <xdr:rowOff>152399</xdr:rowOff>
    </xdr:to>
    <xdr:pic>
      <xdr:nvPicPr>
        <xdr:cNvPr id="3" name="Picture 2">
          <a:extLst>
            <a:ext uri="{FF2B5EF4-FFF2-40B4-BE49-F238E27FC236}">
              <a16:creationId xmlns:a16="http://schemas.microsoft.com/office/drawing/2014/main" id="{E68C1197-C757-45D0-87FE-6E168E2A8A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0" y="1333500"/>
          <a:ext cx="7430541" cy="30479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3276601</xdr:colOff>
      <xdr:row>4</xdr:row>
      <xdr:rowOff>180974</xdr:rowOff>
    </xdr:to>
    <xdr:pic>
      <xdr:nvPicPr>
        <xdr:cNvPr id="3" name="Picture 2">
          <a:extLst>
            <a:ext uri="{FF2B5EF4-FFF2-40B4-BE49-F238E27FC236}">
              <a16:creationId xmlns:a16="http://schemas.microsoft.com/office/drawing/2014/main" id="{F6DA0197-28CD-4FAC-A497-4AF7AF60A7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3333750" cy="942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3276600</xdr:colOff>
      <xdr:row>4</xdr:row>
      <xdr:rowOff>171450</xdr:rowOff>
    </xdr:to>
    <xdr:pic>
      <xdr:nvPicPr>
        <xdr:cNvPr id="2" name="Picture 1">
          <a:extLst>
            <a:ext uri="{FF2B5EF4-FFF2-40B4-BE49-F238E27FC236}">
              <a16:creationId xmlns:a16="http://schemas.microsoft.com/office/drawing/2014/main" id="{8ACD3C44-EFA8-4897-AC8C-A8586F4F2A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3276600</xdr:colOff>
      <xdr:row>4</xdr:row>
      <xdr:rowOff>171450</xdr:rowOff>
    </xdr:to>
    <xdr:pic>
      <xdr:nvPicPr>
        <xdr:cNvPr id="3" name="Picture 2">
          <a:extLst>
            <a:ext uri="{FF2B5EF4-FFF2-40B4-BE49-F238E27FC236}">
              <a16:creationId xmlns:a16="http://schemas.microsoft.com/office/drawing/2014/main" id="{5C0E9231-9011-4EB2-8353-5DA4CE55E5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3276600</xdr:colOff>
      <xdr:row>4</xdr:row>
      <xdr:rowOff>171450</xdr:rowOff>
    </xdr:to>
    <xdr:pic>
      <xdr:nvPicPr>
        <xdr:cNvPr id="2" name="Picture 1">
          <a:extLst>
            <a:ext uri="{FF2B5EF4-FFF2-40B4-BE49-F238E27FC236}">
              <a16:creationId xmlns:a16="http://schemas.microsoft.com/office/drawing/2014/main" id="{4BCDEE79-BD78-4E5D-9031-09255B44F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171450</xdr:colOff>
      <xdr:row>4</xdr:row>
      <xdr:rowOff>171450</xdr:rowOff>
    </xdr:to>
    <xdr:pic>
      <xdr:nvPicPr>
        <xdr:cNvPr id="2" name="Picture 1">
          <a:extLst>
            <a:ext uri="{FF2B5EF4-FFF2-40B4-BE49-F238E27FC236}">
              <a16:creationId xmlns:a16="http://schemas.microsoft.com/office/drawing/2014/main" id="{BF1FA1ED-C021-46C0-89C5-5D7282D318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600075</xdr:colOff>
      <xdr:row>4</xdr:row>
      <xdr:rowOff>171450</xdr:rowOff>
    </xdr:to>
    <xdr:pic>
      <xdr:nvPicPr>
        <xdr:cNvPr id="2" name="Picture 1">
          <a:extLst>
            <a:ext uri="{FF2B5EF4-FFF2-40B4-BE49-F238E27FC236}">
              <a16:creationId xmlns:a16="http://schemas.microsoft.com/office/drawing/2014/main" id="{6DFEF3C2-D040-48A4-9B91-7FFDC5C93C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295275</xdr:colOff>
      <xdr:row>4</xdr:row>
      <xdr:rowOff>171450</xdr:rowOff>
    </xdr:to>
    <xdr:pic>
      <xdr:nvPicPr>
        <xdr:cNvPr id="2" name="Picture 1">
          <a:extLst>
            <a:ext uri="{FF2B5EF4-FFF2-40B4-BE49-F238E27FC236}">
              <a16:creationId xmlns:a16="http://schemas.microsoft.com/office/drawing/2014/main" id="{9E1422F5-0424-415B-8914-DD5835E17A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209550</xdr:colOff>
      <xdr:row>4</xdr:row>
      <xdr:rowOff>171450</xdr:rowOff>
    </xdr:to>
    <xdr:pic>
      <xdr:nvPicPr>
        <xdr:cNvPr id="2" name="Picture 1">
          <a:extLst>
            <a:ext uri="{FF2B5EF4-FFF2-40B4-BE49-F238E27FC236}">
              <a16:creationId xmlns:a16="http://schemas.microsoft.com/office/drawing/2014/main" id="{EFF049C1-A9E5-4A69-8747-2C8EFE03FE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3276600</xdr:colOff>
      <xdr:row>4</xdr:row>
      <xdr:rowOff>171450</xdr:rowOff>
    </xdr:to>
    <xdr:pic>
      <xdr:nvPicPr>
        <xdr:cNvPr id="2" name="Picture 1">
          <a:extLst>
            <a:ext uri="{FF2B5EF4-FFF2-40B4-BE49-F238E27FC236}">
              <a16:creationId xmlns:a16="http://schemas.microsoft.com/office/drawing/2014/main" id="{ADB848C6-0E6B-4FC9-9558-9B55D9A681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3274219</xdr:colOff>
      <xdr:row>4</xdr:row>
      <xdr:rowOff>171450</xdr:rowOff>
    </xdr:to>
    <xdr:pic>
      <xdr:nvPicPr>
        <xdr:cNvPr id="2" name="Picture 1">
          <a:extLst>
            <a:ext uri="{FF2B5EF4-FFF2-40B4-BE49-F238E27FC236}">
              <a16:creationId xmlns:a16="http://schemas.microsoft.com/office/drawing/2014/main" id="{991EEFC1-AF57-4242-8847-83222B28C5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3750" cy="9334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3274219</xdr:colOff>
      <xdr:row>4</xdr:row>
      <xdr:rowOff>171450</xdr:rowOff>
    </xdr:to>
    <xdr:pic>
      <xdr:nvPicPr>
        <xdr:cNvPr id="2" name="Picture 1">
          <a:extLst>
            <a:ext uri="{FF2B5EF4-FFF2-40B4-BE49-F238E27FC236}">
              <a16:creationId xmlns:a16="http://schemas.microsoft.com/office/drawing/2014/main" id="{073D62E5-5EAD-4112-9783-C1A4DF8451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170430</xdr:colOff>
      <xdr:row>4</xdr:row>
      <xdr:rowOff>171450</xdr:rowOff>
    </xdr:to>
    <xdr:pic>
      <xdr:nvPicPr>
        <xdr:cNvPr id="2" name="Picture 1">
          <a:extLst>
            <a:ext uri="{FF2B5EF4-FFF2-40B4-BE49-F238E27FC236}">
              <a16:creationId xmlns:a16="http://schemas.microsoft.com/office/drawing/2014/main" id="{9E5E10F4-2FCE-4A84-ADE9-04938B6861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17462</xdr:colOff>
      <xdr:row>6</xdr:row>
      <xdr:rowOff>153193</xdr:rowOff>
    </xdr:from>
    <xdr:to>
      <xdr:col>10</xdr:col>
      <xdr:colOff>0</xdr:colOff>
      <xdr:row>24</xdr:row>
      <xdr:rowOff>38894</xdr:rowOff>
    </xdr:to>
    <xdr:graphicFrame macro="">
      <xdr:nvGraphicFramePr>
        <xdr:cNvPr id="2" name="Chart 1">
          <a:extLst>
            <a:ext uri="{FF2B5EF4-FFF2-40B4-BE49-F238E27FC236}">
              <a16:creationId xmlns:a16="http://schemas.microsoft.com/office/drawing/2014/main" id="{24E9B78C-A13C-4B79-ACFF-B0E4C26A3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169860</xdr:colOff>
      <xdr:row>7</xdr:row>
      <xdr:rowOff>7936</xdr:rowOff>
    </xdr:from>
    <xdr:to>
      <xdr:col>19</xdr:col>
      <xdr:colOff>267890</xdr:colOff>
      <xdr:row>24</xdr:row>
      <xdr:rowOff>46037</xdr:rowOff>
    </xdr:to>
    <xdr:graphicFrame macro="">
      <xdr:nvGraphicFramePr>
        <xdr:cNvPr id="3" name="Chart 2">
          <a:extLst>
            <a:ext uri="{FF2B5EF4-FFF2-40B4-BE49-F238E27FC236}">
              <a16:creationId xmlns:a16="http://schemas.microsoft.com/office/drawing/2014/main" id="{051AB262-B27D-461E-AE54-2FE0BA4AE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454</xdr:colOff>
      <xdr:row>25</xdr:row>
      <xdr:rowOff>135957</xdr:rowOff>
    </xdr:from>
    <xdr:to>
      <xdr:col>9</xdr:col>
      <xdr:colOff>595313</xdr:colOff>
      <xdr:row>41</xdr:row>
      <xdr:rowOff>9922</xdr:rowOff>
    </xdr:to>
    <xdr:graphicFrame macro="">
      <xdr:nvGraphicFramePr>
        <xdr:cNvPr id="4" name="Chart 1">
          <a:extLst>
            <a:ext uri="{FF2B5EF4-FFF2-40B4-BE49-F238E27FC236}">
              <a16:creationId xmlns:a16="http://schemas.microsoft.com/office/drawing/2014/main" id="{8D6D6D53-8A9E-45A5-94B9-63EB37E81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128984</xdr:colOff>
      <xdr:row>25</xdr:row>
      <xdr:rowOff>138907</xdr:rowOff>
    </xdr:from>
    <xdr:to>
      <xdr:col>19</xdr:col>
      <xdr:colOff>267890</xdr:colOff>
      <xdr:row>41</xdr:row>
      <xdr:rowOff>64692</xdr:rowOff>
    </xdr:to>
    <xdr:graphicFrame macro="">
      <xdr:nvGraphicFramePr>
        <xdr:cNvPr id="5" name="Chart 3">
          <a:extLst>
            <a:ext uri="{FF2B5EF4-FFF2-40B4-BE49-F238E27FC236}">
              <a16:creationId xmlns:a16="http://schemas.microsoft.com/office/drawing/2014/main" id="{15BE3FF9-968F-4F88-BDD6-1AC09D11A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6</xdr:col>
      <xdr:colOff>245666</xdr:colOff>
      <xdr:row>4</xdr:row>
      <xdr:rowOff>179387</xdr:rowOff>
    </xdr:to>
    <xdr:pic>
      <xdr:nvPicPr>
        <xdr:cNvPr id="6" name="Picture 5">
          <a:extLst>
            <a:ext uri="{FF2B5EF4-FFF2-40B4-BE49-F238E27FC236}">
              <a16:creationId xmlns:a16="http://schemas.microsoft.com/office/drawing/2014/main" id="{AE291B54-2218-4E37-8271-E644588EB52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607219</xdr:colOff>
      <xdr:row>4</xdr:row>
      <xdr:rowOff>171450</xdr:rowOff>
    </xdr:to>
    <xdr:pic>
      <xdr:nvPicPr>
        <xdr:cNvPr id="2" name="Picture 1">
          <a:extLst>
            <a:ext uri="{FF2B5EF4-FFF2-40B4-BE49-F238E27FC236}">
              <a16:creationId xmlns:a16="http://schemas.microsoft.com/office/drawing/2014/main" id="{30625A68-287C-4E15-B118-BE11302B97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483394</xdr:colOff>
      <xdr:row>4</xdr:row>
      <xdr:rowOff>171450</xdr:rowOff>
    </xdr:to>
    <xdr:pic>
      <xdr:nvPicPr>
        <xdr:cNvPr id="2" name="Picture 1">
          <a:extLst>
            <a:ext uri="{FF2B5EF4-FFF2-40B4-BE49-F238E27FC236}">
              <a16:creationId xmlns:a16="http://schemas.microsoft.com/office/drawing/2014/main" id="{C0D02FD8-0084-42E6-8704-A32021F95A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873919</xdr:colOff>
      <xdr:row>4</xdr:row>
      <xdr:rowOff>171450</xdr:rowOff>
    </xdr:to>
    <xdr:pic>
      <xdr:nvPicPr>
        <xdr:cNvPr id="2" name="Picture 1">
          <a:extLst>
            <a:ext uri="{FF2B5EF4-FFF2-40B4-BE49-F238E27FC236}">
              <a16:creationId xmlns:a16="http://schemas.microsoft.com/office/drawing/2014/main" id="{E6E8941C-7C25-4BE7-9AE1-DC0FF35DB4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283369</xdr:colOff>
      <xdr:row>4</xdr:row>
      <xdr:rowOff>171450</xdr:rowOff>
    </xdr:to>
    <xdr:pic>
      <xdr:nvPicPr>
        <xdr:cNvPr id="2" name="Picture 1">
          <a:extLst>
            <a:ext uri="{FF2B5EF4-FFF2-40B4-BE49-F238E27FC236}">
              <a16:creationId xmlns:a16="http://schemas.microsoft.com/office/drawing/2014/main" id="{D7EF96D4-D544-4552-BC95-264BBA332C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31369"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BA52-40C7-4D7B-8318-E14F09B63474}">
  <dimension ref="A7:AF75"/>
  <sheetViews>
    <sheetView showGridLines="0" tabSelected="1" zoomScaleNormal="100" workbookViewId="0">
      <selection activeCell="C47" sqref="C47"/>
    </sheetView>
  </sheetViews>
  <sheetFormatPr defaultRowHeight="15" x14ac:dyDescent="0.25"/>
  <cols>
    <col min="2" max="2" width="29" customWidth="1"/>
    <col min="3" max="3" width="25" customWidth="1"/>
    <col min="4" max="4" width="22" customWidth="1"/>
  </cols>
  <sheetData>
    <row r="7" spans="1:30" x14ac:dyDescent="0.25">
      <c r="A7" s="39"/>
      <c r="B7" s="39"/>
      <c r="C7" s="39"/>
      <c r="D7" s="39"/>
      <c r="E7" s="39"/>
      <c r="F7" s="39"/>
      <c r="G7" s="39"/>
      <c r="H7" s="39"/>
      <c r="I7" s="39"/>
      <c r="J7" s="39"/>
      <c r="K7" s="39"/>
      <c r="L7" s="39"/>
      <c r="M7" s="39"/>
      <c r="N7" s="39"/>
      <c r="O7" s="39"/>
      <c r="P7" s="39"/>
      <c r="Q7" s="39"/>
      <c r="R7" s="39"/>
      <c r="S7" s="39"/>
      <c r="T7" s="39"/>
      <c r="U7" s="39"/>
      <c r="V7" s="39"/>
      <c r="W7" s="39"/>
      <c r="X7" s="39"/>
    </row>
    <row r="8" spans="1:30" x14ac:dyDescent="0.25">
      <c r="A8" s="41"/>
      <c r="B8" s="53" t="s">
        <v>247</v>
      </c>
      <c r="C8" s="53" t="s">
        <v>255</v>
      </c>
      <c r="D8" s="40"/>
      <c r="E8" s="41"/>
      <c r="F8" s="41"/>
      <c r="G8" s="41"/>
      <c r="H8" s="41"/>
      <c r="I8" s="41"/>
      <c r="J8" s="41"/>
      <c r="K8" s="41"/>
      <c r="L8" s="41"/>
      <c r="M8" s="41"/>
      <c r="N8" s="41"/>
      <c r="O8" s="41"/>
      <c r="P8" s="41"/>
      <c r="Q8" s="41"/>
      <c r="R8" s="41"/>
      <c r="S8" s="41"/>
      <c r="T8" s="41"/>
      <c r="U8" s="41"/>
      <c r="V8" s="41"/>
      <c r="W8" s="41"/>
      <c r="X8" s="41"/>
      <c r="Y8" s="27"/>
      <c r="Z8" s="27"/>
      <c r="AA8" s="27"/>
      <c r="AB8" s="27"/>
      <c r="AC8" s="27"/>
      <c r="AD8" s="27"/>
    </row>
    <row r="9" spans="1:30" x14ac:dyDescent="0.25">
      <c r="A9" s="41"/>
      <c r="B9" s="53" t="s">
        <v>248</v>
      </c>
      <c r="C9" s="53" t="s">
        <v>252</v>
      </c>
      <c r="D9" s="40"/>
      <c r="E9" s="41"/>
      <c r="F9" s="41"/>
      <c r="G9" s="41"/>
      <c r="H9" s="41"/>
      <c r="I9" s="41"/>
      <c r="J9" s="41"/>
      <c r="K9" s="41"/>
      <c r="L9" s="41"/>
      <c r="M9" s="41"/>
      <c r="N9" s="41"/>
      <c r="O9" s="41"/>
      <c r="P9" s="41"/>
      <c r="Q9" s="41"/>
      <c r="R9" s="41"/>
      <c r="S9" s="41"/>
      <c r="T9" s="41"/>
      <c r="U9" s="41"/>
      <c r="V9" s="41"/>
      <c r="W9" s="41"/>
      <c r="X9" s="41"/>
      <c r="Y9" s="27"/>
      <c r="Z9" s="27"/>
      <c r="AA9" s="27"/>
      <c r="AB9" s="27"/>
      <c r="AC9" s="27"/>
      <c r="AD9" s="27"/>
    </row>
    <row r="10" spans="1:30" x14ac:dyDescent="0.25">
      <c r="A10" s="41"/>
      <c r="B10" s="53" t="s">
        <v>249</v>
      </c>
      <c r="C10" s="54" t="s">
        <v>254</v>
      </c>
      <c r="D10" s="40"/>
      <c r="E10" s="18"/>
      <c r="F10" s="41"/>
      <c r="G10" s="41"/>
      <c r="H10" s="41"/>
      <c r="I10" s="41"/>
      <c r="J10" s="41"/>
      <c r="K10" s="41"/>
      <c r="L10" s="41"/>
      <c r="M10" s="41"/>
      <c r="N10" s="41"/>
      <c r="O10" s="41"/>
      <c r="P10" s="41"/>
      <c r="Q10" s="41"/>
      <c r="R10" s="41"/>
      <c r="S10" s="41"/>
      <c r="T10" s="41"/>
      <c r="U10" s="41"/>
      <c r="V10" s="41"/>
      <c r="W10" s="41"/>
      <c r="X10" s="41"/>
      <c r="Y10" s="27"/>
      <c r="Z10" s="27"/>
      <c r="AA10" s="27"/>
      <c r="AB10" s="27"/>
      <c r="AC10" s="27"/>
      <c r="AD10" s="27"/>
    </row>
    <row r="11" spans="1:30" x14ac:dyDescent="0.25">
      <c r="A11" s="41"/>
      <c r="B11" s="53" t="s">
        <v>250</v>
      </c>
      <c r="C11" s="53" t="s">
        <v>253</v>
      </c>
      <c r="D11" s="40"/>
      <c r="E11" s="41"/>
      <c r="F11" s="41"/>
      <c r="G11" s="41"/>
      <c r="H11" s="41"/>
      <c r="I11" s="41"/>
      <c r="J11" s="41"/>
      <c r="K11" s="41"/>
      <c r="L11" s="41"/>
      <c r="M11" s="41"/>
      <c r="N11" s="41"/>
      <c r="O11" s="41"/>
      <c r="P11" s="41"/>
      <c r="Q11" s="41"/>
      <c r="R11" s="41"/>
      <c r="S11" s="41"/>
      <c r="T11" s="41"/>
      <c r="U11" s="41"/>
      <c r="V11" s="41"/>
      <c r="W11" s="41"/>
      <c r="X11" s="41"/>
      <c r="Y11" s="27"/>
      <c r="Z11" s="27"/>
      <c r="AA11" s="27"/>
      <c r="AB11" s="27"/>
      <c r="AC11" s="27"/>
      <c r="AD11" s="27"/>
    </row>
    <row r="12" spans="1:30" x14ac:dyDescent="0.25">
      <c r="A12" s="41"/>
      <c r="B12" s="53" t="s">
        <v>251</v>
      </c>
      <c r="C12" s="53" t="s">
        <v>255</v>
      </c>
      <c r="D12" s="40"/>
      <c r="E12" s="41"/>
      <c r="F12" s="41"/>
      <c r="G12" s="41"/>
      <c r="H12" s="41"/>
      <c r="I12" s="41"/>
      <c r="J12" s="41"/>
      <c r="K12" s="41"/>
      <c r="L12" s="41"/>
      <c r="M12" s="41"/>
      <c r="N12" s="41"/>
      <c r="O12" s="41"/>
      <c r="P12" s="41"/>
      <c r="Q12" s="41"/>
      <c r="R12" s="41"/>
      <c r="S12" s="41"/>
      <c r="T12" s="41"/>
      <c r="U12" s="41"/>
      <c r="V12" s="41"/>
      <c r="W12" s="41"/>
      <c r="X12" s="41"/>
      <c r="Y12" s="27"/>
      <c r="Z12" s="27"/>
      <c r="AA12" s="27"/>
      <c r="AB12" s="27"/>
      <c r="AC12" s="27"/>
      <c r="AD12" s="27"/>
    </row>
    <row r="13" spans="1:30" x14ac:dyDescent="0.25">
      <c r="A13" s="41"/>
      <c r="B13" s="53" t="s">
        <v>194</v>
      </c>
      <c r="C13" s="53">
        <v>401.75</v>
      </c>
      <c r="D13" s="40"/>
      <c r="E13" s="41"/>
      <c r="F13" s="41"/>
      <c r="G13" s="41"/>
      <c r="H13" s="41"/>
      <c r="I13" s="41"/>
      <c r="J13" s="41"/>
      <c r="K13" s="41"/>
      <c r="L13" s="41"/>
      <c r="M13" s="41"/>
      <c r="N13" s="41"/>
      <c r="O13" s="41"/>
      <c r="P13" s="41"/>
      <c r="Q13" s="41"/>
      <c r="R13" s="41"/>
      <c r="S13" s="41"/>
      <c r="T13" s="41"/>
      <c r="U13" s="41"/>
      <c r="V13" s="41"/>
      <c r="W13" s="41"/>
      <c r="X13" s="41"/>
      <c r="Y13" s="27"/>
      <c r="Z13" s="27"/>
      <c r="AA13" s="27"/>
      <c r="AB13" s="27"/>
      <c r="AC13" s="27"/>
      <c r="AD13" s="27"/>
    </row>
    <row r="14" spans="1:30" x14ac:dyDescent="0.25">
      <c r="A14" s="41"/>
      <c r="B14" s="40"/>
      <c r="C14" s="40"/>
      <c r="D14" s="40"/>
      <c r="E14" s="41"/>
      <c r="F14" s="41"/>
      <c r="G14" s="41"/>
      <c r="H14" s="41"/>
      <c r="I14" s="41"/>
      <c r="J14" s="41"/>
      <c r="K14" s="41"/>
      <c r="L14" s="41"/>
      <c r="M14" s="41"/>
      <c r="N14" s="41"/>
      <c r="O14" s="41"/>
      <c r="P14" s="41"/>
      <c r="Q14" s="41"/>
      <c r="R14" s="41"/>
      <c r="S14" s="41"/>
      <c r="T14" s="41"/>
      <c r="U14" s="41"/>
      <c r="V14" s="41"/>
      <c r="W14" s="41"/>
      <c r="X14" s="41"/>
      <c r="Y14" s="27"/>
      <c r="Z14" s="27"/>
      <c r="AA14" s="27"/>
      <c r="AB14" s="27"/>
      <c r="AC14" s="27"/>
      <c r="AD14" s="27"/>
    </row>
    <row r="15" spans="1:30" x14ac:dyDescent="0.25">
      <c r="A15" s="41"/>
      <c r="B15" s="55" t="s">
        <v>221</v>
      </c>
      <c r="C15" s="8">
        <f>IF(B15="Best case",1,IF(B15="Base Case",2,3))</f>
        <v>2</v>
      </c>
      <c r="D15" s="40"/>
      <c r="E15" s="41"/>
      <c r="F15" s="41"/>
      <c r="G15" s="41"/>
      <c r="H15" s="41"/>
      <c r="I15" s="41"/>
      <c r="J15" s="41"/>
      <c r="K15" s="41"/>
      <c r="L15" s="41"/>
      <c r="M15" s="41"/>
      <c r="N15" s="41"/>
      <c r="O15" s="41"/>
      <c r="P15" s="41"/>
      <c r="Q15" s="41"/>
      <c r="R15" s="41"/>
      <c r="S15" s="41"/>
      <c r="T15" s="41"/>
      <c r="U15" s="41"/>
      <c r="V15" s="41"/>
      <c r="W15" s="41"/>
      <c r="X15" s="41"/>
      <c r="Y15" s="27"/>
      <c r="Z15" s="27"/>
      <c r="AA15" s="27"/>
      <c r="AB15" s="27"/>
      <c r="AC15" s="27"/>
      <c r="AD15" s="27"/>
    </row>
    <row r="16" spans="1:30" x14ac:dyDescent="0.25">
      <c r="A16" s="27"/>
      <c r="D16" s="8"/>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2" ht="18" x14ac:dyDescent="0.25">
      <c r="A17" s="27"/>
      <c r="B17" s="303" t="s">
        <v>257</v>
      </c>
      <c r="C17" s="303"/>
      <c r="D17" s="303"/>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2" x14ac:dyDescent="0.25">
      <c r="A18" s="27"/>
      <c r="B18" s="9" t="s">
        <v>63</v>
      </c>
      <c r="C18" s="3"/>
      <c r="D18" s="29" t="s">
        <v>189</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row>
    <row r="19" spans="1:32" x14ac:dyDescent="0.25">
      <c r="A19" s="27"/>
      <c r="B19" s="33" t="s">
        <v>190</v>
      </c>
      <c r="C19" s="22" t="s">
        <v>191</v>
      </c>
      <c r="D19" s="23">
        <v>2633224000</v>
      </c>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2" x14ac:dyDescent="0.25">
      <c r="A20" s="27"/>
      <c r="B20" s="7" t="s">
        <v>192</v>
      </c>
      <c r="C20" s="8" t="s">
        <v>193</v>
      </c>
      <c r="D20" s="24">
        <v>1</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2" x14ac:dyDescent="0.25">
      <c r="A21" s="27"/>
      <c r="B21" s="7" t="s">
        <v>194</v>
      </c>
      <c r="C21" s="8" t="s">
        <v>193</v>
      </c>
      <c r="D21" s="24">
        <f>C13</f>
        <v>401.75</v>
      </c>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2" x14ac:dyDescent="0.25">
      <c r="A22" s="27"/>
      <c r="B22" s="9" t="s">
        <v>195</v>
      </c>
      <c r="C22" s="3" t="s">
        <v>196</v>
      </c>
      <c r="D22" s="45">
        <f>D19*D21/10^7</f>
        <v>105789.7742</v>
      </c>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2"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2" ht="18" x14ac:dyDescent="0.25">
      <c r="A24" s="303" t="s">
        <v>256</v>
      </c>
      <c r="B24" s="303"/>
      <c r="C24" s="303"/>
      <c r="D24" s="303"/>
      <c r="E24" s="303"/>
      <c r="F24" s="303"/>
      <c r="G24" s="303"/>
      <c r="H24" s="303"/>
      <c r="I24" s="303"/>
      <c r="J24" s="303"/>
      <c r="K24" s="303"/>
      <c r="L24" s="303"/>
      <c r="M24" s="303"/>
      <c r="N24" s="303"/>
      <c r="O24" s="303"/>
      <c r="P24" s="303"/>
      <c r="Q24" s="303"/>
      <c r="R24" s="303"/>
      <c r="S24" s="303"/>
      <c r="T24" s="303"/>
      <c r="U24" s="303"/>
      <c r="V24" s="303"/>
      <c r="W24" s="303"/>
      <c r="X24" s="303"/>
      <c r="Y24" s="303"/>
      <c r="Z24" s="303"/>
      <c r="AA24" s="303"/>
      <c r="AB24" s="303"/>
      <c r="AC24" s="303"/>
      <c r="AD24" s="303"/>
      <c r="AE24" s="39"/>
      <c r="AF24" s="39"/>
    </row>
    <row r="25" spans="1:32"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2" x14ac:dyDescent="0.25">
      <c r="A26" s="27"/>
      <c r="B26" s="33"/>
      <c r="C26" s="31"/>
      <c r="D26" s="21" t="s">
        <v>304</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284"/>
      <c r="AF26" s="79"/>
    </row>
    <row r="27" spans="1:32" x14ac:dyDescent="0.25">
      <c r="A27" s="27"/>
      <c r="B27" s="7"/>
      <c r="C27" s="24"/>
      <c r="D27" s="28"/>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4"/>
      <c r="AF27" s="17"/>
    </row>
    <row r="28" spans="1:32" x14ac:dyDescent="0.25">
      <c r="A28" s="27"/>
      <c r="B28" s="46"/>
      <c r="C28" s="16"/>
      <c r="D28" s="27" t="s">
        <v>305</v>
      </c>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4"/>
      <c r="AF28" s="17"/>
    </row>
    <row r="29" spans="1:32" x14ac:dyDescent="0.25">
      <c r="A29" s="27"/>
      <c r="B29" s="46"/>
      <c r="C29" s="16"/>
      <c r="D29" s="28"/>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4"/>
      <c r="AF29" s="17"/>
    </row>
    <row r="30" spans="1:32" x14ac:dyDescent="0.25">
      <c r="A30" s="27"/>
      <c r="B30" s="46" t="s">
        <v>275</v>
      </c>
      <c r="C30" s="16"/>
      <c r="D30" s="27" t="s">
        <v>306</v>
      </c>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4"/>
      <c r="AF30" s="17"/>
    </row>
    <row r="31" spans="1:32" x14ac:dyDescent="0.25">
      <c r="A31" s="27"/>
      <c r="B31" s="46"/>
      <c r="C31" s="16"/>
      <c r="D31" s="28"/>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4"/>
      <c r="AF31" s="17"/>
    </row>
    <row r="32" spans="1:32" x14ac:dyDescent="0.25">
      <c r="A32" s="27"/>
      <c r="B32" s="46"/>
      <c r="C32" s="16"/>
      <c r="D32" s="27" t="s">
        <v>307</v>
      </c>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4"/>
      <c r="AF32" s="17"/>
    </row>
    <row r="33" spans="1:32" x14ac:dyDescent="0.25">
      <c r="A33" s="27"/>
      <c r="B33" s="47"/>
      <c r="C33" s="48"/>
      <c r="D33" s="20"/>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44"/>
      <c r="AF33" s="17"/>
    </row>
    <row r="34" spans="1:32" x14ac:dyDescent="0.25">
      <c r="A34" s="27"/>
      <c r="B34" s="46"/>
      <c r="C34" s="16"/>
      <c r="D34" s="2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284"/>
      <c r="AF34" s="79"/>
    </row>
    <row r="35" spans="1:32" x14ac:dyDescent="0.25">
      <c r="A35" s="27"/>
      <c r="B35" s="46"/>
      <c r="C35" s="16"/>
      <c r="D35" s="27" t="s">
        <v>308</v>
      </c>
      <c r="E35" s="27"/>
      <c r="F35" s="27"/>
      <c r="G35" s="27"/>
      <c r="H35" s="27"/>
      <c r="I35" s="27"/>
      <c r="J35" s="27"/>
      <c r="K35" s="27"/>
      <c r="L35" s="27"/>
      <c r="M35" s="27"/>
      <c r="N35" s="27"/>
      <c r="O35" s="27"/>
      <c r="P35" s="27"/>
      <c r="Q35" s="27"/>
      <c r="R35" s="27"/>
      <c r="S35" s="27"/>
      <c r="T35" s="27"/>
      <c r="U35" s="27"/>
      <c r="V35" s="27"/>
      <c r="W35" s="27"/>
      <c r="X35" s="27"/>
      <c r="Y35" s="42"/>
      <c r="Z35" s="42"/>
      <c r="AA35" s="42"/>
      <c r="AB35" s="42"/>
      <c r="AC35" s="42"/>
      <c r="AD35" s="42"/>
      <c r="AE35" s="44"/>
      <c r="AF35" s="17"/>
    </row>
    <row r="36" spans="1:32" x14ac:dyDescent="0.25">
      <c r="A36" s="27"/>
      <c r="B36" s="46"/>
      <c r="C36" s="16"/>
      <c r="D36" s="42"/>
      <c r="E36" s="27"/>
      <c r="F36" s="27"/>
      <c r="G36" s="27"/>
      <c r="H36" s="27"/>
      <c r="I36" s="27"/>
      <c r="J36" s="27"/>
      <c r="K36" s="27"/>
      <c r="L36" s="27"/>
      <c r="M36" s="27"/>
      <c r="N36" s="27"/>
      <c r="O36" s="27"/>
      <c r="P36" s="27"/>
      <c r="Q36" s="27"/>
      <c r="R36" s="27"/>
      <c r="S36" s="27"/>
      <c r="T36" s="27"/>
      <c r="U36" s="27"/>
      <c r="V36" s="27"/>
      <c r="W36" s="27"/>
      <c r="X36" s="27"/>
      <c r="Y36" s="42"/>
      <c r="Z36" s="42"/>
      <c r="AA36" s="42"/>
      <c r="AB36" s="42"/>
      <c r="AC36" s="42"/>
      <c r="AD36" s="42"/>
      <c r="AE36" s="44"/>
      <c r="AF36" s="17"/>
    </row>
    <row r="37" spans="1:32" x14ac:dyDescent="0.25">
      <c r="A37" s="27"/>
      <c r="B37" s="46"/>
      <c r="C37" s="16"/>
      <c r="D37" s="27" t="s">
        <v>309</v>
      </c>
      <c r="E37" s="27"/>
      <c r="F37" s="27"/>
      <c r="G37" s="27"/>
      <c r="H37" s="27"/>
      <c r="I37" s="27"/>
      <c r="J37" s="27"/>
      <c r="K37" s="27"/>
      <c r="L37" s="27"/>
      <c r="M37" s="27"/>
      <c r="N37" s="27"/>
      <c r="O37" s="27"/>
      <c r="P37" s="27"/>
      <c r="Q37" s="27"/>
      <c r="R37" s="27"/>
      <c r="S37" s="27"/>
      <c r="T37" s="27"/>
      <c r="U37" s="27"/>
      <c r="V37" s="27"/>
      <c r="W37" s="27"/>
      <c r="X37" s="27"/>
      <c r="Y37" s="42"/>
      <c r="Z37" s="42"/>
      <c r="AA37" s="42"/>
      <c r="AB37" s="42"/>
      <c r="AC37" s="42"/>
      <c r="AD37" s="42"/>
      <c r="AE37" s="44"/>
      <c r="AF37" s="17"/>
    </row>
    <row r="38" spans="1:32" x14ac:dyDescent="0.25">
      <c r="A38" s="27"/>
      <c r="B38" s="46"/>
      <c r="C38" s="16"/>
      <c r="D38" s="27"/>
      <c r="E38" s="27"/>
      <c r="F38" s="27"/>
      <c r="G38" s="27"/>
      <c r="H38" s="27"/>
      <c r="I38" s="27"/>
      <c r="J38" s="27"/>
      <c r="K38" s="27"/>
      <c r="L38" s="27"/>
      <c r="M38" s="27"/>
      <c r="N38" s="27"/>
      <c r="O38" s="27"/>
      <c r="P38" s="27"/>
      <c r="Q38" s="27"/>
      <c r="R38" s="27"/>
      <c r="S38" s="27"/>
      <c r="T38" s="27"/>
      <c r="U38" s="27"/>
      <c r="V38" s="27"/>
      <c r="W38" s="27"/>
      <c r="X38" s="27"/>
      <c r="Y38" s="42"/>
      <c r="Z38" s="42"/>
      <c r="AA38" s="42"/>
      <c r="AB38" s="42"/>
      <c r="AC38" s="42"/>
      <c r="AD38" s="42"/>
      <c r="AE38" s="44"/>
      <c r="AF38" s="17"/>
    </row>
    <row r="39" spans="1:32" x14ac:dyDescent="0.25">
      <c r="A39" s="27"/>
      <c r="B39" s="46" t="s">
        <v>276</v>
      </c>
      <c r="C39" s="16"/>
      <c r="D39" s="27" t="s">
        <v>310</v>
      </c>
      <c r="E39" s="27"/>
      <c r="F39" s="27"/>
      <c r="G39" s="27"/>
      <c r="H39" s="27"/>
      <c r="I39" s="27"/>
      <c r="J39" s="27"/>
      <c r="K39" s="27"/>
      <c r="L39" s="27"/>
      <c r="M39" s="27"/>
      <c r="N39" s="27"/>
      <c r="O39" s="27"/>
      <c r="P39" s="27"/>
      <c r="Q39" s="27"/>
      <c r="R39" s="27"/>
      <c r="S39" s="27"/>
      <c r="T39" s="27"/>
      <c r="U39" s="27"/>
      <c r="V39" s="27"/>
      <c r="W39" s="27"/>
      <c r="X39" s="27"/>
      <c r="Y39" s="42"/>
      <c r="Z39" s="42"/>
      <c r="AA39" s="42"/>
      <c r="AB39" s="42"/>
      <c r="AC39" s="42"/>
      <c r="AD39" s="42"/>
      <c r="AE39" s="44"/>
      <c r="AF39" s="17"/>
    </row>
    <row r="40" spans="1:32" x14ac:dyDescent="0.25">
      <c r="A40" s="27"/>
      <c r="B40" s="46"/>
      <c r="C40" s="16"/>
      <c r="D40" s="27"/>
      <c r="E40" s="27"/>
      <c r="F40" s="27"/>
      <c r="G40" s="27"/>
      <c r="H40" s="27"/>
      <c r="I40" s="27"/>
      <c r="J40" s="27"/>
      <c r="K40" s="27"/>
      <c r="L40" s="27"/>
      <c r="M40" s="27"/>
      <c r="N40" s="27"/>
      <c r="O40" s="27"/>
      <c r="P40" s="27"/>
      <c r="Q40" s="27"/>
      <c r="R40" s="27"/>
      <c r="S40" s="27"/>
      <c r="T40" s="27"/>
      <c r="U40" s="27"/>
      <c r="V40" s="27"/>
      <c r="W40" s="27"/>
      <c r="X40" s="27"/>
      <c r="Y40" s="42"/>
      <c r="Z40" s="42"/>
      <c r="AA40" s="42"/>
      <c r="AB40" s="42"/>
      <c r="AC40" s="42"/>
      <c r="AD40" s="42"/>
      <c r="AE40" s="44"/>
      <c r="AF40" s="17"/>
    </row>
    <row r="41" spans="1:32" x14ac:dyDescent="0.25">
      <c r="A41" s="27"/>
      <c r="B41" s="43"/>
      <c r="C41" s="16"/>
      <c r="D41" s="27" t="s">
        <v>311</v>
      </c>
      <c r="E41" s="27"/>
      <c r="F41" s="27"/>
      <c r="G41" s="27"/>
      <c r="H41" s="27"/>
      <c r="I41" s="27"/>
      <c r="J41" s="27"/>
      <c r="K41" s="27"/>
      <c r="L41" s="27"/>
      <c r="M41" s="27"/>
      <c r="N41" s="27"/>
      <c r="O41" s="27"/>
      <c r="P41" s="27"/>
      <c r="Q41" s="27"/>
      <c r="R41" s="27"/>
      <c r="S41" s="27"/>
      <c r="T41" s="27"/>
      <c r="U41" s="27"/>
      <c r="V41" s="27"/>
      <c r="W41" s="27"/>
      <c r="X41" s="27"/>
      <c r="Y41" s="42"/>
      <c r="Z41" s="42"/>
      <c r="AA41" s="42"/>
      <c r="AB41" s="42"/>
      <c r="AC41" s="42"/>
      <c r="AD41" s="42"/>
      <c r="AE41" s="44"/>
      <c r="AF41" s="17"/>
    </row>
    <row r="42" spans="1:32" x14ac:dyDescent="0.25">
      <c r="A42" s="27"/>
      <c r="B42" s="46"/>
      <c r="C42" s="16"/>
      <c r="D42" s="28"/>
      <c r="E42" s="27"/>
      <c r="F42" s="27"/>
      <c r="G42" s="27"/>
      <c r="H42" s="27"/>
      <c r="I42" s="27"/>
      <c r="J42" s="27"/>
      <c r="K42" s="27"/>
      <c r="L42" s="27"/>
      <c r="M42" s="27"/>
      <c r="N42" s="27"/>
      <c r="O42" s="27"/>
      <c r="P42" s="27"/>
      <c r="Q42" s="27"/>
      <c r="R42" s="27"/>
      <c r="S42" s="27"/>
      <c r="T42" s="27"/>
      <c r="U42" s="27"/>
      <c r="V42" s="27"/>
      <c r="W42" s="27"/>
      <c r="X42" s="27"/>
      <c r="Y42" s="42"/>
      <c r="Z42" s="42"/>
      <c r="AA42" s="42"/>
      <c r="AB42" s="42"/>
      <c r="AC42" s="42"/>
      <c r="AD42" s="42"/>
      <c r="AE42" s="44"/>
      <c r="AF42" s="17"/>
    </row>
    <row r="43" spans="1:32" x14ac:dyDescent="0.25">
      <c r="A43" s="27"/>
      <c r="B43" s="46"/>
      <c r="C43" s="16"/>
      <c r="D43" s="27" t="s">
        <v>312</v>
      </c>
      <c r="E43" s="27"/>
      <c r="F43" s="27"/>
      <c r="G43" s="27"/>
      <c r="H43" s="27"/>
      <c r="I43" s="27"/>
      <c r="J43" s="27"/>
      <c r="K43" s="27"/>
      <c r="L43" s="27"/>
      <c r="M43" s="27"/>
      <c r="N43" s="27"/>
      <c r="O43" s="27"/>
      <c r="P43" s="27"/>
      <c r="Q43" s="27"/>
      <c r="R43" s="27"/>
      <c r="S43" s="27"/>
      <c r="T43" s="27"/>
      <c r="U43" s="27"/>
      <c r="V43" s="27"/>
      <c r="W43" s="27"/>
      <c r="X43" s="27"/>
      <c r="Y43" s="42"/>
      <c r="Z43" s="42"/>
      <c r="AA43" s="42"/>
      <c r="AB43" s="42"/>
      <c r="AC43" s="42"/>
      <c r="AD43" s="42"/>
      <c r="AE43" s="44"/>
      <c r="AF43" s="17"/>
    </row>
    <row r="44" spans="1:32" x14ac:dyDescent="0.25">
      <c r="A44" s="27"/>
      <c r="B44" s="47"/>
      <c r="C44" s="48"/>
      <c r="D44" s="20"/>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4"/>
      <c r="AF44" s="17"/>
    </row>
    <row r="45" spans="1:32" x14ac:dyDescent="0.25">
      <c r="A45" s="27"/>
      <c r="B45" s="46"/>
      <c r="C45" s="16"/>
      <c r="D45" s="27"/>
      <c r="E45" s="27"/>
      <c r="F45" s="27"/>
      <c r="G45" s="27"/>
      <c r="H45" s="27"/>
      <c r="I45" s="27"/>
      <c r="J45" s="27"/>
      <c r="K45" s="27"/>
      <c r="L45" s="27"/>
      <c r="M45" s="27"/>
      <c r="N45" s="27"/>
      <c r="O45" s="27"/>
      <c r="P45" s="27"/>
      <c r="Q45" s="27"/>
      <c r="R45" s="27"/>
      <c r="S45" s="27"/>
      <c r="T45" s="27"/>
      <c r="U45" s="27"/>
      <c r="V45" s="27"/>
      <c r="W45" s="27"/>
      <c r="X45" s="27"/>
      <c r="Y45" s="30"/>
      <c r="Z45" s="30"/>
      <c r="AA45" s="30"/>
      <c r="AB45" s="30"/>
      <c r="AC45" s="30"/>
      <c r="AD45" s="30"/>
      <c r="AE45" s="284"/>
      <c r="AF45" s="79"/>
    </row>
    <row r="46" spans="1:32" x14ac:dyDescent="0.25">
      <c r="A46" s="27"/>
      <c r="B46" s="262" t="s">
        <v>225</v>
      </c>
      <c r="C46" s="16"/>
      <c r="D46" s="27" t="s">
        <v>313</v>
      </c>
      <c r="E46" s="27"/>
      <c r="F46" s="27"/>
      <c r="G46" s="27"/>
      <c r="H46" s="27"/>
      <c r="I46" s="27"/>
      <c r="J46" s="27"/>
      <c r="K46" s="27"/>
      <c r="L46" s="27"/>
      <c r="M46" s="27"/>
      <c r="N46" s="27"/>
      <c r="O46" s="27"/>
      <c r="P46" s="27"/>
      <c r="Q46" s="27"/>
      <c r="R46" s="27"/>
      <c r="S46" s="27"/>
      <c r="T46" s="27"/>
      <c r="U46" s="27"/>
      <c r="V46" s="27"/>
      <c r="W46" s="27"/>
      <c r="X46" s="27"/>
      <c r="Y46" s="42"/>
      <c r="Z46" s="42"/>
      <c r="AA46" s="42"/>
      <c r="AB46" s="42"/>
      <c r="AC46" s="42"/>
      <c r="AD46" s="42"/>
      <c r="AE46" s="44"/>
      <c r="AF46" s="17"/>
    </row>
    <row r="47" spans="1:32" x14ac:dyDescent="0.25">
      <c r="A47" s="27"/>
      <c r="B47" s="46"/>
      <c r="C47" s="16"/>
      <c r="D47" s="28"/>
      <c r="E47" s="27"/>
      <c r="F47" s="27"/>
      <c r="G47" s="27"/>
      <c r="H47" s="27"/>
      <c r="I47" s="27"/>
      <c r="J47" s="27"/>
      <c r="K47" s="27"/>
      <c r="L47" s="27"/>
      <c r="M47" s="27"/>
      <c r="N47" s="27"/>
      <c r="O47" s="27"/>
      <c r="P47" s="27"/>
      <c r="Q47" s="27"/>
      <c r="R47" s="27"/>
      <c r="S47" s="27"/>
      <c r="T47" s="27"/>
      <c r="U47" s="27"/>
      <c r="V47" s="27"/>
      <c r="W47" s="27"/>
      <c r="X47" s="27"/>
      <c r="Y47" s="42"/>
      <c r="Z47" s="42"/>
      <c r="AA47" s="42"/>
      <c r="AB47" s="42"/>
      <c r="AC47" s="42"/>
      <c r="AD47" s="42"/>
      <c r="AE47" s="44"/>
      <c r="AF47" s="17"/>
    </row>
    <row r="48" spans="1:32" x14ac:dyDescent="0.25">
      <c r="A48" s="27"/>
      <c r="B48" s="51"/>
      <c r="C48" s="16"/>
      <c r="D48" s="27" t="s">
        <v>314</v>
      </c>
      <c r="E48" s="27"/>
      <c r="F48" s="27"/>
      <c r="G48" s="27"/>
      <c r="H48" s="27"/>
      <c r="I48" s="27"/>
      <c r="J48" s="27"/>
      <c r="K48" s="27"/>
      <c r="L48" s="27"/>
      <c r="M48" s="27"/>
      <c r="N48" s="27"/>
      <c r="O48" s="27"/>
      <c r="P48" s="27"/>
      <c r="Q48" s="27"/>
      <c r="R48" s="27"/>
      <c r="S48" s="27"/>
      <c r="T48" s="27"/>
      <c r="U48" s="27"/>
      <c r="V48" s="27"/>
      <c r="W48" s="27"/>
      <c r="X48" s="27"/>
      <c r="Y48" s="42"/>
      <c r="Z48" s="42"/>
      <c r="AA48" s="42"/>
      <c r="AB48" s="42"/>
      <c r="AC48" s="42"/>
      <c r="AD48" s="42"/>
      <c r="AE48" s="44"/>
      <c r="AF48" s="17"/>
    </row>
    <row r="49" spans="1:32" x14ac:dyDescent="0.25">
      <c r="A49" s="27"/>
      <c r="B49" s="52"/>
      <c r="C49" s="48"/>
      <c r="D49" s="20"/>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44"/>
      <c r="AF49" s="17"/>
    </row>
    <row r="50" spans="1:32" x14ac:dyDescent="0.25">
      <c r="A50" s="27"/>
      <c r="B50" s="46"/>
      <c r="C50" s="16"/>
      <c r="D50" s="21"/>
      <c r="E50" s="30"/>
      <c r="F50" s="30"/>
      <c r="G50" s="30"/>
      <c r="H50" s="30"/>
      <c r="I50" s="30"/>
      <c r="J50" s="30"/>
      <c r="K50" s="30"/>
      <c r="L50" s="30"/>
      <c r="M50" s="30"/>
      <c r="N50" s="30"/>
      <c r="O50" s="30"/>
      <c r="P50" s="30"/>
      <c r="Q50" s="30"/>
      <c r="R50" s="30"/>
      <c r="S50" s="30"/>
      <c r="T50" s="30"/>
      <c r="U50" s="30"/>
      <c r="V50" s="30"/>
      <c r="W50" s="30"/>
      <c r="X50" s="30"/>
      <c r="Y50" s="27"/>
      <c r="Z50" s="27"/>
      <c r="AA50" s="27"/>
      <c r="AB50" s="27"/>
      <c r="AC50" s="27"/>
      <c r="AD50" s="42"/>
      <c r="AE50" s="284"/>
      <c r="AF50" s="79"/>
    </row>
    <row r="51" spans="1:32" x14ac:dyDescent="0.25">
      <c r="A51" s="27"/>
      <c r="B51" s="46" t="s">
        <v>226</v>
      </c>
      <c r="C51" s="16"/>
      <c r="D51" s="27" t="s">
        <v>315</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42"/>
      <c r="AE51" s="44"/>
      <c r="AF51" s="17"/>
    </row>
    <row r="52" spans="1:32" x14ac:dyDescent="0.25">
      <c r="A52" s="27"/>
      <c r="B52" s="47"/>
      <c r="C52" s="48"/>
      <c r="D52" s="20"/>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44"/>
      <c r="AF52" s="17"/>
    </row>
    <row r="53" spans="1:32" x14ac:dyDescent="0.25">
      <c r="A53" s="27"/>
      <c r="B53" s="46"/>
      <c r="C53" s="16"/>
      <c r="D53" s="28"/>
      <c r="E53" s="42"/>
      <c r="F53" s="42"/>
      <c r="G53" s="42"/>
      <c r="H53" s="42"/>
      <c r="I53" s="42"/>
      <c r="J53" s="30"/>
      <c r="K53" s="30"/>
      <c r="L53" s="42"/>
      <c r="M53" s="42"/>
      <c r="N53" s="42"/>
      <c r="O53" s="30"/>
      <c r="P53" s="42"/>
      <c r="Q53" s="30"/>
      <c r="R53" s="42"/>
      <c r="S53" s="30"/>
      <c r="T53" s="30"/>
      <c r="U53" s="42"/>
      <c r="V53" s="30"/>
      <c r="W53" s="30"/>
      <c r="X53" s="30"/>
      <c r="Y53" s="42"/>
      <c r="Z53" s="42"/>
      <c r="AA53" s="42"/>
      <c r="AB53" s="27"/>
      <c r="AC53" s="27"/>
      <c r="AD53" s="42"/>
      <c r="AE53" s="284"/>
      <c r="AF53" s="79"/>
    </row>
    <row r="54" spans="1:32" x14ac:dyDescent="0.25">
      <c r="A54" s="27"/>
      <c r="B54" s="46"/>
      <c r="C54" s="16"/>
      <c r="D54" s="27" t="s">
        <v>316</v>
      </c>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4"/>
      <c r="AF54" s="17"/>
    </row>
    <row r="55" spans="1:32" x14ac:dyDescent="0.25">
      <c r="A55" s="27"/>
      <c r="B55" s="46"/>
      <c r="C55" s="16"/>
      <c r="D55" s="28"/>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4"/>
      <c r="AF55" s="17"/>
    </row>
    <row r="56" spans="1:32" x14ac:dyDescent="0.25">
      <c r="A56" s="27"/>
      <c r="B56" s="46" t="s">
        <v>227</v>
      </c>
      <c r="C56" s="16"/>
      <c r="D56" s="27" t="s">
        <v>317</v>
      </c>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4"/>
      <c r="AF56" s="17"/>
    </row>
    <row r="57" spans="1:32" x14ac:dyDescent="0.25">
      <c r="A57" s="27"/>
      <c r="B57" s="46"/>
      <c r="C57" s="16"/>
      <c r="D57" s="28"/>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4"/>
      <c r="AF57" s="17"/>
    </row>
    <row r="58" spans="1:32" x14ac:dyDescent="0.25">
      <c r="A58" s="27"/>
      <c r="B58" s="46"/>
      <c r="C58" s="16"/>
      <c r="D58" s="27" t="s">
        <v>318</v>
      </c>
      <c r="E58" s="27"/>
      <c r="F58" s="27"/>
      <c r="G58" s="27"/>
      <c r="H58" s="27"/>
      <c r="I58" s="27"/>
      <c r="J58" s="27"/>
      <c r="K58" s="27"/>
      <c r="L58" s="27"/>
      <c r="M58" s="27"/>
      <c r="N58" s="27"/>
      <c r="O58" s="27"/>
      <c r="P58" s="27"/>
      <c r="Q58" s="27"/>
      <c r="R58" s="27"/>
      <c r="S58" s="27"/>
      <c r="T58" s="27"/>
      <c r="U58" s="27"/>
      <c r="V58" s="27"/>
      <c r="W58" s="27"/>
      <c r="X58" s="27"/>
      <c r="Y58" s="42"/>
      <c r="Z58" s="42"/>
      <c r="AA58" s="42"/>
      <c r="AB58" s="42"/>
      <c r="AC58" s="42"/>
      <c r="AD58" s="42"/>
      <c r="AE58" s="44"/>
      <c r="AF58" s="17"/>
    </row>
    <row r="59" spans="1:32" x14ac:dyDescent="0.25">
      <c r="A59" s="27"/>
      <c r="B59" s="47"/>
      <c r="C59" s="48"/>
      <c r="D59" s="20"/>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44"/>
      <c r="AF59" s="17"/>
    </row>
    <row r="60" spans="1:32" x14ac:dyDescent="0.25">
      <c r="A60" s="27"/>
      <c r="B60" s="46"/>
      <c r="C60" s="16"/>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284"/>
      <c r="AF60" s="79"/>
    </row>
    <row r="61" spans="1:32" x14ac:dyDescent="0.25">
      <c r="A61" s="27"/>
      <c r="B61" s="46"/>
      <c r="C61" s="16"/>
      <c r="D61" s="27" t="s">
        <v>319</v>
      </c>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4"/>
      <c r="AF61" s="17"/>
    </row>
    <row r="62" spans="1:32" x14ac:dyDescent="0.25">
      <c r="A62" s="27"/>
      <c r="B62" s="46" t="s">
        <v>228</v>
      </c>
      <c r="C62" s="1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42"/>
      <c r="AE62" s="44"/>
      <c r="AF62" s="17"/>
    </row>
    <row r="63" spans="1:32" x14ac:dyDescent="0.25">
      <c r="A63" s="27"/>
      <c r="B63" s="46"/>
      <c r="C63" s="16"/>
      <c r="D63" s="27" t="s">
        <v>320</v>
      </c>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42"/>
      <c r="AE63" s="44"/>
      <c r="AF63" s="17"/>
    </row>
    <row r="64" spans="1:32" x14ac:dyDescent="0.25">
      <c r="A64" s="27"/>
      <c r="B64" s="46"/>
      <c r="C64" s="16"/>
      <c r="D64" s="42"/>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42"/>
      <c r="AE64" s="44"/>
      <c r="AF64" s="17"/>
    </row>
    <row r="65" spans="1:32" x14ac:dyDescent="0.25">
      <c r="A65" s="27"/>
      <c r="B65" s="49"/>
      <c r="C65" s="5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284"/>
      <c r="AF65" s="79"/>
    </row>
    <row r="66" spans="1:32" x14ac:dyDescent="0.25">
      <c r="A66" s="27"/>
      <c r="B66" s="46" t="s">
        <v>229</v>
      </c>
      <c r="C66" s="16"/>
      <c r="D66" s="27" t="s">
        <v>321</v>
      </c>
      <c r="E66" s="27"/>
      <c r="F66" s="27"/>
      <c r="G66" s="27"/>
      <c r="H66" s="27"/>
      <c r="I66" s="27"/>
      <c r="J66" s="27"/>
      <c r="K66" s="27"/>
      <c r="L66" s="27"/>
      <c r="M66" s="27"/>
      <c r="N66" s="27"/>
      <c r="O66" s="27"/>
      <c r="P66" s="27"/>
      <c r="Q66" s="27"/>
      <c r="R66" s="27"/>
      <c r="S66" s="27"/>
      <c r="T66" s="27"/>
      <c r="U66" s="27"/>
      <c r="V66" s="27"/>
      <c r="W66" s="27"/>
      <c r="X66" s="42"/>
      <c r="Y66" s="42"/>
      <c r="Z66" s="42"/>
      <c r="AA66" s="42"/>
      <c r="AB66" s="42"/>
      <c r="AC66" s="42"/>
      <c r="AD66" s="42"/>
      <c r="AE66" s="44"/>
      <c r="AF66" s="17"/>
    </row>
    <row r="67" spans="1:32" x14ac:dyDescent="0.25">
      <c r="A67" s="27"/>
      <c r="B67" s="46"/>
      <c r="C67" s="16"/>
      <c r="D67" s="27"/>
      <c r="E67" s="27"/>
      <c r="F67" s="27"/>
      <c r="G67" s="27"/>
      <c r="H67" s="27"/>
      <c r="I67" s="27"/>
      <c r="J67" s="27"/>
      <c r="K67" s="27"/>
      <c r="L67" s="27"/>
      <c r="M67" s="27"/>
      <c r="N67" s="27"/>
      <c r="O67" s="27"/>
      <c r="P67" s="27"/>
      <c r="Q67" s="27"/>
      <c r="R67" s="27"/>
      <c r="S67" s="27"/>
      <c r="T67" s="27"/>
      <c r="U67" s="27"/>
      <c r="V67" s="27"/>
      <c r="W67" s="27"/>
      <c r="X67" s="42"/>
      <c r="Y67" s="32"/>
      <c r="Z67" s="32"/>
      <c r="AA67" s="32"/>
      <c r="AB67" s="32"/>
      <c r="AC67" s="32"/>
      <c r="AD67" s="32"/>
      <c r="AE67" s="44"/>
      <c r="AF67" s="17"/>
    </row>
    <row r="68" spans="1:32" x14ac:dyDescent="0.25">
      <c r="A68" s="27"/>
      <c r="B68" s="49"/>
      <c r="C68" s="50"/>
      <c r="D68" s="30"/>
      <c r="E68" s="30"/>
      <c r="F68" s="30"/>
      <c r="G68" s="30"/>
      <c r="H68" s="30"/>
      <c r="I68" s="30"/>
      <c r="J68" s="30"/>
      <c r="K68" s="30"/>
      <c r="L68" s="30"/>
      <c r="M68" s="30"/>
      <c r="N68" s="30"/>
      <c r="O68" s="30"/>
      <c r="P68" s="30"/>
      <c r="Q68" s="30"/>
      <c r="R68" s="30"/>
      <c r="S68" s="30"/>
      <c r="T68" s="30"/>
      <c r="U68" s="30"/>
      <c r="V68" s="30"/>
      <c r="W68" s="30"/>
      <c r="X68" s="30"/>
      <c r="Y68" s="30"/>
      <c r="Z68" s="42"/>
      <c r="AA68" s="42"/>
      <c r="AB68" s="42"/>
      <c r="AC68" s="42"/>
      <c r="AD68" s="42"/>
      <c r="AE68" s="284"/>
      <c r="AF68" s="79"/>
    </row>
    <row r="69" spans="1:32" x14ac:dyDescent="0.25">
      <c r="A69" s="27"/>
      <c r="B69" s="46" t="s">
        <v>230</v>
      </c>
      <c r="C69" s="16"/>
      <c r="D69" s="27" t="s">
        <v>322</v>
      </c>
      <c r="E69" s="27"/>
      <c r="F69" s="27"/>
      <c r="G69" s="27"/>
      <c r="H69" s="27"/>
      <c r="I69" s="27"/>
      <c r="J69" s="27"/>
      <c r="K69" s="27"/>
      <c r="L69" s="27"/>
      <c r="M69" s="27"/>
      <c r="N69" s="27"/>
      <c r="O69" s="27"/>
      <c r="P69" s="27"/>
      <c r="Q69" s="27"/>
      <c r="R69" s="27"/>
      <c r="S69" s="27"/>
      <c r="T69" s="27"/>
      <c r="U69" s="27"/>
      <c r="V69" s="27"/>
      <c r="W69" s="27"/>
      <c r="X69" s="42"/>
      <c r="Y69" s="42"/>
      <c r="Z69" s="42"/>
      <c r="AA69" s="42"/>
      <c r="AB69" s="42"/>
      <c r="AC69" s="42"/>
      <c r="AD69" s="42"/>
      <c r="AE69" s="44"/>
      <c r="AF69" s="17"/>
    </row>
    <row r="70" spans="1:32" x14ac:dyDescent="0.25">
      <c r="A70" s="27"/>
      <c r="B70" s="47"/>
      <c r="C70" s="48"/>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44"/>
      <c r="AF70" s="17"/>
    </row>
    <row r="71" spans="1:32" x14ac:dyDescent="0.25">
      <c r="A71" s="27"/>
      <c r="B71" s="49"/>
      <c r="C71" s="50"/>
      <c r="D71" s="27"/>
      <c r="E71" s="27"/>
      <c r="F71" s="27"/>
      <c r="G71" s="27"/>
      <c r="H71" s="27"/>
      <c r="I71" s="27"/>
      <c r="J71" s="27"/>
      <c r="K71" s="27"/>
      <c r="L71" s="27"/>
      <c r="M71" s="27"/>
      <c r="N71" s="27"/>
      <c r="O71" s="27"/>
      <c r="P71" s="27"/>
      <c r="Q71" s="27"/>
      <c r="R71" s="27"/>
      <c r="S71" s="27"/>
      <c r="T71" s="27"/>
      <c r="U71" s="27"/>
      <c r="V71" s="27"/>
      <c r="W71" s="27"/>
      <c r="X71" s="30"/>
      <c r="Y71" s="30"/>
      <c r="Z71" s="30"/>
      <c r="AA71" s="30"/>
      <c r="AB71" s="30"/>
      <c r="AC71" s="30"/>
      <c r="AD71" s="30"/>
      <c r="AE71" s="284"/>
      <c r="AF71" s="79"/>
    </row>
    <row r="72" spans="1:32" x14ac:dyDescent="0.25">
      <c r="A72" s="27"/>
      <c r="B72" s="46" t="s">
        <v>183</v>
      </c>
      <c r="C72" s="16"/>
      <c r="D72" s="27" t="s">
        <v>323</v>
      </c>
      <c r="E72" s="27"/>
      <c r="F72" s="27"/>
      <c r="G72" s="27"/>
      <c r="H72" s="27"/>
      <c r="I72" s="27"/>
      <c r="J72" s="27"/>
      <c r="K72" s="27"/>
      <c r="L72" s="27"/>
      <c r="M72" s="27"/>
      <c r="N72" s="27"/>
      <c r="O72" s="27"/>
      <c r="P72" s="27"/>
      <c r="Q72" s="27"/>
      <c r="R72" s="27"/>
      <c r="S72" s="27"/>
      <c r="T72" s="27"/>
      <c r="U72" s="27"/>
      <c r="V72" s="27"/>
      <c r="W72" s="27"/>
      <c r="X72" s="42"/>
      <c r="Y72" s="42"/>
      <c r="Z72" s="42"/>
      <c r="AA72" s="42"/>
      <c r="AB72" s="42"/>
      <c r="AC72" s="42"/>
      <c r="AD72" s="42"/>
      <c r="AE72" s="44"/>
      <c r="AF72" s="17"/>
    </row>
    <row r="73" spans="1:32" x14ac:dyDescent="0.25">
      <c r="A73" s="27"/>
      <c r="B73" s="47"/>
      <c r="C73" s="48"/>
      <c r="D73" s="20"/>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282"/>
      <c r="AF73" s="283"/>
    </row>
    <row r="75" spans="1:32" x14ac:dyDescent="0.2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row>
  </sheetData>
  <mergeCells count="2">
    <mergeCell ref="A24:AD24"/>
    <mergeCell ref="B17:D17"/>
  </mergeCells>
  <phoneticPr fontId="7" type="noConversion"/>
  <pageMargins left="0.7" right="0.7" top="0.75" bottom="0.75" header="0.3" footer="0.3"/>
  <pageSetup orientation="portrait" horizontalDpi="300" verticalDpi="0" copies="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450125B-8597-4D9F-B5D9-870EE5BB9AD3}">
          <x14:formula1>
            <xm:f>'Revenue Bulid Up'!$B$32:$B$34</xm:f>
          </x14:formula1>
          <xm:sqref>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5B62-32FE-456D-9DF9-518B70B089C9}">
  <dimension ref="B5:M56"/>
  <sheetViews>
    <sheetView showGridLines="0" topLeftCell="A40" workbookViewId="0">
      <selection activeCell="I8" sqref="I8"/>
    </sheetView>
  </sheetViews>
  <sheetFormatPr defaultRowHeight="15" x14ac:dyDescent="0.25"/>
  <cols>
    <col min="1" max="1" width="0.85546875" customWidth="1"/>
    <col min="2" max="2" width="65.85546875" customWidth="1"/>
    <col min="3" max="7" width="12" bestFit="1" customWidth="1"/>
  </cols>
  <sheetData>
    <row r="5" spans="2:13" x14ac:dyDescent="0.25">
      <c r="G5" t="s">
        <v>259</v>
      </c>
    </row>
    <row r="6" spans="2:13" ht="18" x14ac:dyDescent="0.25">
      <c r="B6" s="303" t="s">
        <v>258</v>
      </c>
      <c r="C6" s="303"/>
      <c r="D6" s="303"/>
      <c r="E6" s="303"/>
      <c r="F6" s="303"/>
      <c r="G6" s="303"/>
    </row>
    <row r="7" spans="2:13" x14ac:dyDescent="0.25">
      <c r="B7" s="304" t="s">
        <v>63</v>
      </c>
      <c r="C7" s="7">
        <v>2020</v>
      </c>
      <c r="D7" s="14">
        <f>C7+1</f>
        <v>2021</v>
      </c>
      <c r="E7" s="14">
        <f>D7+1</f>
        <v>2022</v>
      </c>
      <c r="F7" s="14">
        <f>E7+1</f>
        <v>2023</v>
      </c>
      <c r="G7" s="24">
        <f>F7+1</f>
        <v>2024</v>
      </c>
    </row>
    <row r="8" spans="2:13" x14ac:dyDescent="0.25">
      <c r="B8" s="305"/>
      <c r="C8" s="9" t="s">
        <v>62</v>
      </c>
      <c r="D8" s="3" t="s">
        <v>62</v>
      </c>
      <c r="E8" s="3" t="s">
        <v>62</v>
      </c>
      <c r="F8" s="3" t="s">
        <v>62</v>
      </c>
      <c r="G8" s="29" t="s">
        <v>62</v>
      </c>
    </row>
    <row r="9" spans="2:13" x14ac:dyDescent="0.25">
      <c r="B9" s="57"/>
      <c r="G9" s="17"/>
    </row>
    <row r="10" spans="2:13" x14ac:dyDescent="0.25">
      <c r="B10" s="59" t="s">
        <v>64</v>
      </c>
      <c r="C10" s="62">
        <v>29929.78</v>
      </c>
      <c r="D10" s="62">
        <v>35552.68</v>
      </c>
      <c r="E10" s="62">
        <v>39269.050000000003</v>
      </c>
      <c r="F10" s="62">
        <v>39478.26</v>
      </c>
      <c r="G10" s="69">
        <v>47504.75</v>
      </c>
    </row>
    <row r="11" spans="2:13" x14ac:dyDescent="0.25">
      <c r="B11" s="59"/>
      <c r="C11" s="62"/>
      <c r="D11" s="62"/>
      <c r="E11" s="62"/>
      <c r="F11" s="62"/>
      <c r="G11" s="69"/>
      <c r="I11" s="1"/>
    </row>
    <row r="12" spans="2:13" x14ac:dyDescent="0.25">
      <c r="B12" s="67" t="s">
        <v>14</v>
      </c>
      <c r="C12" s="68">
        <f>SUM(C10:C11)</f>
        <v>29929.78</v>
      </c>
      <c r="D12" s="68">
        <f>SUM(D10:D11)</f>
        <v>35552.68</v>
      </c>
      <c r="E12" s="68">
        <f>SUM(E10:E11)</f>
        <v>39269.050000000003</v>
      </c>
      <c r="F12" s="68">
        <f>SUM(F10:F11)</f>
        <v>39478.26</v>
      </c>
      <c r="G12" s="70">
        <f>SUM(G10:G11)</f>
        <v>47504.75</v>
      </c>
      <c r="I12" s="1"/>
      <c r="J12" s="1"/>
      <c r="K12" s="1"/>
      <c r="L12" s="1"/>
      <c r="M12" s="1"/>
    </row>
    <row r="13" spans="2:13" x14ac:dyDescent="0.25">
      <c r="B13" s="296"/>
      <c r="C13" s="297"/>
      <c r="D13" s="297"/>
      <c r="E13" s="297"/>
      <c r="F13" s="297"/>
      <c r="G13" s="298"/>
      <c r="I13" s="1"/>
      <c r="J13" s="1"/>
      <c r="K13" s="1"/>
      <c r="L13" s="1"/>
      <c r="M13" s="1"/>
    </row>
    <row r="14" spans="2:13" x14ac:dyDescent="0.25">
      <c r="B14" s="59" t="s">
        <v>287</v>
      </c>
      <c r="C14" s="62">
        <v>15579.15</v>
      </c>
      <c r="D14" s="62">
        <v>17933.3</v>
      </c>
      <c r="E14" s="62">
        <v>17862.55</v>
      </c>
      <c r="F14" s="62">
        <v>17094.660000000003</v>
      </c>
      <c r="G14" s="69">
        <v>18889.510000000002</v>
      </c>
      <c r="I14" s="301"/>
      <c r="J14" s="1"/>
      <c r="K14" s="1"/>
      <c r="L14" s="1"/>
      <c r="M14" s="1"/>
    </row>
    <row r="15" spans="2:13" x14ac:dyDescent="0.25">
      <c r="B15" s="59" t="s">
        <v>0</v>
      </c>
      <c r="C15" s="62">
        <v>2357.9</v>
      </c>
      <c r="D15" s="62">
        <v>330.26</v>
      </c>
      <c r="E15" s="62">
        <v>799.05</v>
      </c>
      <c r="F15" s="62">
        <v>1114.04</v>
      </c>
      <c r="G15" s="69">
        <v>166.57</v>
      </c>
      <c r="I15" s="1"/>
      <c r="J15" s="1"/>
      <c r="K15" s="1"/>
      <c r="L15" s="1"/>
      <c r="M15" s="1"/>
    </row>
    <row r="16" spans="2:13" x14ac:dyDescent="0.25">
      <c r="B16" s="59" t="s">
        <v>1</v>
      </c>
      <c r="C16" s="62">
        <v>25.44</v>
      </c>
      <c r="D16" s="62">
        <v>9.9499999999999993</v>
      </c>
      <c r="E16" s="62">
        <v>16.73</v>
      </c>
      <c r="F16" s="62">
        <v>16.29</v>
      </c>
      <c r="G16" s="69">
        <v>24.26</v>
      </c>
    </row>
    <row r="17" spans="2:8" x14ac:dyDescent="0.25">
      <c r="B17" s="59" t="s">
        <v>2</v>
      </c>
      <c r="C17" s="62">
        <v>25.85</v>
      </c>
      <c r="D17" s="62">
        <v>0</v>
      </c>
      <c r="E17" s="62">
        <v>0</v>
      </c>
      <c r="F17" s="62">
        <v>0</v>
      </c>
      <c r="G17" s="69">
        <v>0</v>
      </c>
    </row>
    <row r="18" spans="2:8" x14ac:dyDescent="0.25">
      <c r="B18" s="59" t="s">
        <v>3</v>
      </c>
      <c r="C18" s="62">
        <v>919.49</v>
      </c>
      <c r="D18" s="62">
        <v>2445.94</v>
      </c>
      <c r="E18" s="62">
        <v>3470.02</v>
      </c>
      <c r="F18" s="62">
        <v>142.16999999999999</v>
      </c>
      <c r="G18" s="69">
        <v>-1379.58</v>
      </c>
    </row>
    <row r="19" spans="2:8" x14ac:dyDescent="0.25">
      <c r="B19" s="59" t="s">
        <v>4</v>
      </c>
      <c r="C19" s="62">
        <v>71.61</v>
      </c>
      <c r="D19" s="62">
        <v>88.51</v>
      </c>
      <c r="E19" s="62">
        <v>65.11</v>
      </c>
      <c r="F19" s="62">
        <v>54.06</v>
      </c>
      <c r="G19" s="69">
        <v>168.06</v>
      </c>
    </row>
    <row r="20" spans="2:8" x14ac:dyDescent="0.25">
      <c r="B20" s="59" t="s">
        <v>5</v>
      </c>
      <c r="C20" s="62">
        <v>193.15</v>
      </c>
      <c r="D20" s="62">
        <v>163.62</v>
      </c>
      <c r="E20" s="62">
        <v>180.09</v>
      </c>
      <c r="F20" s="62">
        <v>204.1</v>
      </c>
      <c r="G20" s="69">
        <v>238.03</v>
      </c>
    </row>
    <row r="21" spans="2:8" x14ac:dyDescent="0.25">
      <c r="B21" s="59" t="s">
        <v>6</v>
      </c>
      <c r="C21" s="62">
        <v>259.29000000000002</v>
      </c>
      <c r="D21" s="62">
        <v>146.27000000000001</v>
      </c>
      <c r="E21" s="62">
        <v>172.35</v>
      </c>
      <c r="F21" s="62">
        <v>203.91</v>
      </c>
      <c r="G21" s="69">
        <v>251.78</v>
      </c>
    </row>
    <row r="22" spans="2:8" x14ac:dyDescent="0.25">
      <c r="B22" s="59" t="s">
        <v>7</v>
      </c>
      <c r="C22" s="62">
        <v>130.41</v>
      </c>
      <c r="D22" s="62">
        <v>109.38</v>
      </c>
      <c r="E22" s="62">
        <v>124.31</v>
      </c>
      <c r="F22" s="62">
        <v>130.33000000000001</v>
      </c>
      <c r="G22" s="69">
        <v>170.44</v>
      </c>
    </row>
    <row r="23" spans="2:8" x14ac:dyDescent="0.25">
      <c r="B23" s="59"/>
      <c r="C23" s="62"/>
      <c r="D23" s="62"/>
      <c r="E23" s="62"/>
      <c r="F23" s="62"/>
      <c r="G23" s="69"/>
    </row>
    <row r="24" spans="2:8" x14ac:dyDescent="0.25">
      <c r="B24" s="67" t="s">
        <v>8</v>
      </c>
      <c r="C24" s="68">
        <f>SUM(C14:C22)</f>
        <v>19562.29</v>
      </c>
      <c r="D24" s="68">
        <f t="shared" ref="D24:G24" si="0">SUM(D14:D22)</f>
        <v>21227.229999999996</v>
      </c>
      <c r="E24" s="68">
        <f t="shared" si="0"/>
        <v>22690.21</v>
      </c>
      <c r="F24" s="68">
        <f t="shared" si="0"/>
        <v>18959.560000000005</v>
      </c>
      <c r="G24" s="70">
        <f t="shared" si="0"/>
        <v>18529.07</v>
      </c>
      <c r="H24" s="5"/>
    </row>
    <row r="25" spans="2:8" x14ac:dyDescent="0.25">
      <c r="B25" s="59"/>
      <c r="C25" s="62"/>
      <c r="D25" s="62"/>
      <c r="E25" s="62"/>
      <c r="F25" s="62"/>
      <c r="G25" s="69"/>
    </row>
    <row r="26" spans="2:8" x14ac:dyDescent="0.25">
      <c r="B26" s="67" t="s">
        <v>9</v>
      </c>
      <c r="C26" s="68">
        <f>C12-C24</f>
        <v>10367.489999999998</v>
      </c>
      <c r="D26" s="68">
        <f>D12-D24</f>
        <v>14325.450000000004</v>
      </c>
      <c r="E26" s="68">
        <f>E12-E24</f>
        <v>16578.840000000004</v>
      </c>
      <c r="F26" s="68">
        <f>F12-F24</f>
        <v>20518.699999999997</v>
      </c>
      <c r="G26" s="70">
        <f>G12-G24</f>
        <v>28975.68</v>
      </c>
    </row>
    <row r="27" spans="2:8" x14ac:dyDescent="0.25">
      <c r="B27" s="59"/>
      <c r="C27" s="62"/>
      <c r="D27" s="62"/>
      <c r="E27" s="62"/>
      <c r="F27" s="62"/>
      <c r="G27" s="69"/>
    </row>
    <row r="28" spans="2:8" x14ac:dyDescent="0.25">
      <c r="B28" s="59" t="s">
        <v>10</v>
      </c>
      <c r="C28" s="62">
        <v>11.77</v>
      </c>
      <c r="D28" s="62">
        <v>10.86</v>
      </c>
      <c r="E28" s="62">
        <v>18.239999999999998</v>
      </c>
      <c r="F28" s="62">
        <v>24.26</v>
      </c>
      <c r="G28" s="69">
        <v>23.99</v>
      </c>
    </row>
    <row r="29" spans="2:8" x14ac:dyDescent="0.25">
      <c r="B29" s="59"/>
      <c r="C29" s="62"/>
      <c r="D29" s="62"/>
      <c r="E29" s="62"/>
      <c r="F29" s="62"/>
      <c r="G29" s="69"/>
    </row>
    <row r="30" spans="2:8" x14ac:dyDescent="0.25">
      <c r="B30" s="67" t="s">
        <v>11</v>
      </c>
      <c r="C30" s="68">
        <f>C26-C28</f>
        <v>10355.719999999998</v>
      </c>
      <c r="D30" s="68">
        <f>D26-D28</f>
        <v>14314.590000000004</v>
      </c>
      <c r="E30" s="68">
        <f>E26-E28</f>
        <v>16560.600000000002</v>
      </c>
      <c r="F30" s="68">
        <f>F26-F28</f>
        <v>20494.439999999999</v>
      </c>
      <c r="G30" s="70">
        <f>G26-G28</f>
        <v>28951.69</v>
      </c>
    </row>
    <row r="31" spans="2:8" x14ac:dyDescent="0.25">
      <c r="B31" s="64"/>
      <c r="C31" s="62"/>
      <c r="D31" s="62"/>
      <c r="E31" s="62"/>
      <c r="F31" s="62"/>
      <c r="G31" s="69"/>
    </row>
    <row r="32" spans="2:8" x14ac:dyDescent="0.25">
      <c r="B32" s="59" t="s">
        <v>12</v>
      </c>
      <c r="C32" s="62">
        <v>3412.15</v>
      </c>
      <c r="D32" s="62">
        <v>3555.75</v>
      </c>
      <c r="E32" s="62">
        <v>4188.41</v>
      </c>
      <c r="F32" s="62">
        <v>6638.67</v>
      </c>
      <c r="G32" s="69">
        <v>11058.23</v>
      </c>
    </row>
    <row r="33" spans="2:7" x14ac:dyDescent="0.25">
      <c r="B33" s="59"/>
      <c r="C33" s="62"/>
      <c r="D33" s="62"/>
      <c r="E33" s="62"/>
      <c r="F33" s="62"/>
      <c r="G33" s="69"/>
    </row>
    <row r="34" spans="2:7" x14ac:dyDescent="0.25">
      <c r="B34" s="59" t="s">
        <v>13</v>
      </c>
      <c r="C34" s="62">
        <v>77.27</v>
      </c>
      <c r="D34" s="62">
        <v>22.72</v>
      </c>
      <c r="E34" s="62">
        <v>70.150000000000006</v>
      </c>
      <c r="F34" s="62">
        <v>41.9</v>
      </c>
      <c r="G34" s="69">
        <v>66.48</v>
      </c>
    </row>
    <row r="35" spans="2:7" x14ac:dyDescent="0.25">
      <c r="B35" s="59"/>
      <c r="C35" s="62"/>
      <c r="D35" s="62"/>
      <c r="E35" s="62"/>
      <c r="F35" s="62"/>
      <c r="G35" s="69"/>
    </row>
    <row r="36" spans="2:7" x14ac:dyDescent="0.25">
      <c r="B36" s="59" t="s">
        <v>15</v>
      </c>
      <c r="C36" s="62">
        <v>9.14</v>
      </c>
      <c r="D36" s="62">
        <v>-1.97</v>
      </c>
      <c r="E36" s="62">
        <v>-11.81</v>
      </c>
      <c r="F36" s="62">
        <v>0</v>
      </c>
      <c r="G36" s="69">
        <v>0</v>
      </c>
    </row>
    <row r="37" spans="2:7" x14ac:dyDescent="0.25">
      <c r="B37" s="59"/>
      <c r="C37" s="62"/>
      <c r="D37" s="62"/>
      <c r="E37" s="62"/>
      <c r="F37" s="62"/>
      <c r="G37" s="69"/>
    </row>
    <row r="38" spans="2:7" x14ac:dyDescent="0.25">
      <c r="B38" s="67" t="s">
        <v>16</v>
      </c>
      <c r="C38" s="68">
        <f>C30-C32+C34+C36</f>
        <v>7029.9799999999987</v>
      </c>
      <c r="D38" s="68">
        <f>D30-D32+D34+D36</f>
        <v>10779.590000000004</v>
      </c>
      <c r="E38" s="68">
        <f>E30-E32+E34+E36</f>
        <v>12430.530000000002</v>
      </c>
      <c r="F38" s="68">
        <f>F30-F32+F34+F36</f>
        <v>13897.669999999998</v>
      </c>
      <c r="G38" s="70">
        <f>G30-G32+G34+G36</f>
        <v>17959.939999999999</v>
      </c>
    </row>
    <row r="39" spans="2:7" x14ac:dyDescent="0.25">
      <c r="B39" s="59"/>
      <c r="C39" s="62"/>
      <c r="D39" s="62"/>
      <c r="E39" s="62"/>
      <c r="F39" s="62"/>
      <c r="G39" s="69"/>
    </row>
    <row r="40" spans="2:7" x14ac:dyDescent="0.25">
      <c r="B40" s="59" t="s">
        <v>17</v>
      </c>
      <c r="C40" s="62">
        <v>2057.71</v>
      </c>
      <c r="D40" s="62">
        <v>2401.35</v>
      </c>
      <c r="E40" s="62">
        <v>2394.83</v>
      </c>
      <c r="F40" s="62">
        <v>2730.69</v>
      </c>
      <c r="G40" s="69">
        <v>3814.48</v>
      </c>
    </row>
    <row r="41" spans="2:7" x14ac:dyDescent="0.25">
      <c r="B41" s="59"/>
      <c r="C41" s="62"/>
      <c r="D41" s="62"/>
      <c r="E41" s="62"/>
      <c r="F41" s="62"/>
      <c r="G41" s="69"/>
    </row>
    <row r="42" spans="2:7" x14ac:dyDescent="0.25">
      <c r="B42" s="66" t="s">
        <v>18</v>
      </c>
      <c r="C42" s="68">
        <f>C38-C40</f>
        <v>4972.2699999999986</v>
      </c>
      <c r="D42" s="68">
        <f>D38-D40</f>
        <v>8378.2400000000034</v>
      </c>
      <c r="E42" s="68">
        <f>E38-E40</f>
        <v>10035.700000000003</v>
      </c>
      <c r="F42" s="68">
        <f>F38-F40</f>
        <v>11166.979999999998</v>
      </c>
      <c r="G42" s="70">
        <f>G38-G40</f>
        <v>14145.46</v>
      </c>
    </row>
    <row r="43" spans="2:7" x14ac:dyDescent="0.25">
      <c r="B43" s="59"/>
      <c r="C43" s="62"/>
      <c r="D43" s="62"/>
      <c r="E43" s="62"/>
      <c r="F43" s="62"/>
      <c r="G43" s="69"/>
    </row>
    <row r="44" spans="2:7" x14ac:dyDescent="0.25">
      <c r="B44" s="59"/>
      <c r="G44" s="17"/>
    </row>
    <row r="45" spans="2:7" x14ac:dyDescent="0.25">
      <c r="B45" s="59" t="s">
        <v>231</v>
      </c>
      <c r="G45" s="17"/>
    </row>
    <row r="46" spans="2:7" x14ac:dyDescent="0.25">
      <c r="B46" s="61" t="s">
        <v>232</v>
      </c>
      <c r="C46" s="27"/>
      <c r="D46" s="26">
        <f>D12/C12-1</f>
        <v>0.18786974043912119</v>
      </c>
      <c r="E46" s="26">
        <f>E12/D12-1</f>
        <v>0.10453136022375809</v>
      </c>
      <c r="F46" s="26">
        <f>F12/E12-1</f>
        <v>5.3276053278599189E-3</v>
      </c>
      <c r="G46" s="71">
        <f>G12/F12-1</f>
        <v>0.20331417848709643</v>
      </c>
    </row>
    <row r="47" spans="2:7" x14ac:dyDescent="0.25">
      <c r="B47" s="61" t="s">
        <v>233</v>
      </c>
      <c r="C47" s="26">
        <f>(C12-SUM(C15,C16,C17,C19))/C12</f>
        <v>0.91711265502118633</v>
      </c>
      <c r="D47" s="26">
        <f>(D12-SUM(D15,D16,D17,D19))/D12</f>
        <v>0.98794127475059546</v>
      </c>
      <c r="E47" s="26">
        <f>(E12-SUM(E15,E16,E17,E19))/E12</f>
        <v>0.97756783013594672</v>
      </c>
      <c r="F47" s="26">
        <f>(F12-SUM(F15,F16,F17,F19))/F12</f>
        <v>0.96999893105724522</v>
      </c>
      <c r="G47" s="71">
        <f>(G12-SUM(G15,G16,G17,G19))/G12</f>
        <v>0.9924451765349781</v>
      </c>
    </row>
    <row r="48" spans="2:7" x14ac:dyDescent="0.25">
      <c r="B48" s="61" t="s">
        <v>234</v>
      </c>
      <c r="C48" s="26">
        <f>C26/C12</f>
        <v>0.34639379240341889</v>
      </c>
      <c r="D48" s="26">
        <f>D26/D12</f>
        <v>0.40293586868838027</v>
      </c>
      <c r="E48" s="26">
        <f>E26/E12</f>
        <v>0.42218591995477361</v>
      </c>
      <c r="F48" s="26">
        <f>F26/F12</f>
        <v>0.51974681761556862</v>
      </c>
      <c r="G48" s="71">
        <f>G26/G12</f>
        <v>0.60995332045742789</v>
      </c>
    </row>
    <row r="49" spans="2:7" x14ac:dyDescent="0.25">
      <c r="B49" s="61" t="s">
        <v>235</v>
      </c>
      <c r="C49" s="26">
        <f>C30/C12</f>
        <v>0.34600053859400232</v>
      </c>
      <c r="D49" s="26">
        <f>D30/D12</f>
        <v>0.40263040648412451</v>
      </c>
      <c r="E49" s="26">
        <f>E30/E12</f>
        <v>0.42172143201834528</v>
      </c>
      <c r="F49" s="26">
        <f>F30/F12</f>
        <v>0.51913230218353079</v>
      </c>
      <c r="G49" s="71">
        <f>G30/G12</f>
        <v>0.60944831832606206</v>
      </c>
    </row>
    <row r="50" spans="2:7" x14ac:dyDescent="0.25">
      <c r="B50" s="61" t="s">
        <v>236</v>
      </c>
      <c r="C50" s="26">
        <f>C42/C12</f>
        <v>0.16613119107457519</v>
      </c>
      <c r="D50" s="26">
        <f>D42/D12</f>
        <v>0.2356570587646277</v>
      </c>
      <c r="E50" s="26">
        <f>E42/E12</f>
        <v>0.25556258682091881</v>
      </c>
      <c r="F50" s="26">
        <f>F42/F12</f>
        <v>0.28286403706748975</v>
      </c>
      <c r="G50" s="71">
        <f>G42/G12</f>
        <v>0.29776938095664118</v>
      </c>
    </row>
    <row r="51" spans="2:7" x14ac:dyDescent="0.25">
      <c r="B51" s="61" t="s">
        <v>237</v>
      </c>
      <c r="C51" s="27"/>
      <c r="D51" s="26">
        <f>D42/AVERAGE('BS Input'!C36:D36)</f>
        <v>2.2404797880242737E-2</v>
      </c>
      <c r="E51" s="26">
        <f>E42/AVERAGE('BS Input'!D36:E36)</f>
        <v>2.4726787440939507E-2</v>
      </c>
      <c r="F51" s="26">
        <f>F42/AVERAGE('BS Input'!E36:F36)</f>
        <v>2.5484832287046764E-2</v>
      </c>
      <c r="G51" s="71">
        <f>G42/AVERAGE('BS Input'!F36:G36)</f>
        <v>2.7908742150391287E-2</v>
      </c>
    </row>
    <row r="52" spans="2:7" x14ac:dyDescent="0.25">
      <c r="B52" s="61" t="s">
        <v>118</v>
      </c>
      <c r="C52" s="63">
        <f>C12/'BS Input'!C36</f>
        <v>8.624549203342835E-2</v>
      </c>
      <c r="D52" s="63">
        <f>D12/'BS Input'!D36</f>
        <v>8.8689494345092684E-2</v>
      </c>
      <c r="E52" s="63">
        <f>E12/'BS Input'!E36</f>
        <v>9.5577669761012826E-2</v>
      </c>
      <c r="F52" s="63">
        <f>F12/'BS Input'!F36</f>
        <v>8.4807791146239209E-2</v>
      </c>
      <c r="G52" s="72">
        <f>G12/'BS Input'!G36</f>
        <v>8.6657282226166796E-2</v>
      </c>
    </row>
    <row r="53" spans="2:7" x14ac:dyDescent="0.25">
      <c r="B53" s="61" t="s">
        <v>238</v>
      </c>
      <c r="C53" s="63">
        <f>'BS Input'!C36/'BS Input'!C43</f>
        <v>9.8040983229099652</v>
      </c>
      <c r="D53" s="63">
        <f>'BS Input'!D36/'BS Input'!D43</f>
        <v>9.1597548483420006</v>
      </c>
      <c r="E53" s="63">
        <f>'BS Input'!E36/'BS Input'!E43</f>
        <v>8.0067679253850308</v>
      </c>
      <c r="F53" s="63">
        <f>'BS Input'!F36/'BS Input'!F43</f>
        <v>8.0092681568004132</v>
      </c>
      <c r="G53" s="72">
        <f>'BS Input'!G36/'BS Input'!G43</f>
        <v>7.9046735952646161</v>
      </c>
    </row>
    <row r="54" spans="2:7" x14ac:dyDescent="0.25">
      <c r="B54" s="65" t="s">
        <v>122</v>
      </c>
      <c r="C54" s="20"/>
      <c r="D54" s="73">
        <f>D42/AVERAGE('BS Input'!C43:D43)</f>
        <v>0.21167766291108336</v>
      </c>
      <c r="E54" s="73">
        <f>E42/AVERAGE('BS Input'!D43:E43)</f>
        <v>0.211104500166863</v>
      </c>
      <c r="F54" s="73">
        <f>F42/AVERAGE('BS Input'!E43:F43)</f>
        <v>0.20408497823494776</v>
      </c>
      <c r="G54" s="74">
        <f>G42/AVERAGE('BS Input'!F43:G43)</f>
        <v>0.22194046697454378</v>
      </c>
    </row>
    <row r="56" spans="2:7" x14ac:dyDescent="0.25">
      <c r="B56" s="39"/>
      <c r="C56" s="39"/>
      <c r="D56" s="39"/>
      <c r="E56" s="39"/>
      <c r="F56" s="39"/>
      <c r="G56" s="39"/>
    </row>
  </sheetData>
  <mergeCells count="2">
    <mergeCell ref="B7:B8"/>
    <mergeCell ref="B6:G6"/>
  </mergeCells>
  <pageMargins left="0.7" right="0.7" top="0.75" bottom="0.75" header="0.3" footer="0.3"/>
  <pageSetup orientation="portrait" horizontalDpi="300" verticalDpi="0" copies="0" r:id="rId1"/>
  <ignoredErrors>
    <ignoredError sqref="C12"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85E-5C1F-4D1E-BA85-11D492136820}">
  <dimension ref="A5:G82"/>
  <sheetViews>
    <sheetView showGridLines="0" topLeftCell="A67" workbookViewId="0">
      <selection activeCell="C27" sqref="C27"/>
    </sheetView>
  </sheetViews>
  <sheetFormatPr defaultRowHeight="15" x14ac:dyDescent="0.25"/>
  <cols>
    <col min="1" max="1" width="0.85546875" customWidth="1"/>
    <col min="2" max="2" width="60.140625" customWidth="1"/>
    <col min="3" max="3" width="14.42578125" customWidth="1"/>
    <col min="4" max="7" width="13.42578125" bestFit="1" customWidth="1"/>
  </cols>
  <sheetData>
    <row r="5" spans="2:7" x14ac:dyDescent="0.25">
      <c r="G5" t="s">
        <v>259</v>
      </c>
    </row>
    <row r="6" spans="2:7" x14ac:dyDescent="0.25">
      <c r="B6" s="39"/>
      <c r="C6" s="39"/>
      <c r="D6" s="39"/>
      <c r="E6" s="39"/>
      <c r="F6" s="39"/>
      <c r="G6" s="39"/>
    </row>
    <row r="7" spans="2:7" x14ac:dyDescent="0.25">
      <c r="B7" s="304" t="s">
        <v>63</v>
      </c>
      <c r="C7" s="33">
        <v>2020</v>
      </c>
      <c r="D7" s="22">
        <f>C7+1</f>
        <v>2021</v>
      </c>
      <c r="E7" s="22">
        <f>D7+1</f>
        <v>2022</v>
      </c>
      <c r="F7" s="22">
        <f>E7+1</f>
        <v>2023</v>
      </c>
      <c r="G7" s="78">
        <f>F7+1</f>
        <v>2024</v>
      </c>
    </row>
    <row r="8" spans="2:7" x14ac:dyDescent="0.25">
      <c r="B8" s="305"/>
      <c r="C8" s="9" t="s">
        <v>62</v>
      </c>
      <c r="D8" s="3" t="s">
        <v>62</v>
      </c>
      <c r="E8" s="3" t="s">
        <v>62</v>
      </c>
      <c r="F8" s="3" t="s">
        <v>62</v>
      </c>
      <c r="G8" s="29" t="s">
        <v>62</v>
      </c>
    </row>
    <row r="9" spans="2:7" x14ac:dyDescent="0.25">
      <c r="B9" s="58"/>
      <c r="G9" s="79"/>
    </row>
    <row r="10" spans="2:7" x14ac:dyDescent="0.25">
      <c r="B10" s="64" t="s">
        <v>38</v>
      </c>
      <c r="G10" s="17"/>
    </row>
    <row r="11" spans="2:7" x14ac:dyDescent="0.25">
      <c r="B11" s="59" t="s">
        <v>29</v>
      </c>
      <c r="C11" s="62">
        <v>409.94</v>
      </c>
      <c r="D11" s="62">
        <v>168.92</v>
      </c>
      <c r="E11" s="62">
        <v>191.56</v>
      </c>
      <c r="F11" s="62">
        <v>305.95</v>
      </c>
      <c r="G11" s="69">
        <v>309.68</v>
      </c>
    </row>
    <row r="12" spans="2:7" x14ac:dyDescent="0.25">
      <c r="B12" s="59" t="s">
        <v>30</v>
      </c>
      <c r="C12" s="62">
        <v>2050.5700000000002</v>
      </c>
      <c r="D12" s="62">
        <v>2461.0300000000002</v>
      </c>
      <c r="E12" s="62">
        <v>3160.12</v>
      </c>
      <c r="F12" s="62">
        <v>3307.56</v>
      </c>
      <c r="G12" s="69">
        <v>2500.96</v>
      </c>
    </row>
    <row r="13" spans="2:7" x14ac:dyDescent="0.25">
      <c r="B13" s="59" t="s">
        <v>31</v>
      </c>
      <c r="C13" s="62">
        <v>0.01</v>
      </c>
      <c r="D13" s="62">
        <v>0.01</v>
      </c>
      <c r="E13" s="62">
        <v>0</v>
      </c>
      <c r="F13" s="62">
        <v>0</v>
      </c>
      <c r="G13" s="69">
        <v>0</v>
      </c>
    </row>
    <row r="14" spans="2:7" x14ac:dyDescent="0.25">
      <c r="B14" s="59" t="s">
        <v>32</v>
      </c>
      <c r="C14" s="62">
        <v>156.97</v>
      </c>
      <c r="D14" s="62">
        <v>260.7</v>
      </c>
      <c r="E14" s="62">
        <v>624.04</v>
      </c>
      <c r="F14" s="62">
        <v>639.16999999999996</v>
      </c>
      <c r="G14" s="69">
        <v>630.98</v>
      </c>
    </row>
    <row r="15" spans="2:7" x14ac:dyDescent="0.25">
      <c r="B15" s="59" t="s">
        <v>33</v>
      </c>
      <c r="C15" s="62">
        <v>287.62</v>
      </c>
      <c r="D15" s="62">
        <v>335.67</v>
      </c>
      <c r="E15" s="62">
        <v>6.07</v>
      </c>
      <c r="F15" s="62">
        <v>2.72</v>
      </c>
      <c r="G15" s="69">
        <v>23.59</v>
      </c>
    </row>
    <row r="16" spans="2:7" x14ac:dyDescent="0.25">
      <c r="B16" s="59" t="s">
        <v>34</v>
      </c>
      <c r="C16" s="62">
        <v>0.77</v>
      </c>
      <c r="D16" s="62">
        <v>0.77</v>
      </c>
      <c r="E16" s="62">
        <v>0</v>
      </c>
      <c r="F16" s="62">
        <v>0</v>
      </c>
      <c r="G16" s="69">
        <v>0</v>
      </c>
    </row>
    <row r="17" spans="2:7" x14ac:dyDescent="0.25">
      <c r="B17" s="59" t="s">
        <v>35</v>
      </c>
      <c r="C17" s="62">
        <v>8.82</v>
      </c>
      <c r="D17" s="62">
        <v>6.15</v>
      </c>
      <c r="E17" s="62">
        <v>4.28</v>
      </c>
      <c r="F17" s="62">
        <v>1.63</v>
      </c>
      <c r="G17" s="69">
        <v>0.52</v>
      </c>
    </row>
    <row r="18" spans="2:7" x14ac:dyDescent="0.25">
      <c r="B18" s="59" t="s">
        <v>36</v>
      </c>
      <c r="C18" s="62">
        <v>132.37</v>
      </c>
      <c r="D18" s="62">
        <v>102.67</v>
      </c>
      <c r="E18" s="62">
        <v>68.680000000000007</v>
      </c>
      <c r="F18" s="62">
        <v>74.400000000000006</v>
      </c>
      <c r="G18" s="69">
        <v>117.03</v>
      </c>
    </row>
    <row r="19" spans="2:7" x14ac:dyDescent="0.25">
      <c r="B19" s="59" t="s">
        <v>37</v>
      </c>
      <c r="C19" s="62">
        <v>258.47000000000003</v>
      </c>
      <c r="D19" s="62">
        <v>257.74</v>
      </c>
      <c r="E19" s="62">
        <v>0</v>
      </c>
      <c r="F19" s="62">
        <v>0</v>
      </c>
      <c r="G19" s="69">
        <v>0</v>
      </c>
    </row>
    <row r="20" spans="2:7" x14ac:dyDescent="0.25">
      <c r="B20" s="59"/>
      <c r="C20" s="62"/>
      <c r="D20" s="62"/>
      <c r="E20" s="62"/>
      <c r="F20" s="62"/>
      <c r="G20" s="69"/>
    </row>
    <row r="21" spans="2:7" x14ac:dyDescent="0.25">
      <c r="B21" s="76" t="s">
        <v>39</v>
      </c>
      <c r="C21" s="75">
        <f>SUM(C11:C19)</f>
        <v>3305.54</v>
      </c>
      <c r="D21" s="75">
        <f>SUM(D11:D19)</f>
        <v>3593.6600000000008</v>
      </c>
      <c r="E21" s="75">
        <f>SUM(E11:E19)</f>
        <v>4054.75</v>
      </c>
      <c r="F21" s="75">
        <f>SUM(F11:F19)</f>
        <v>4331.4299999999994</v>
      </c>
      <c r="G21" s="80">
        <f>SUM(G11:G19)</f>
        <v>3582.76</v>
      </c>
    </row>
    <row r="22" spans="2:7" x14ac:dyDescent="0.25">
      <c r="B22" s="59"/>
      <c r="C22" s="62"/>
      <c r="D22" s="62"/>
      <c r="E22" s="62"/>
      <c r="F22" s="62"/>
      <c r="G22" s="69"/>
    </row>
    <row r="23" spans="2:7" x14ac:dyDescent="0.25">
      <c r="B23" s="64" t="s">
        <v>27</v>
      </c>
      <c r="C23" s="62"/>
      <c r="D23" s="62"/>
      <c r="E23" s="62"/>
      <c r="F23" s="62"/>
      <c r="G23" s="69"/>
    </row>
    <row r="24" spans="2:7" x14ac:dyDescent="0.25">
      <c r="B24" s="59" t="s">
        <v>20</v>
      </c>
      <c r="C24" s="62">
        <v>1717.71</v>
      </c>
      <c r="D24" s="62">
        <v>1179.24</v>
      </c>
      <c r="E24" s="62">
        <v>140.99</v>
      </c>
      <c r="F24" s="62">
        <v>48.7</v>
      </c>
      <c r="G24" s="69">
        <v>262.75</v>
      </c>
    </row>
    <row r="25" spans="2:7" x14ac:dyDescent="0.25">
      <c r="B25" s="59" t="s">
        <v>65</v>
      </c>
      <c r="C25" s="62">
        <v>2257.4499999999998</v>
      </c>
      <c r="D25" s="62">
        <v>2223.58</v>
      </c>
      <c r="E25" s="62">
        <v>2518.96</v>
      </c>
      <c r="F25" s="62">
        <v>2346.91</v>
      </c>
      <c r="G25" s="69">
        <v>2699.75</v>
      </c>
    </row>
    <row r="26" spans="2:7" x14ac:dyDescent="0.25">
      <c r="B26" s="59" t="s">
        <v>89</v>
      </c>
      <c r="C26" s="62">
        <v>0</v>
      </c>
      <c r="D26" s="62">
        <v>0</v>
      </c>
      <c r="E26" s="62">
        <v>0</v>
      </c>
      <c r="F26" s="62">
        <v>0</v>
      </c>
      <c r="G26" s="69">
        <v>0</v>
      </c>
    </row>
    <row r="27" spans="2:7" x14ac:dyDescent="0.25">
      <c r="B27" s="59" t="s">
        <v>22</v>
      </c>
      <c r="C27" s="62">
        <v>110.72</v>
      </c>
      <c r="D27" s="62">
        <v>140.07</v>
      </c>
      <c r="E27" s="62">
        <v>94.55</v>
      </c>
      <c r="F27" s="62">
        <v>113</v>
      </c>
      <c r="G27" s="69">
        <v>153.82</v>
      </c>
    </row>
    <row r="28" spans="2:7" x14ac:dyDescent="0.25">
      <c r="B28" s="59" t="s">
        <v>23</v>
      </c>
      <c r="C28" s="62">
        <v>3318.85</v>
      </c>
      <c r="D28" s="62">
        <v>2311.2199999999998</v>
      </c>
      <c r="E28" s="62">
        <v>5510.17</v>
      </c>
      <c r="F28" s="62">
        <v>8981.61</v>
      </c>
      <c r="G28" s="69">
        <v>12482.02</v>
      </c>
    </row>
    <row r="29" spans="2:7" x14ac:dyDescent="0.25">
      <c r="B29" s="59" t="s">
        <v>24</v>
      </c>
      <c r="C29" s="62">
        <v>312083.5</v>
      </c>
      <c r="D29" s="62">
        <v>365261.49</v>
      </c>
      <c r="E29" s="62">
        <v>371930.54</v>
      </c>
      <c r="F29" s="62">
        <v>422083.91</v>
      </c>
      <c r="G29" s="69">
        <v>499192.05</v>
      </c>
    </row>
    <row r="30" spans="2:7" x14ac:dyDescent="0.25">
      <c r="B30" s="59" t="s">
        <v>25</v>
      </c>
      <c r="C30" s="62">
        <v>2127.11</v>
      </c>
      <c r="D30" s="62">
        <v>1723.68</v>
      </c>
      <c r="E30" s="62">
        <v>2190.44</v>
      </c>
      <c r="F30" s="62">
        <v>3170</v>
      </c>
      <c r="G30" s="69">
        <v>5352.32</v>
      </c>
    </row>
    <row r="31" spans="2:7" x14ac:dyDescent="0.25">
      <c r="B31" s="59" t="s">
        <v>26</v>
      </c>
      <c r="C31" s="62">
        <v>22099.67</v>
      </c>
      <c r="D31" s="62">
        <v>24419.88</v>
      </c>
      <c r="E31" s="62">
        <v>24415.31</v>
      </c>
      <c r="F31" s="62">
        <v>24422.54</v>
      </c>
      <c r="G31" s="69">
        <v>24445.42</v>
      </c>
    </row>
    <row r="32" spans="2:7" x14ac:dyDescent="0.25">
      <c r="B32" s="59"/>
      <c r="C32" s="62"/>
      <c r="D32" s="62"/>
      <c r="E32" s="62"/>
      <c r="F32" s="62"/>
      <c r="G32" s="69"/>
    </row>
    <row r="33" spans="2:7" x14ac:dyDescent="0.25">
      <c r="B33" s="76" t="s">
        <v>28</v>
      </c>
      <c r="C33" s="75">
        <f>SUM(C24:C31)</f>
        <v>343715.00999999995</v>
      </c>
      <c r="D33" s="75">
        <f>SUM(D24:D31)</f>
        <v>397259.16</v>
      </c>
      <c r="E33" s="75">
        <f>SUM(E24:E31)</f>
        <v>406800.95999999996</v>
      </c>
      <c r="F33" s="75">
        <f>SUM(F24:F31)</f>
        <v>461166.67</v>
      </c>
      <c r="G33" s="80">
        <f>SUM(G24:G31)</f>
        <v>544588.13</v>
      </c>
    </row>
    <row r="34" spans="2:7" x14ac:dyDescent="0.25">
      <c r="B34" s="59" t="s">
        <v>56</v>
      </c>
      <c r="C34" s="62">
        <v>9.5299999999999994</v>
      </c>
      <c r="D34" s="62">
        <v>14.05</v>
      </c>
      <c r="E34" s="62">
        <v>4.38</v>
      </c>
      <c r="F34" s="62">
        <v>4.6500000000000004</v>
      </c>
      <c r="G34" s="69">
        <v>20.2</v>
      </c>
    </row>
    <row r="35" spans="2:7" x14ac:dyDescent="0.25">
      <c r="B35" s="59"/>
      <c r="C35" s="62"/>
      <c r="D35" s="62"/>
      <c r="E35" s="62"/>
      <c r="F35" s="62"/>
      <c r="G35" s="69"/>
    </row>
    <row r="36" spans="2:7" x14ac:dyDescent="0.25">
      <c r="B36" s="76" t="s">
        <v>57</v>
      </c>
      <c r="C36" s="75">
        <f>C21+C33+C34</f>
        <v>347030.07999999996</v>
      </c>
      <c r="D36" s="75">
        <f>D21+D33+D34</f>
        <v>400866.86999999994</v>
      </c>
      <c r="E36" s="75">
        <f>E21+E33+E34</f>
        <v>410860.08999999997</v>
      </c>
      <c r="F36" s="75">
        <f>F21+F33+F34</f>
        <v>465502.75</v>
      </c>
      <c r="G36" s="80">
        <f>G21+G33+G34</f>
        <v>548191.09</v>
      </c>
    </row>
    <row r="37" spans="2:7" x14ac:dyDescent="0.25">
      <c r="B37" s="64"/>
      <c r="C37" s="62"/>
      <c r="D37" s="62"/>
      <c r="E37" s="62"/>
      <c r="F37" s="62"/>
      <c r="G37" s="69"/>
    </row>
    <row r="38" spans="2:7" x14ac:dyDescent="0.25">
      <c r="B38" s="59" t="s">
        <v>40</v>
      </c>
      <c r="C38" s="62"/>
      <c r="D38" s="62"/>
      <c r="E38" s="62"/>
      <c r="F38" s="62"/>
      <c r="G38" s="69"/>
    </row>
    <row r="39" spans="2:7" x14ac:dyDescent="0.25">
      <c r="B39" s="59" t="s">
        <v>41</v>
      </c>
      <c r="C39" s="62">
        <v>1974.92</v>
      </c>
      <c r="D39" s="62">
        <v>1974.92</v>
      </c>
      <c r="E39" s="62">
        <v>1974.92</v>
      </c>
      <c r="F39" s="62">
        <v>2633.22</v>
      </c>
      <c r="G39" s="69">
        <v>2633.22</v>
      </c>
    </row>
    <row r="40" spans="2:7" x14ac:dyDescent="0.25">
      <c r="B40" s="59" t="s">
        <v>60</v>
      </c>
      <c r="C40" s="62"/>
      <c r="D40" s="62">
        <v>558.4</v>
      </c>
      <c r="E40" s="62">
        <v>558.4</v>
      </c>
      <c r="F40" s="62">
        <v>558.4</v>
      </c>
      <c r="G40" s="69">
        <v>558.4</v>
      </c>
    </row>
    <row r="41" spans="2:7" x14ac:dyDescent="0.25">
      <c r="B41" s="59" t="s">
        <v>42</v>
      </c>
      <c r="C41" s="62">
        <v>33421.51</v>
      </c>
      <c r="D41" s="62">
        <v>41230.61</v>
      </c>
      <c r="E41" s="62">
        <v>48780.78</v>
      </c>
      <c r="F41" s="62">
        <v>54928.89</v>
      </c>
      <c r="G41" s="69">
        <v>66158.63</v>
      </c>
    </row>
    <row r="42" spans="2:7" x14ac:dyDescent="0.25">
      <c r="B42" s="59"/>
      <c r="C42" s="62"/>
      <c r="D42" s="62"/>
      <c r="E42" s="62"/>
      <c r="F42" s="62"/>
      <c r="G42" s="69"/>
    </row>
    <row r="43" spans="2:7" x14ac:dyDescent="0.25">
      <c r="B43" s="76" t="s">
        <v>58</v>
      </c>
      <c r="C43" s="75">
        <f>SUM(C39:C41)</f>
        <v>35396.43</v>
      </c>
      <c r="D43" s="75">
        <f>SUM(D39:D41)</f>
        <v>43763.93</v>
      </c>
      <c r="E43" s="75">
        <f>SUM(E39:E41)</f>
        <v>51314.1</v>
      </c>
      <c r="F43" s="75">
        <f>SUM(F39:F41)</f>
        <v>58120.51</v>
      </c>
      <c r="G43" s="80">
        <f>SUM(G39:G41)</f>
        <v>69350.25</v>
      </c>
    </row>
    <row r="44" spans="2:7" x14ac:dyDescent="0.25">
      <c r="B44" s="59"/>
      <c r="C44" s="62"/>
      <c r="D44" s="62"/>
      <c r="E44" s="62"/>
      <c r="F44" s="62"/>
      <c r="G44" s="69"/>
    </row>
    <row r="45" spans="2:7" x14ac:dyDescent="0.25">
      <c r="B45" s="64" t="s">
        <v>43</v>
      </c>
      <c r="C45" s="62"/>
      <c r="D45" s="62"/>
      <c r="E45" s="62"/>
      <c r="F45" s="62"/>
      <c r="G45" s="69"/>
    </row>
    <row r="46" spans="2:7" x14ac:dyDescent="0.25">
      <c r="B46" s="59"/>
      <c r="C46" s="62"/>
      <c r="D46" s="62"/>
      <c r="E46" s="62"/>
      <c r="F46" s="62"/>
      <c r="G46" s="69"/>
    </row>
    <row r="47" spans="2:7" x14ac:dyDescent="0.25">
      <c r="B47" s="64" t="s">
        <v>53</v>
      </c>
      <c r="C47" s="62"/>
      <c r="D47" s="62"/>
      <c r="E47" s="62"/>
      <c r="F47" s="62"/>
      <c r="G47" s="69"/>
    </row>
    <row r="48" spans="2:7" x14ac:dyDescent="0.25">
      <c r="B48" s="59" t="s">
        <v>61</v>
      </c>
      <c r="C48" s="62">
        <v>0</v>
      </c>
      <c r="D48" s="62">
        <v>14.4</v>
      </c>
      <c r="E48" s="62">
        <v>10.25</v>
      </c>
      <c r="F48" s="62">
        <v>10.65</v>
      </c>
      <c r="G48" s="69">
        <v>66.510000000000005</v>
      </c>
    </row>
    <row r="49" spans="2:7" x14ac:dyDescent="0.25">
      <c r="B49" s="59" t="s">
        <v>50</v>
      </c>
      <c r="C49" s="62">
        <v>107.09</v>
      </c>
      <c r="D49" s="62">
        <v>104.68</v>
      </c>
      <c r="E49" s="62">
        <v>105.67</v>
      </c>
      <c r="F49" s="62">
        <v>111.62</v>
      </c>
      <c r="G49" s="69">
        <v>137.34</v>
      </c>
    </row>
    <row r="50" spans="2:7" x14ac:dyDescent="0.25">
      <c r="B50" s="59" t="s">
        <v>51</v>
      </c>
      <c r="C50" s="62">
        <v>83.23</v>
      </c>
      <c r="D50" s="62">
        <v>130.25</v>
      </c>
      <c r="E50" s="62">
        <v>89.13</v>
      </c>
      <c r="F50" s="62">
        <v>106.45</v>
      </c>
      <c r="G50" s="69">
        <v>259.79000000000002</v>
      </c>
    </row>
    <row r="51" spans="2:7" x14ac:dyDescent="0.25">
      <c r="B51" s="59"/>
      <c r="C51" s="62"/>
      <c r="D51" s="62"/>
      <c r="E51" s="62"/>
      <c r="F51" s="62"/>
      <c r="G51" s="69"/>
    </row>
    <row r="52" spans="2:7" x14ac:dyDescent="0.25">
      <c r="B52" s="76" t="s">
        <v>49</v>
      </c>
      <c r="C52" s="75">
        <f>SUM(C48:C50)</f>
        <v>190.32</v>
      </c>
      <c r="D52" s="75">
        <f>SUM(D48:D50)</f>
        <v>249.33</v>
      </c>
      <c r="E52" s="75">
        <f>SUM(E48:E50)</f>
        <v>205.05</v>
      </c>
      <c r="F52" s="75">
        <f>SUM(F48:F50)</f>
        <v>228.72000000000003</v>
      </c>
      <c r="G52" s="80">
        <f>SUM(G48:G50)</f>
        <v>463.64000000000004</v>
      </c>
    </row>
    <row r="53" spans="2:7" x14ac:dyDescent="0.25">
      <c r="B53" s="59"/>
      <c r="C53" s="62"/>
      <c r="D53" s="62"/>
      <c r="E53" s="62"/>
      <c r="F53" s="62"/>
      <c r="G53" s="69"/>
    </row>
    <row r="54" spans="2:7" x14ac:dyDescent="0.25">
      <c r="B54" s="64" t="s">
        <v>54</v>
      </c>
      <c r="C54" s="62"/>
      <c r="D54" s="62"/>
      <c r="E54" s="62"/>
      <c r="F54" s="62"/>
      <c r="G54" s="69"/>
    </row>
    <row r="55" spans="2:7" x14ac:dyDescent="0.25">
      <c r="B55" s="59" t="s">
        <v>23</v>
      </c>
      <c r="C55" s="62">
        <v>1325.73</v>
      </c>
      <c r="D55" s="62">
        <v>846.31</v>
      </c>
      <c r="E55" s="62">
        <v>553.14</v>
      </c>
      <c r="F55" s="62">
        <v>976.95</v>
      </c>
      <c r="G55" s="69">
        <v>759.7</v>
      </c>
    </row>
    <row r="56" spans="2:7" x14ac:dyDescent="0.25">
      <c r="B56" s="59" t="s">
        <v>44</v>
      </c>
      <c r="C56" s="62">
        <v>46.15</v>
      </c>
      <c r="D56" s="62">
        <v>61.51</v>
      </c>
      <c r="E56" s="62">
        <v>36.479999999999997</v>
      </c>
      <c r="F56" s="62">
        <v>41.68</v>
      </c>
      <c r="G56" s="69">
        <v>90.51</v>
      </c>
    </row>
    <row r="57" spans="2:7" x14ac:dyDescent="0.25">
      <c r="B57" s="59" t="s">
        <v>45</v>
      </c>
      <c r="C57" s="62">
        <v>219918.25</v>
      </c>
      <c r="D57" s="62">
        <v>237269.11</v>
      </c>
      <c r="E57" s="62">
        <v>219574.61</v>
      </c>
      <c r="F57" s="62">
        <v>236902.33</v>
      </c>
      <c r="G57" s="69">
        <v>266063.24</v>
      </c>
    </row>
    <row r="58" spans="2:7" x14ac:dyDescent="0.25">
      <c r="B58" s="59" t="s">
        <v>46</v>
      </c>
      <c r="C58" s="62">
        <v>61550.66</v>
      </c>
      <c r="D58" s="62">
        <v>85507.36</v>
      </c>
      <c r="E58" s="62">
        <v>106651.59</v>
      </c>
      <c r="F58" s="62">
        <v>137114.13</v>
      </c>
      <c r="G58" s="69">
        <v>172092.05</v>
      </c>
    </row>
    <row r="59" spans="2:7" x14ac:dyDescent="0.25">
      <c r="B59" s="59" t="s">
        <v>47</v>
      </c>
      <c r="C59" s="62">
        <v>4819.6499999999996</v>
      </c>
      <c r="D59" s="62">
        <v>6946.89</v>
      </c>
      <c r="E59" s="62">
        <v>6816.47</v>
      </c>
      <c r="F59" s="62">
        <v>6773.3</v>
      </c>
      <c r="G59" s="69">
        <v>7412.21</v>
      </c>
    </row>
    <row r="60" spans="2:7" x14ac:dyDescent="0.25">
      <c r="B60" s="59" t="s">
        <v>48</v>
      </c>
      <c r="C60" s="62">
        <v>23782.21</v>
      </c>
      <c r="D60" s="62">
        <v>26222.35</v>
      </c>
      <c r="E60" s="62">
        <v>25708.639999999999</v>
      </c>
      <c r="F60" s="62">
        <v>25345.11</v>
      </c>
      <c r="G60" s="69">
        <v>31959.49</v>
      </c>
    </row>
    <row r="61" spans="2:7" x14ac:dyDescent="0.25">
      <c r="B61" s="59"/>
      <c r="C61" s="62"/>
      <c r="D61" s="62"/>
      <c r="E61" s="62"/>
      <c r="F61" s="62"/>
      <c r="G61" s="69"/>
    </row>
    <row r="62" spans="2:7" x14ac:dyDescent="0.25">
      <c r="B62" s="76" t="s">
        <v>52</v>
      </c>
      <c r="C62" s="75">
        <f>SUM(C55:C60)</f>
        <v>311442.65000000008</v>
      </c>
      <c r="D62" s="75">
        <f>SUM(D55:D60)</f>
        <v>356853.52999999997</v>
      </c>
      <c r="E62" s="75">
        <f>SUM(E55:E60)</f>
        <v>359340.92999999993</v>
      </c>
      <c r="F62" s="75">
        <f>SUM(F55:F60)</f>
        <v>407153.49999999994</v>
      </c>
      <c r="G62" s="80">
        <f>SUM(G55:G60)</f>
        <v>478377.2</v>
      </c>
    </row>
    <row r="63" spans="2:7" x14ac:dyDescent="0.25">
      <c r="B63" s="59"/>
      <c r="C63" s="62"/>
      <c r="D63" s="62"/>
      <c r="E63" s="62"/>
      <c r="F63" s="62"/>
      <c r="G63" s="69"/>
    </row>
    <row r="64" spans="2:7" x14ac:dyDescent="0.25">
      <c r="B64" s="59" t="s">
        <v>55</v>
      </c>
      <c r="C64" s="62">
        <v>0.68</v>
      </c>
      <c r="D64" s="62">
        <v>0.08</v>
      </c>
      <c r="E64" s="62">
        <v>0.01</v>
      </c>
      <c r="F64" s="62">
        <v>0.02</v>
      </c>
      <c r="G64" s="69">
        <v>0</v>
      </c>
    </row>
    <row r="65" spans="1:7" x14ac:dyDescent="0.25">
      <c r="B65" s="59"/>
      <c r="C65" s="62"/>
      <c r="D65" s="62"/>
      <c r="E65" s="62"/>
      <c r="F65" s="62"/>
      <c r="G65" s="69"/>
    </row>
    <row r="66" spans="1:7" x14ac:dyDescent="0.25">
      <c r="B66" s="76" t="s">
        <v>59</v>
      </c>
      <c r="C66" s="75">
        <f>C43+C52+C62+C64</f>
        <v>347030.08000000007</v>
      </c>
      <c r="D66" s="75">
        <f>D43+D52+D62+D64</f>
        <v>400866.87</v>
      </c>
      <c r="E66" s="75">
        <f>E43+E52+E62+E64</f>
        <v>410860.08999999997</v>
      </c>
      <c r="F66" s="75">
        <f>F43+F52+F62+F64</f>
        <v>465502.74999999994</v>
      </c>
      <c r="G66" s="80">
        <f>G43+G52+G62+G64</f>
        <v>548191.09</v>
      </c>
    </row>
    <row r="67" spans="1:7" x14ac:dyDescent="0.25">
      <c r="B67" s="59"/>
      <c r="G67" s="17"/>
    </row>
    <row r="68" spans="1:7" x14ac:dyDescent="0.25">
      <c r="B68" s="59"/>
      <c r="G68" s="17"/>
    </row>
    <row r="69" spans="1:7" x14ac:dyDescent="0.25">
      <c r="B69" s="59"/>
      <c r="G69" s="17"/>
    </row>
    <row r="70" spans="1:7" x14ac:dyDescent="0.25">
      <c r="B70" s="59" t="s">
        <v>239</v>
      </c>
      <c r="G70" s="17"/>
    </row>
    <row r="71" spans="1:7" x14ac:dyDescent="0.25">
      <c r="B71" s="59" t="s">
        <v>128</v>
      </c>
      <c r="C71" s="11">
        <f>C33/C62</f>
        <v>1.1036221596496172</v>
      </c>
      <c r="D71" s="11">
        <f>D33/D62</f>
        <v>1.1132274914024249</v>
      </c>
      <c r="E71" s="11">
        <f>E33/E62</f>
        <v>1.1320752133635321</v>
      </c>
      <c r="F71" s="11">
        <f>F33/F62</f>
        <v>1.1326604585248563</v>
      </c>
      <c r="G71" s="81">
        <f>G33/G62</f>
        <v>1.1384073697492272</v>
      </c>
    </row>
    <row r="72" spans="1:7" x14ac:dyDescent="0.25">
      <c r="B72" s="59" t="s">
        <v>127</v>
      </c>
      <c r="C72" s="11">
        <f>C33/C62</f>
        <v>1.1036221596496172</v>
      </c>
      <c r="D72" s="11">
        <f>D33/D62</f>
        <v>1.1132274914024249</v>
      </c>
      <c r="E72" s="11">
        <f>E33/E62</f>
        <v>1.1320752133635321</v>
      </c>
      <c r="F72" s="11">
        <f>F33/F62</f>
        <v>1.1326604585248563</v>
      </c>
      <c r="G72" s="81">
        <f>G33/G62</f>
        <v>1.1384073697492272</v>
      </c>
    </row>
    <row r="73" spans="1:7" x14ac:dyDescent="0.25">
      <c r="B73" s="59" t="s">
        <v>240</v>
      </c>
      <c r="C73" s="11"/>
      <c r="D73" s="11"/>
      <c r="E73" s="11"/>
      <c r="F73" s="11"/>
      <c r="G73" s="81"/>
    </row>
    <row r="74" spans="1:7" x14ac:dyDescent="0.25">
      <c r="B74" s="59" t="s">
        <v>241</v>
      </c>
      <c r="C74" s="11">
        <f>C58/C43</f>
        <v>1.7388945721362297</v>
      </c>
      <c r="D74" s="11">
        <f>D58/D43</f>
        <v>1.9538318427983958</v>
      </c>
      <c r="E74" s="11">
        <f>E58/E43</f>
        <v>2.0784071044800552</v>
      </c>
      <c r="F74" s="11">
        <f>F58/F43</f>
        <v>2.3591350110313898</v>
      </c>
      <c r="G74" s="81">
        <f>G58/G43</f>
        <v>2.4814914149552449</v>
      </c>
    </row>
    <row r="75" spans="1:7" x14ac:dyDescent="0.25">
      <c r="B75" s="59" t="s">
        <v>242</v>
      </c>
      <c r="C75" s="11">
        <f>'P&amp;L Input'!C30/'P&amp;L Input'!C32</f>
        <v>3.0349545008279231</v>
      </c>
      <c r="D75" s="11">
        <f>'P&amp;L Input'!D30/'P&amp;L Input'!D32</f>
        <v>4.0257582788441271</v>
      </c>
      <c r="E75" s="11">
        <f>'P&amp;L Input'!E30/'P&amp;L Input'!E32</f>
        <v>3.9539109113004702</v>
      </c>
      <c r="F75" s="11">
        <f>'P&amp;L Input'!F30/'P&amp;L Input'!F32</f>
        <v>3.0871304041321528</v>
      </c>
      <c r="G75" s="81">
        <f>'P&amp;L Input'!G30/'P&amp;L Input'!G32</f>
        <v>2.6181124827391002</v>
      </c>
    </row>
    <row r="76" spans="1:7" x14ac:dyDescent="0.25">
      <c r="B76" s="77" t="s">
        <v>243</v>
      </c>
      <c r="C76" s="82">
        <f>'P&amp;L Input'!C26/'P&amp;L Input'!C32</f>
        <v>3.0384039388655242</v>
      </c>
      <c r="D76" s="82">
        <f>'P&amp;L Input'!D26/'P&amp;L Input'!D32</f>
        <v>4.0288124868171282</v>
      </c>
      <c r="E76" s="82">
        <f>'P&amp;L Input'!E26/'P&amp;L Input'!E32</f>
        <v>3.9582657858232611</v>
      </c>
      <c r="F76" s="82">
        <f>'P&amp;L Input'!F26/'P&amp;L Input'!F32</f>
        <v>3.0907847505599761</v>
      </c>
      <c r="G76" s="83">
        <f>'P&amp;L Input'!G26/'P&amp;L Input'!G32</f>
        <v>2.6202819076832369</v>
      </c>
    </row>
    <row r="77" spans="1:7" x14ac:dyDescent="0.25">
      <c r="A77" s="44"/>
      <c r="B77" s="42"/>
      <c r="C77" s="44"/>
    </row>
    <row r="78" spans="1:7" x14ac:dyDescent="0.25">
      <c r="B78" s="39"/>
      <c r="C78" s="39"/>
      <c r="D78" s="39"/>
      <c r="E78" s="39"/>
      <c r="F78" s="39"/>
      <c r="G78" s="39"/>
    </row>
    <row r="82" spans="5:5" x14ac:dyDescent="0.25">
      <c r="E82" s="44"/>
    </row>
  </sheetData>
  <mergeCells count="1">
    <mergeCell ref="B7:B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1226-4A9C-4E98-AB77-92FD8D2BA339}">
  <dimension ref="B5:G101"/>
  <sheetViews>
    <sheetView showGridLines="0" topLeftCell="A82" workbookViewId="0">
      <selection activeCell="I13" sqref="I13"/>
    </sheetView>
  </sheetViews>
  <sheetFormatPr defaultRowHeight="15" x14ac:dyDescent="0.25"/>
  <cols>
    <col min="1" max="1" width="0.85546875" customWidth="1"/>
    <col min="2" max="2" width="66.28515625" customWidth="1"/>
    <col min="3" max="3" width="14" customWidth="1"/>
    <col min="4" max="5" width="12.5703125" customWidth="1"/>
    <col min="6" max="6" width="15.42578125" customWidth="1"/>
    <col min="7" max="7" width="14" customWidth="1"/>
  </cols>
  <sheetData>
    <row r="5" spans="2:7" x14ac:dyDescent="0.25">
      <c r="G5" t="s">
        <v>259</v>
      </c>
    </row>
    <row r="6" spans="2:7" ht="18" x14ac:dyDescent="0.25">
      <c r="B6" s="303" t="s">
        <v>260</v>
      </c>
      <c r="C6" s="303"/>
      <c r="D6" s="303"/>
      <c r="E6" s="303"/>
      <c r="F6" s="303"/>
      <c r="G6" s="303"/>
    </row>
    <row r="7" spans="2:7" x14ac:dyDescent="0.25">
      <c r="B7" s="304" t="s">
        <v>63</v>
      </c>
      <c r="C7" s="22">
        <v>2020</v>
      </c>
      <c r="D7" s="22">
        <f>C7+1</f>
        <v>2021</v>
      </c>
      <c r="E7" s="22">
        <f>D7+1</f>
        <v>2022</v>
      </c>
      <c r="F7" s="22">
        <f>E7+1</f>
        <v>2023</v>
      </c>
      <c r="G7" s="78">
        <f>F7+1</f>
        <v>2024</v>
      </c>
    </row>
    <row r="8" spans="2:7" x14ac:dyDescent="0.25">
      <c r="B8" s="305"/>
      <c r="C8" s="3" t="s">
        <v>62</v>
      </c>
      <c r="D8" s="3" t="s">
        <v>62</v>
      </c>
      <c r="E8" s="3" t="s">
        <v>62</v>
      </c>
      <c r="F8" s="3" t="s">
        <v>62</v>
      </c>
      <c r="G8" s="29" t="s">
        <v>62</v>
      </c>
    </row>
    <row r="9" spans="2:7" x14ac:dyDescent="0.25">
      <c r="B9" s="58"/>
      <c r="G9" s="17"/>
    </row>
    <row r="10" spans="2:7" x14ac:dyDescent="0.25">
      <c r="B10" s="59" t="s">
        <v>64</v>
      </c>
      <c r="C10" s="84">
        <f>'P&amp;L Input'!C10/'P&amp;L Input'!C$10</f>
        <v>1</v>
      </c>
      <c r="D10" s="84">
        <f>'P&amp;L Input'!D10/'P&amp;L Input'!D$10</f>
        <v>1</v>
      </c>
      <c r="E10" s="84">
        <f>'P&amp;L Input'!E10/'P&amp;L Input'!E$10</f>
        <v>1</v>
      </c>
      <c r="F10" s="84">
        <f>'P&amp;L Input'!F10/'P&amp;L Input'!F$10</f>
        <v>1</v>
      </c>
      <c r="G10" s="88">
        <f>'P&amp;L Input'!G10/'P&amp;L Input'!G$10</f>
        <v>1</v>
      </c>
    </row>
    <row r="11" spans="2:7" x14ac:dyDescent="0.25">
      <c r="B11" s="59"/>
      <c r="C11" s="84"/>
      <c r="D11" s="84"/>
      <c r="E11" s="84"/>
      <c r="F11" s="84"/>
      <c r="G11" s="88"/>
    </row>
    <row r="12" spans="2:7" x14ac:dyDescent="0.25">
      <c r="B12" s="76" t="s">
        <v>14</v>
      </c>
      <c r="C12" s="85">
        <f>'P&amp;L Input'!C12/'P&amp;L Input'!C$10</f>
        <v>1</v>
      </c>
      <c r="D12" s="85">
        <f>'P&amp;L Input'!D12/'P&amp;L Input'!D$10</f>
        <v>1</v>
      </c>
      <c r="E12" s="85">
        <f>'P&amp;L Input'!E12/'P&amp;L Input'!E$10</f>
        <v>1</v>
      </c>
      <c r="F12" s="85">
        <f>'P&amp;L Input'!F12/'P&amp;L Input'!F$10</f>
        <v>1</v>
      </c>
      <c r="G12" s="89">
        <f>'P&amp;L Input'!G12/'P&amp;L Input'!G$10</f>
        <v>1</v>
      </c>
    </row>
    <row r="13" spans="2:7" x14ac:dyDescent="0.25">
      <c r="B13" s="59" t="s">
        <v>287</v>
      </c>
      <c r="C13" s="84">
        <f>'P&amp;L Input'!C14/'P&amp;L Input'!C$10</f>
        <v>0.52052337170537166</v>
      </c>
      <c r="D13" s="84">
        <f>'P&amp;L Input'!D14/'P&amp;L Input'!D$10</f>
        <v>0.50441485705156397</v>
      </c>
      <c r="E13" s="84">
        <f>'P&amp;L Input'!E14/'P&amp;L Input'!E$10</f>
        <v>0.45487604105523299</v>
      </c>
      <c r="F13" s="84">
        <f>'P&amp;L Input'!F14/'P&amp;L Input'!F$10</f>
        <v>0.43301452495626713</v>
      </c>
      <c r="G13" s="302">
        <f>'P&amp;L Input'!G14/'P&amp;L Input'!G$10</f>
        <v>0.39763413132370978</v>
      </c>
    </row>
    <row r="14" spans="2:7" x14ac:dyDescent="0.25">
      <c r="B14" s="59" t="s">
        <v>0</v>
      </c>
      <c r="C14" s="84">
        <f>'P&amp;L Input'!C15/'P&amp;L Input'!C$10</f>
        <v>7.8781066883886225E-2</v>
      </c>
      <c r="D14" s="84">
        <f>'P&amp;L Input'!D15/'P&amp;L Input'!D$10</f>
        <v>9.2893137732514112E-3</v>
      </c>
      <c r="E14" s="84">
        <f>'P&amp;L Input'!E15/'P&amp;L Input'!E$10</f>
        <v>2.0348085833499917E-2</v>
      </c>
      <c r="F14" s="84">
        <f>'P&amp;L Input'!F15/'P&amp;L Input'!F$10</f>
        <v>2.8219075511433378E-2</v>
      </c>
      <c r="G14" s="88">
        <f>'P&amp;L Input'!G15/'P&amp;L Input'!G$10</f>
        <v>3.5063862034849145E-3</v>
      </c>
    </row>
    <row r="15" spans="2:7" x14ac:dyDescent="0.25">
      <c r="B15" s="59" t="s">
        <v>1</v>
      </c>
      <c r="C15" s="84">
        <f>'P&amp;L Input'!C16/'P&amp;L Input'!C$10</f>
        <v>8.499895421884158E-4</v>
      </c>
      <c r="D15" s="84">
        <f>'P&amp;L Input'!D16/'P&amp;L Input'!D$10</f>
        <v>2.7986638419382165E-4</v>
      </c>
      <c r="E15" s="84">
        <f>'P&amp;L Input'!E16/'P&amp;L Input'!E$10</f>
        <v>4.2603526186653357E-4</v>
      </c>
      <c r="F15" s="84">
        <f>'P&amp;L Input'!F16/'P&amp;L Input'!F$10</f>
        <v>4.1263216767912261E-4</v>
      </c>
      <c r="G15" s="88">
        <f>'P&amp;L Input'!G16/'P&amp;L Input'!G$10</f>
        <v>5.1068577352791043E-4</v>
      </c>
    </row>
    <row r="16" spans="2:7" x14ac:dyDescent="0.25">
      <c r="B16" s="59" t="s">
        <v>2</v>
      </c>
      <c r="C16" s="84">
        <f>'P&amp;L Input'!C17/'P&amp;L Input'!C$10</f>
        <v>8.6368827301771015E-4</v>
      </c>
      <c r="D16" s="84">
        <f>'P&amp;L Input'!D17/'P&amp;L Input'!D$10</f>
        <v>0</v>
      </c>
      <c r="E16" s="84">
        <f>'P&amp;L Input'!E17/'P&amp;L Input'!E$10</f>
        <v>0</v>
      </c>
      <c r="F16" s="84">
        <f>'P&amp;L Input'!F17/'P&amp;L Input'!F$10</f>
        <v>0</v>
      </c>
      <c r="G16" s="88">
        <f>'P&amp;L Input'!G17/'P&amp;L Input'!G$10</f>
        <v>0</v>
      </c>
    </row>
    <row r="17" spans="2:7" x14ac:dyDescent="0.25">
      <c r="B17" s="59" t="s">
        <v>3</v>
      </c>
      <c r="C17" s="84">
        <f>'P&amp;L Input'!C18/'P&amp;L Input'!C$10</f>
        <v>3.0721575634702295E-2</v>
      </c>
      <c r="D17" s="84">
        <f>'P&amp;L Input'!D18/'P&amp;L Input'!D$10</f>
        <v>6.8797626508043844E-2</v>
      </c>
      <c r="E17" s="84">
        <f>'P&amp;L Input'!E18/'P&amp;L Input'!E$10</f>
        <v>8.8365264756850484E-2</v>
      </c>
      <c r="F17" s="84">
        <f>'P&amp;L Input'!F18/'P&amp;L Input'!F$10</f>
        <v>3.6012225462824345E-3</v>
      </c>
      <c r="G17" s="88">
        <f>'P&amp;L Input'!G18/'P&amp;L Input'!G$10</f>
        <v>-2.9040885385145696E-2</v>
      </c>
    </row>
    <row r="18" spans="2:7" x14ac:dyDescent="0.25">
      <c r="B18" s="59" t="s">
        <v>4</v>
      </c>
      <c r="C18" s="84">
        <f>'P&amp;L Input'!C19/'P&amp;L Input'!C$10</f>
        <v>2.3926002797214014E-3</v>
      </c>
      <c r="D18" s="84">
        <f>'P&amp;L Input'!D19/'P&amp;L Input'!D$10</f>
        <v>2.4895450919593123E-3</v>
      </c>
      <c r="E18" s="84">
        <f>'P&amp;L Input'!E19/'P&amp;L Input'!E$10</f>
        <v>1.6580487686867901E-3</v>
      </c>
      <c r="F18" s="84">
        <f>'P&amp;L Input'!F19/'P&amp;L Input'!F$10</f>
        <v>1.3693612636423186E-3</v>
      </c>
      <c r="G18" s="88">
        <f>'P&amp;L Input'!G19/'P&amp;L Input'!G$10</f>
        <v>3.5377514880090941E-3</v>
      </c>
    </row>
    <row r="19" spans="2:7" x14ac:dyDescent="0.25">
      <c r="B19" s="59" t="s">
        <v>5</v>
      </c>
      <c r="C19" s="84">
        <f>'P&amp;L Input'!C20/'P&amp;L Input'!C$10</f>
        <v>6.4534386821420006E-3</v>
      </c>
      <c r="D19" s="84">
        <f>'P&amp;L Input'!D20/'P&amp;L Input'!D$10</f>
        <v>4.6021847016877492E-3</v>
      </c>
      <c r="E19" s="84">
        <f>'P&amp;L Input'!E20/'P&amp;L Input'!E$10</f>
        <v>4.5860544118077719E-3</v>
      </c>
      <c r="F19" s="84">
        <f>'P&amp;L Input'!F20/'P&amp;L Input'!F$10</f>
        <v>5.1699340345800447E-3</v>
      </c>
      <c r="G19" s="88">
        <f>'P&amp;L Input'!G20/'P&amp;L Input'!G$10</f>
        <v>5.0106568290539371E-3</v>
      </c>
    </row>
    <row r="20" spans="2:7" x14ac:dyDescent="0.25">
      <c r="B20" s="59" t="s">
        <v>6</v>
      </c>
      <c r="C20" s="84">
        <f>'P&amp;L Input'!C21/'P&amp;L Input'!C$10</f>
        <v>8.6632778456774504E-3</v>
      </c>
      <c r="D20" s="84">
        <f>'P&amp;L Input'!D21/'P&amp;L Input'!D$10</f>
        <v>4.114176484023146E-3</v>
      </c>
      <c r="E20" s="84">
        <f>'P&amp;L Input'!E21/'P&amp;L Input'!E$10</f>
        <v>4.388952622994444E-3</v>
      </c>
      <c r="F20" s="84">
        <f>'P&amp;L Input'!F21/'P&amp;L Input'!F$10</f>
        <v>5.1651212591436397E-3</v>
      </c>
      <c r="G20" s="88">
        <f>'P&amp;L Input'!G21/'P&amp;L Input'!G$10</f>
        <v>5.3001015687904893E-3</v>
      </c>
    </row>
    <row r="21" spans="2:7" x14ac:dyDescent="0.25">
      <c r="B21" s="59" t="s">
        <v>7</v>
      </c>
      <c r="C21" s="84">
        <f>'P&amp;L Input'!C22/'P&amp;L Input'!C$10</f>
        <v>4.3571987498738718E-3</v>
      </c>
      <c r="D21" s="84">
        <f>'P&amp;L Input'!D22/'P&amp;L Input'!D$10</f>
        <v>3.0765613168965041E-3</v>
      </c>
      <c r="E21" s="84">
        <f>'P&amp;L Input'!E22/'P&amp;L Input'!E$10</f>
        <v>3.165597334287435E-3</v>
      </c>
      <c r="F21" s="84">
        <f>'P&amp;L Input'!F22/'P&amp;L Input'!F$10</f>
        <v>3.3013106454033185E-3</v>
      </c>
      <c r="G21" s="88">
        <f>'P&amp;L Input'!G22/'P&amp;L Input'!G$10</f>
        <v>3.5878517411416753E-3</v>
      </c>
    </row>
    <row r="22" spans="2:7" x14ac:dyDescent="0.25">
      <c r="B22" s="59"/>
      <c r="C22" s="84"/>
      <c r="D22" s="84"/>
      <c r="E22" s="84"/>
      <c r="F22" s="84"/>
      <c r="G22" s="88"/>
    </row>
    <row r="23" spans="2:7" x14ac:dyDescent="0.25">
      <c r="B23" s="76" t="s">
        <v>8</v>
      </c>
      <c r="C23" s="85">
        <f>SUM(C13:C22)</f>
        <v>0.65360620759658106</v>
      </c>
      <c r="D23" s="85">
        <f>SUM(D13:D22)</f>
        <v>0.59706413131161973</v>
      </c>
      <c r="E23" s="85">
        <f>SUM(E13:E22)</f>
        <v>0.57781408004522639</v>
      </c>
      <c r="F23" s="85">
        <f>SUM(F13:F22)</f>
        <v>0.48025318238443143</v>
      </c>
      <c r="G23" s="89">
        <f>SUM(G13:G22)</f>
        <v>0.39004667954257216</v>
      </c>
    </row>
    <row r="24" spans="2:7" x14ac:dyDescent="0.25">
      <c r="B24" s="59"/>
      <c r="C24" s="84"/>
      <c r="D24" s="84"/>
      <c r="E24" s="84"/>
      <c r="F24" s="84"/>
      <c r="G24" s="88"/>
    </row>
    <row r="25" spans="2:7" x14ac:dyDescent="0.25">
      <c r="B25" s="76" t="s">
        <v>9</v>
      </c>
      <c r="C25" s="85">
        <f>C12-C23</f>
        <v>0.34639379240341894</v>
      </c>
      <c r="D25" s="85">
        <f>D12-D23</f>
        <v>0.40293586868838027</v>
      </c>
      <c r="E25" s="85">
        <f>E12-E23</f>
        <v>0.42218591995477361</v>
      </c>
      <c r="F25" s="85">
        <f>F12-F23</f>
        <v>0.51974681761556862</v>
      </c>
      <c r="G25" s="89">
        <f>G12-G23</f>
        <v>0.60995332045742789</v>
      </c>
    </row>
    <row r="26" spans="2:7" x14ac:dyDescent="0.25">
      <c r="B26" s="59"/>
      <c r="C26" s="84"/>
      <c r="D26" s="84"/>
      <c r="E26" s="84"/>
      <c r="F26" s="84"/>
      <c r="G26" s="88"/>
    </row>
    <row r="27" spans="2:7" x14ac:dyDescent="0.25">
      <c r="B27" s="59" t="s">
        <v>10</v>
      </c>
      <c r="C27" s="84">
        <f>'P&amp;L Input'!C28/'P&amp;L Input'!C$10</f>
        <v>3.9325380941657438E-4</v>
      </c>
      <c r="D27" s="84">
        <f>'P&amp;L Input'!D28/'P&amp;L Input'!D$10</f>
        <v>3.0546220425576914E-4</v>
      </c>
      <c r="E27" s="84">
        <f>'P&amp;L Input'!E28/'P&amp;L Input'!E$10</f>
        <v>4.6448793642830672E-4</v>
      </c>
      <c r="F27" s="84">
        <f>'P&amp;L Input'!F28/'P&amp;L Input'!F$10</f>
        <v>6.1451543203778483E-4</v>
      </c>
      <c r="G27" s="88">
        <f>'P&amp;L Input'!G28/'P&amp;L Input'!G$10</f>
        <v>5.0500213136581075E-4</v>
      </c>
    </row>
    <row r="28" spans="2:7" x14ac:dyDescent="0.25">
      <c r="B28" s="59"/>
      <c r="C28" s="84"/>
      <c r="D28" s="84"/>
      <c r="E28" s="84"/>
      <c r="F28" s="84"/>
      <c r="G28" s="88"/>
    </row>
    <row r="29" spans="2:7" x14ac:dyDescent="0.25">
      <c r="B29" s="76" t="s">
        <v>11</v>
      </c>
      <c r="C29" s="85">
        <f>C25-C27</f>
        <v>0.34600053859400237</v>
      </c>
      <c r="D29" s="85">
        <f>D25-D27</f>
        <v>0.40263040648412451</v>
      </c>
      <c r="E29" s="85">
        <f>E25-E27</f>
        <v>0.42172143201834533</v>
      </c>
      <c r="F29" s="85">
        <f>F25-F27</f>
        <v>0.51913230218353079</v>
      </c>
      <c r="G29" s="89">
        <f>G25-G27</f>
        <v>0.60944831832606206</v>
      </c>
    </row>
    <row r="30" spans="2:7" x14ac:dyDescent="0.25">
      <c r="B30" s="59"/>
      <c r="C30" s="84"/>
      <c r="D30" s="84"/>
      <c r="E30" s="84"/>
      <c r="F30" s="84"/>
      <c r="G30" s="88"/>
    </row>
    <row r="31" spans="2:7" x14ac:dyDescent="0.25">
      <c r="B31" s="59" t="s">
        <v>12</v>
      </c>
      <c r="C31" s="84">
        <f>'P&amp;L Input'!C32/'P&amp;L Input'!C$10</f>
        <v>0.11400518146140734</v>
      </c>
      <c r="D31" s="84">
        <f>'P&amp;L Input'!D32/'P&amp;L Input'!D$10</f>
        <v>0.1000135573464504</v>
      </c>
      <c r="E31" s="84">
        <f>'P&amp;L Input'!E32/'P&amp;L Input'!E$10</f>
        <v>0.10665931566971952</v>
      </c>
      <c r="F31" s="84">
        <f>'P&amp;L Input'!F32/'P&amp;L Input'!F$10</f>
        <v>0.16816014687577416</v>
      </c>
      <c r="G31" s="88">
        <f>'P&amp;L Input'!G32/'P&amp;L Input'!G$10</f>
        <v>0.23278156394886826</v>
      </c>
    </row>
    <row r="32" spans="2:7" x14ac:dyDescent="0.25">
      <c r="B32" s="59"/>
      <c r="C32" s="84"/>
      <c r="D32" s="84"/>
      <c r="E32" s="84"/>
      <c r="F32" s="84"/>
      <c r="G32" s="88"/>
    </row>
    <row r="33" spans="2:7" x14ac:dyDescent="0.25">
      <c r="B33" s="59" t="s">
        <v>13</v>
      </c>
      <c r="C33" s="84">
        <f>'P&amp;L Input'!C34/'P&amp;L Input'!C$10</f>
        <v>2.5817095882428804E-3</v>
      </c>
      <c r="D33" s="84">
        <f>'P&amp;L Input'!D34/'P&amp;L Input'!D$10</f>
        <v>6.3905168330488725E-4</v>
      </c>
      <c r="E33" s="84">
        <f>'P&amp;L Input'!E34/'P&amp;L Input'!E$10</f>
        <v>1.7863941195419802E-3</v>
      </c>
      <c r="F33" s="84">
        <f>'P&amp;L Input'!F34/'P&amp;L Input'!F$10</f>
        <v>1.0613436357124147E-3</v>
      </c>
      <c r="G33" s="88">
        <f>'P&amp;L Input'!G34/'P&amp;L Input'!G$10</f>
        <v>1.3994390034680743E-3</v>
      </c>
    </row>
    <row r="34" spans="2:7" x14ac:dyDescent="0.25">
      <c r="B34" s="59"/>
      <c r="C34" s="84">
        <f>'P&amp;L Input'!C35/'P&amp;L Input'!C$10</f>
        <v>0</v>
      </c>
      <c r="D34" s="84">
        <f>'P&amp;L Input'!D35/'P&amp;L Input'!D$10</f>
        <v>0</v>
      </c>
      <c r="E34" s="84">
        <f>'P&amp;L Input'!E35/'P&amp;L Input'!E$10</f>
        <v>0</v>
      </c>
      <c r="F34" s="84">
        <f>'P&amp;L Input'!F35/'P&amp;L Input'!F$10</f>
        <v>0</v>
      </c>
      <c r="G34" s="88">
        <f>'P&amp;L Input'!G35/'P&amp;L Input'!G$10</f>
        <v>0</v>
      </c>
    </row>
    <row r="35" spans="2:7" x14ac:dyDescent="0.25">
      <c r="B35" s="59" t="s">
        <v>15</v>
      </c>
      <c r="C35" s="294">
        <f>'P&amp;L Input'!C36/'P&amp;L Input'!C$10</f>
        <v>3.0538146287744186E-4</v>
      </c>
      <c r="D35" s="295">
        <f>'P&amp;L Input'!D36/'P&amp;L Input'!D$10</f>
        <v>-5.5410731342897354E-5</v>
      </c>
      <c r="E35" s="295">
        <f>'P&amp;L Input'!E36/'P&amp;L Input'!E$10</f>
        <v>-3.0074575269837189E-4</v>
      </c>
      <c r="F35" s="295">
        <f>'P&amp;L Input'!F36/'P&amp;L Input'!F$10</f>
        <v>0</v>
      </c>
      <c r="G35" s="88">
        <f>'P&amp;L Input'!G36/'P&amp;L Input'!G$10</f>
        <v>0</v>
      </c>
    </row>
    <row r="36" spans="2:7" x14ac:dyDescent="0.25">
      <c r="B36" s="64"/>
      <c r="C36" s="292"/>
      <c r="D36" s="292"/>
      <c r="E36" s="292"/>
      <c r="F36" s="292"/>
      <c r="G36" s="293"/>
    </row>
    <row r="37" spans="2:7" x14ac:dyDescent="0.25">
      <c r="B37" s="76" t="s">
        <v>16</v>
      </c>
      <c r="C37" s="291">
        <f>C29-C31+C33+C34+C35</f>
        <v>0.23488244818371537</v>
      </c>
      <c r="D37" s="85">
        <f>D29-D31+D33+D34+D35</f>
        <v>0.30320049008963612</v>
      </c>
      <c r="E37" s="85">
        <f>E29-E31+E33+E34+E35</f>
        <v>0.31654776471546936</v>
      </c>
      <c r="F37" s="85">
        <f>F29-F31+F33+F34+F35</f>
        <v>0.35203349894346903</v>
      </c>
      <c r="G37" s="89">
        <f>G29-G31+G33+G34+G35</f>
        <v>0.37806619338066183</v>
      </c>
    </row>
    <row r="38" spans="2:7" x14ac:dyDescent="0.25">
      <c r="B38" s="59"/>
      <c r="C38" s="84"/>
      <c r="D38" s="84"/>
      <c r="E38" s="84"/>
      <c r="F38" s="84"/>
      <c r="G38" s="88"/>
    </row>
    <row r="39" spans="2:7" x14ac:dyDescent="0.25">
      <c r="B39" s="59" t="s">
        <v>17</v>
      </c>
      <c r="C39" s="84">
        <f>'P&amp;L Input'!C40/'P&amp;L Input'!C$10</f>
        <v>6.8751257109140138E-2</v>
      </c>
      <c r="D39" s="84">
        <f>'P&amp;L Input'!D40/'P&amp;L Input'!D$10</f>
        <v>6.754343132500841E-2</v>
      </c>
      <c r="E39" s="84">
        <f>'P&amp;L Input'!E40/'P&amp;L Input'!E$10</f>
        <v>6.0985177894550539E-2</v>
      </c>
      <c r="F39" s="84">
        <f>'P&amp;L Input'!F40/'P&amp;L Input'!F$10</f>
        <v>6.9169461875979332E-2</v>
      </c>
      <c r="G39" s="88">
        <f>'P&amp;L Input'!G40/'P&amp;L Input'!G$10</f>
        <v>8.0296812424020758E-2</v>
      </c>
    </row>
    <row r="40" spans="2:7" x14ac:dyDescent="0.25">
      <c r="B40" s="59"/>
      <c r="C40" s="84"/>
      <c r="D40" s="84"/>
      <c r="E40" s="84"/>
      <c r="F40" s="84"/>
      <c r="G40" s="88"/>
    </row>
    <row r="41" spans="2:7" x14ac:dyDescent="0.25">
      <c r="B41" s="60" t="s">
        <v>18</v>
      </c>
      <c r="C41" s="85">
        <f>C37-C39</f>
        <v>0.16613119107457525</v>
      </c>
      <c r="D41" s="85">
        <f>D37-D39</f>
        <v>0.23565705876462772</v>
      </c>
      <c r="E41" s="85">
        <f>E37-E39</f>
        <v>0.25556258682091881</v>
      </c>
      <c r="F41" s="85">
        <f>F37-F39</f>
        <v>0.28286403706748969</v>
      </c>
      <c r="G41" s="89">
        <f>G37-G39</f>
        <v>0.29776938095664107</v>
      </c>
    </row>
    <row r="42" spans="2:7" x14ac:dyDescent="0.25">
      <c r="B42" s="59"/>
      <c r="C42" s="84"/>
      <c r="D42" s="84"/>
      <c r="E42" s="84"/>
      <c r="F42" s="84"/>
      <c r="G42" s="88"/>
    </row>
    <row r="43" spans="2:7" x14ac:dyDescent="0.25">
      <c r="B43" s="59" t="s">
        <v>19</v>
      </c>
      <c r="C43" s="84"/>
      <c r="D43" s="84"/>
      <c r="E43" s="84"/>
      <c r="F43" s="84"/>
      <c r="G43" s="88"/>
    </row>
    <row r="44" spans="2:7" x14ac:dyDescent="0.25">
      <c r="B44" s="59"/>
      <c r="C44" s="84"/>
      <c r="D44" s="84"/>
      <c r="E44" s="84"/>
      <c r="F44" s="84"/>
      <c r="G44" s="88"/>
    </row>
    <row r="45" spans="2:7" x14ac:dyDescent="0.25">
      <c r="B45" s="64" t="s">
        <v>38</v>
      </c>
      <c r="C45" s="84"/>
      <c r="D45" s="84"/>
      <c r="E45" s="84"/>
      <c r="F45" s="84"/>
      <c r="G45" s="88"/>
    </row>
    <row r="46" spans="2:7" x14ac:dyDescent="0.25">
      <c r="B46" s="59" t="s">
        <v>29</v>
      </c>
      <c r="C46" s="84">
        <f>'BS Input'!C11/'BS Input'!C$36</f>
        <v>1.1812808849307819E-3</v>
      </c>
      <c r="D46" s="84">
        <f>'BS Input'!D11/'BS Input'!D$36</f>
        <v>4.2138678110266388E-4</v>
      </c>
      <c r="E46" s="84">
        <f>'BS Input'!E11/'BS Input'!E$36</f>
        <v>4.6624143999968463E-4</v>
      </c>
      <c r="F46" s="84">
        <f>'BS Input'!F11/'BS Input'!F$36</f>
        <v>6.572463857624901E-4</v>
      </c>
      <c r="G46" s="88">
        <f>'BS Input'!G11/'BS Input'!G$36</f>
        <v>5.6491250158772197E-4</v>
      </c>
    </row>
    <row r="47" spans="2:7" x14ac:dyDescent="0.25">
      <c r="B47" s="59" t="s">
        <v>30</v>
      </c>
      <c r="C47" s="84">
        <f>'BS Input'!C12/'BS Input'!C$36</f>
        <v>5.908911411944464E-3</v>
      </c>
      <c r="D47" s="84">
        <f>'BS Input'!D12/'BS Input'!D$36</f>
        <v>6.1392701272619523E-3</v>
      </c>
      <c r="E47" s="84">
        <f>'BS Input'!E12/'BS Input'!E$36</f>
        <v>7.6914747304855048E-3</v>
      </c>
      <c r="F47" s="84">
        <f>'BS Input'!F12/'BS Input'!F$36</f>
        <v>7.1053500758051372E-3</v>
      </c>
      <c r="G47" s="88">
        <f>'BS Input'!G12/'BS Input'!G$36</f>
        <v>4.5622047596578048E-3</v>
      </c>
    </row>
    <row r="48" spans="2:7" x14ac:dyDescent="0.25">
      <c r="B48" s="59" t="s">
        <v>31</v>
      </c>
      <c r="C48" s="84">
        <f>'BS Input'!C13/'BS Input'!C$36</f>
        <v>2.8815945868438843E-8</v>
      </c>
      <c r="D48" s="84">
        <f>'BS Input'!D13/'BS Input'!D$36</f>
        <v>2.4945937787275865E-8</v>
      </c>
      <c r="E48" s="84">
        <f>'BS Input'!E13/'BS Input'!E$36</f>
        <v>0</v>
      </c>
      <c r="F48" s="84">
        <f>'BS Input'!F13/'BS Input'!F$36</f>
        <v>0</v>
      </c>
      <c r="G48" s="88">
        <f>'BS Input'!G13/'BS Input'!G$36</f>
        <v>0</v>
      </c>
    </row>
    <row r="49" spans="2:7" x14ac:dyDescent="0.25">
      <c r="B49" s="59" t="s">
        <v>32</v>
      </c>
      <c r="C49" s="84">
        <f>'BS Input'!C14/'BS Input'!C$36</f>
        <v>4.5232390229688453E-4</v>
      </c>
      <c r="D49" s="84">
        <f>'BS Input'!D14/'BS Input'!D$36</f>
        <v>6.5034059811428175E-4</v>
      </c>
      <c r="E49" s="84">
        <f>'BS Input'!E14/'BS Input'!E$36</f>
        <v>1.5188625402871329E-3</v>
      </c>
      <c r="F49" s="84">
        <f>'BS Input'!F14/'BS Input'!F$36</f>
        <v>1.3730745951554529E-3</v>
      </c>
      <c r="G49" s="88">
        <f>'BS Input'!G14/'BS Input'!G$36</f>
        <v>1.151021991254911E-3</v>
      </c>
    </row>
    <row r="50" spans="2:7" x14ac:dyDescent="0.25">
      <c r="B50" s="59" t="s">
        <v>33</v>
      </c>
      <c r="C50" s="84">
        <f>'BS Input'!C15/'BS Input'!C$36</f>
        <v>8.2880423506803799E-4</v>
      </c>
      <c r="D50" s="84">
        <f>'BS Input'!D15/'BS Input'!D$36</f>
        <v>8.3736029370548896E-4</v>
      </c>
      <c r="E50" s="84">
        <f>'BS Input'!E15/'BS Input'!E$36</f>
        <v>1.4773885679672613E-5</v>
      </c>
      <c r="F50" s="84">
        <f>'BS Input'!F15/'BS Input'!F$36</f>
        <v>5.8431448578982619E-6</v>
      </c>
      <c r="G50" s="88">
        <f>'BS Input'!G15/'BS Input'!G$36</f>
        <v>4.3032439655303413E-5</v>
      </c>
    </row>
    <row r="51" spans="2:7" x14ac:dyDescent="0.25">
      <c r="B51" s="59" t="s">
        <v>34</v>
      </c>
      <c r="C51" s="84">
        <f>'BS Input'!C16/'BS Input'!C$36</f>
        <v>2.2188278318697911E-6</v>
      </c>
      <c r="D51" s="84">
        <f>'BS Input'!D16/'BS Input'!D$36</f>
        <v>1.9208372096202416E-6</v>
      </c>
      <c r="E51" s="84">
        <f>'BS Input'!E16/'BS Input'!E$36</f>
        <v>0</v>
      </c>
      <c r="F51" s="84">
        <f>'BS Input'!F16/'BS Input'!F$36</f>
        <v>0</v>
      </c>
      <c r="G51" s="88">
        <f>'BS Input'!G16/'BS Input'!G$36</f>
        <v>0</v>
      </c>
    </row>
    <row r="52" spans="2:7" x14ac:dyDescent="0.25">
      <c r="B52" s="59" t="s">
        <v>35</v>
      </c>
      <c r="C52" s="84">
        <f>'BS Input'!C17/'BS Input'!C$36</f>
        <v>2.541566425596306E-5</v>
      </c>
      <c r="D52" s="84">
        <f>'BS Input'!D17/'BS Input'!D$36</f>
        <v>1.5341751739174657E-5</v>
      </c>
      <c r="E52" s="84">
        <f>'BS Input'!E17/'BS Input'!E$36</f>
        <v>1.0417171451235384E-5</v>
      </c>
      <c r="F52" s="84">
        <f>'BS Input'!F17/'BS Input'!F$36</f>
        <v>3.5015904846963846E-6</v>
      </c>
      <c r="G52" s="88">
        <f>'BS Input'!G17/'BS Input'!G$36</f>
        <v>9.4857433746323754E-7</v>
      </c>
    </row>
    <row r="53" spans="2:7" x14ac:dyDescent="0.25">
      <c r="B53" s="59" t="s">
        <v>36</v>
      </c>
      <c r="C53" s="84">
        <f>'BS Input'!C18/'BS Input'!C$36</f>
        <v>3.8143667546052499E-4</v>
      </c>
      <c r="D53" s="84">
        <f>'BS Input'!D18/'BS Input'!D$36</f>
        <v>2.5611994326196129E-4</v>
      </c>
      <c r="E53" s="84">
        <f>'BS Input'!E18/'BS Input'!E$36</f>
        <v>1.671615269324407E-4</v>
      </c>
      <c r="F53" s="84">
        <f>'BS Input'!F18/'BS Input'!F$36</f>
        <v>1.5982719758368775E-4</v>
      </c>
      <c r="G53" s="88">
        <f>'BS Input'!G18/'BS Input'!G$36</f>
        <v>2.134839513717744E-4</v>
      </c>
    </row>
    <row r="54" spans="2:7" x14ac:dyDescent="0.25">
      <c r="B54" s="59" t="s">
        <v>37</v>
      </c>
      <c r="C54" s="84">
        <f>'BS Input'!C19/'BS Input'!C$36</f>
        <v>7.4480575286153881E-4</v>
      </c>
      <c r="D54" s="84">
        <f>'BS Input'!D19/'BS Input'!D$36</f>
        <v>6.4295660052924816E-4</v>
      </c>
      <c r="E54" s="84">
        <f>'BS Input'!E19/'BS Input'!E$36</f>
        <v>0</v>
      </c>
      <c r="F54" s="84">
        <f>'BS Input'!F19/'BS Input'!F$36</f>
        <v>0</v>
      </c>
      <c r="G54" s="88">
        <f>'BS Input'!G19/'BS Input'!G$36</f>
        <v>0</v>
      </c>
    </row>
    <row r="55" spans="2:7" x14ac:dyDescent="0.25">
      <c r="B55" s="59"/>
      <c r="C55" s="84"/>
      <c r="D55" s="84"/>
      <c r="E55" s="84"/>
      <c r="F55" s="84"/>
      <c r="G55" s="88"/>
    </row>
    <row r="56" spans="2:7" x14ac:dyDescent="0.25">
      <c r="B56" s="76" t="s">
        <v>39</v>
      </c>
      <c r="C56" s="85">
        <f>SUM(C46:C54)</f>
        <v>9.5252261705959327E-3</v>
      </c>
      <c r="D56" s="85">
        <f>SUM(D46:D54)</f>
        <v>8.9647218788621776E-3</v>
      </c>
      <c r="E56" s="85">
        <f>SUM(E46:E54)</f>
        <v>9.8689312948356707E-3</v>
      </c>
      <c r="F56" s="85">
        <f>SUM(F46:F54)</f>
        <v>9.3048429896493631E-3</v>
      </c>
      <c r="G56" s="89">
        <f>SUM(G46:G54)</f>
        <v>6.5356042178649791E-3</v>
      </c>
    </row>
    <row r="57" spans="2:7" x14ac:dyDescent="0.25">
      <c r="B57" s="59"/>
      <c r="C57" s="84"/>
      <c r="D57" s="84"/>
      <c r="E57" s="84"/>
      <c r="F57" s="84"/>
      <c r="G57" s="88"/>
    </row>
    <row r="58" spans="2:7" x14ac:dyDescent="0.25">
      <c r="B58" s="64" t="s">
        <v>27</v>
      </c>
      <c r="C58" s="84">
        <f>'BS Input'!C23/'BS Input'!C$36</f>
        <v>0</v>
      </c>
      <c r="D58" s="84">
        <f>'BS Input'!D23/'BS Input'!D$36</f>
        <v>0</v>
      </c>
      <c r="E58" s="84">
        <f>'BS Input'!E23/'BS Input'!E$36</f>
        <v>0</v>
      </c>
      <c r="F58" s="84">
        <f>'BS Input'!F23/'BS Input'!F$36</f>
        <v>0</v>
      </c>
      <c r="G58" s="88">
        <f>'BS Input'!G23/'BS Input'!G$36</f>
        <v>0</v>
      </c>
    </row>
    <row r="59" spans="2:7" x14ac:dyDescent="0.25">
      <c r="B59" s="59" t="s">
        <v>20</v>
      </c>
      <c r="C59" s="84">
        <f>'BS Input'!C24/'BS Input'!C$36</f>
        <v>4.9497438377676083E-3</v>
      </c>
      <c r="D59" s="84">
        <f>'BS Input'!D24/'BS Input'!D$36</f>
        <v>2.9417247676267189E-3</v>
      </c>
      <c r="E59" s="84">
        <f>'BS Input'!E24/'BS Input'!E$36</f>
        <v>3.4315817824992452E-4</v>
      </c>
      <c r="F59" s="84">
        <f>'BS Input'!F24/'BS Input'!F$36</f>
        <v>1.0461807153663432E-4</v>
      </c>
      <c r="G59" s="88">
        <f>'BS Input'!G24/'BS Input'!G$36</f>
        <v>4.7930366763166473E-4</v>
      </c>
    </row>
    <row r="60" spans="2:7" x14ac:dyDescent="0.25">
      <c r="B60" s="59" t="s">
        <v>21</v>
      </c>
      <c r="C60" s="84">
        <f>'BS Input'!C25/'BS Input'!C$36</f>
        <v>6.5050557000707263E-3</v>
      </c>
      <c r="D60" s="84">
        <f>'BS Input'!D25/'BS Input'!D$36</f>
        <v>5.5469288345030869E-3</v>
      </c>
      <c r="E60" s="84">
        <f>'BS Input'!E25/'BS Input'!E$36</f>
        <v>6.1309435043934305E-3</v>
      </c>
      <c r="F60" s="84">
        <f>'BS Input'!F25/'BS Input'!F$36</f>
        <v>5.0416673156066204E-3</v>
      </c>
      <c r="G60" s="88">
        <f>'BS Input'!G25/'BS Input'!G$36</f>
        <v>4.924833783781492E-3</v>
      </c>
    </row>
    <row r="61" spans="2:7" x14ac:dyDescent="0.25">
      <c r="B61" s="59" t="s">
        <v>22</v>
      </c>
      <c r="C61" s="84">
        <f>'BS Input'!C27/'BS Input'!C$36</f>
        <v>3.1905015265535486E-4</v>
      </c>
      <c r="D61" s="84">
        <f>'BS Input'!D27/'BS Input'!D$36</f>
        <v>3.4941775058637304E-4</v>
      </c>
      <c r="E61" s="84">
        <f>'BS Input'!E27/'BS Input'!E$36</f>
        <v>2.3012700016689382E-4</v>
      </c>
      <c r="F61" s="84">
        <f>'BS Input'!F27/'BS Input'!F$36</f>
        <v>2.427482974053322E-4</v>
      </c>
      <c r="G61" s="88">
        <f>'BS Input'!G27/'BS Input'!G$36</f>
        <v>2.8059558574729845E-4</v>
      </c>
    </row>
    <row r="62" spans="2:7" x14ac:dyDescent="0.25">
      <c r="B62" s="59" t="s">
        <v>23</v>
      </c>
      <c r="C62" s="84">
        <f>'BS Input'!C28/'BS Input'!C$36</f>
        <v>9.5635801945468252E-3</v>
      </c>
      <c r="D62" s="84">
        <f>'BS Input'!D28/'BS Input'!D$36</f>
        <v>5.7655550332707719E-3</v>
      </c>
      <c r="E62" s="84">
        <f>'BS Input'!E28/'BS Input'!E$36</f>
        <v>1.3411305050339644E-2</v>
      </c>
      <c r="F62" s="84">
        <f>'BS Input'!F28/'BS Input'!F$36</f>
        <v>1.9294429517333681E-2</v>
      </c>
      <c r="G62" s="88">
        <f>'BS Input'!G28/'BS Input'!G$36</f>
        <v>2.2769468945582464E-2</v>
      </c>
    </row>
    <row r="63" spans="2:7" x14ac:dyDescent="0.25">
      <c r="B63" s="59" t="s">
        <v>24</v>
      </c>
      <c r="C63" s="84">
        <f>'BS Input'!C29/'BS Input'!C$36</f>
        <v>0.89929812424329336</v>
      </c>
      <c r="D63" s="84">
        <f>'BS Input'!D29/'BS Input'!D$36</f>
        <v>0.91117904056276855</v>
      </c>
      <c r="E63" s="84">
        <f>'BS Input'!E29/'BS Input'!E$36</f>
        <v>0.90524864559125229</v>
      </c>
      <c r="F63" s="84">
        <f>'BS Input'!F29/'BS Input'!F$36</f>
        <v>0.90672699570518112</v>
      </c>
      <c r="G63" s="88">
        <f>'BS Input'!G29/'BS Input'!G$36</f>
        <v>0.91061686172243339</v>
      </c>
    </row>
    <row r="64" spans="2:7" x14ac:dyDescent="0.25">
      <c r="B64" s="59" t="s">
        <v>25</v>
      </c>
      <c r="C64" s="84">
        <f>'BS Input'!C30/'BS Input'!C$36</f>
        <v>6.1294686616214953E-3</v>
      </c>
      <c r="D64" s="84">
        <f>'BS Input'!D30/'BS Input'!D$36</f>
        <v>4.2998814045171665E-3</v>
      </c>
      <c r="E64" s="84">
        <f>'BS Input'!E30/'BS Input'!E$36</f>
        <v>5.3313525779542133E-3</v>
      </c>
      <c r="F64" s="84">
        <f>'BS Input'!F30/'BS Input'!F$36</f>
        <v>6.8098416174770179E-3</v>
      </c>
      <c r="G64" s="88">
        <f>'BS Input'!G30/'BS Input'!G$36</f>
        <v>9.7636026882523749E-3</v>
      </c>
    </row>
    <row r="65" spans="2:7" x14ac:dyDescent="0.25">
      <c r="B65" s="59" t="s">
        <v>26</v>
      </c>
      <c r="C65" s="84">
        <f>'BS Input'!C31/'BS Input'!C$36</f>
        <v>6.368228944303618E-2</v>
      </c>
      <c r="D65" s="84">
        <f>'BS Input'!D31/'BS Input'!D$36</f>
        <v>6.0917680725274218E-2</v>
      </c>
      <c r="E65" s="84">
        <f>'BS Input'!E31/'BS Input'!E$36</f>
        <v>5.9424876239500421E-2</v>
      </c>
      <c r="F65" s="84">
        <f>'BS Input'!F31/'BS Input'!F$36</f>
        <v>5.2464867285961253E-2</v>
      </c>
      <c r="G65" s="88">
        <f>'BS Input'!G31/'BS Input'!G$36</f>
        <v>4.4592880924058796E-2</v>
      </c>
    </row>
    <row r="66" spans="2:7" x14ac:dyDescent="0.25">
      <c r="B66" s="59"/>
      <c r="C66" s="84"/>
      <c r="D66" s="84"/>
      <c r="E66" s="84"/>
      <c r="F66" s="84"/>
      <c r="G66" s="88"/>
    </row>
    <row r="67" spans="2:7" x14ac:dyDescent="0.25">
      <c r="B67" s="76" t="s">
        <v>28</v>
      </c>
      <c r="C67" s="85">
        <f>SUM(C58:C65)</f>
        <v>0.99044731223299154</v>
      </c>
      <c r="D67" s="85">
        <f>SUM(D58:D65)</f>
        <v>0.99100022907854701</v>
      </c>
      <c r="E67" s="85">
        <f>SUM(E58:E65)</f>
        <v>0.99012040814185687</v>
      </c>
      <c r="F67" s="85">
        <f>SUM(F58:F65)</f>
        <v>0.99068516781050164</v>
      </c>
      <c r="G67" s="89">
        <f>SUM(G58:G65)</f>
        <v>0.9934275473174875</v>
      </c>
    </row>
    <row r="68" spans="2:7" x14ac:dyDescent="0.25">
      <c r="B68" s="59" t="s">
        <v>56</v>
      </c>
      <c r="C68" s="84">
        <f>'BS Input'!C34/'BS Input'!C$36</f>
        <v>2.7461596412622214E-5</v>
      </c>
      <c r="D68" s="84">
        <f>'BS Input'!D34/'BS Input'!D$36</f>
        <v>3.5049042591122594E-5</v>
      </c>
      <c r="E68" s="84">
        <f>'BS Input'!E34/'BS Input'!E$36</f>
        <v>1.0660563307572659E-5</v>
      </c>
      <c r="F68" s="84">
        <f>'BS Input'!F34/'BS Input'!F$36</f>
        <v>9.9891998489804841E-6</v>
      </c>
      <c r="G68" s="88">
        <f>'BS Input'!G34/'BS Input'!G$36</f>
        <v>3.6848464647610383E-5</v>
      </c>
    </row>
    <row r="69" spans="2:7" x14ac:dyDescent="0.25">
      <c r="B69" s="59"/>
      <c r="C69" s="84"/>
      <c r="D69" s="84"/>
      <c r="E69" s="84"/>
      <c r="F69" s="84"/>
      <c r="G69" s="88"/>
    </row>
    <row r="70" spans="2:7" x14ac:dyDescent="0.25">
      <c r="B70" s="64" t="s">
        <v>57</v>
      </c>
      <c r="C70" s="84">
        <f>SUM(C56,C67,C68)</f>
        <v>1</v>
      </c>
      <c r="D70" s="84">
        <f>SUM(D56,D67,D68)</f>
        <v>1.0000000000000004</v>
      </c>
      <c r="E70" s="84">
        <f>SUM(E56,E67,E68)</f>
        <v>1.0000000000000002</v>
      </c>
      <c r="F70" s="84">
        <f>SUM(F56,F67,F68)</f>
        <v>1</v>
      </c>
      <c r="G70" s="88">
        <f>SUM(G56,G67,G68)</f>
        <v>1.0000000000000002</v>
      </c>
    </row>
    <row r="71" spans="2:7" x14ac:dyDescent="0.25">
      <c r="B71" s="59" t="s">
        <v>40</v>
      </c>
      <c r="C71" s="84"/>
      <c r="D71" s="84"/>
      <c r="E71" s="84"/>
      <c r="F71" s="84"/>
      <c r="G71" s="88"/>
    </row>
    <row r="72" spans="2:7" x14ac:dyDescent="0.25">
      <c r="B72" s="59" t="s">
        <v>41</v>
      </c>
      <c r="C72" s="84">
        <f>'BS Input'!C39/'BS Input'!C$36</f>
        <v>5.690918781449724E-3</v>
      </c>
      <c r="D72" s="84">
        <f>'BS Input'!D39/'BS Input'!D$36</f>
        <v>4.9266231454846848E-3</v>
      </c>
      <c r="E72" s="84">
        <f>'BS Input'!E39/'BS Input'!E$36</f>
        <v>4.8067944491761178E-3</v>
      </c>
      <c r="F72" s="84">
        <f>'BS Input'!F39/'BS Input'!F$36</f>
        <v>5.6567227583510515E-3</v>
      </c>
      <c r="G72" s="88">
        <f>'BS Input'!G39/'BS Input'!G$36</f>
        <v>4.8034709940287428E-3</v>
      </c>
    </row>
    <row r="73" spans="2:7" x14ac:dyDescent="0.25">
      <c r="B73" s="59" t="s">
        <v>60</v>
      </c>
      <c r="C73" s="84">
        <f>'BS Input'!C40/'BS Input'!C$36</f>
        <v>0</v>
      </c>
      <c r="D73" s="84">
        <f>'BS Input'!D40/'BS Input'!D$36</f>
        <v>1.3929811660414841E-3</v>
      </c>
      <c r="E73" s="84">
        <f>'BS Input'!E40/'BS Input'!E$36</f>
        <v>1.3591001257873454E-3</v>
      </c>
      <c r="F73" s="84">
        <f>'BS Input'!F40/'BS Input'!F$36</f>
        <v>1.1995632678861725E-3</v>
      </c>
      <c r="G73" s="88">
        <f>'BS Input'!G40/'BS Input'!G$36</f>
        <v>1.0186229039220612E-3</v>
      </c>
    </row>
    <row r="74" spans="2:7" x14ac:dyDescent="0.25">
      <c r="B74" s="59" t="s">
        <v>42</v>
      </c>
      <c r="C74" s="84">
        <f>'BS Input'!C41/'BS Input'!C$36</f>
        <v>9.6307242300148754E-2</v>
      </c>
      <c r="D74" s="84">
        <f>'BS Input'!D41/'BS Input'!D$36</f>
        <v>0.10285362319914342</v>
      </c>
      <c r="E74" s="84">
        <f>'BS Input'!E41/'BS Input'!E$36</f>
        <v>0.11872844597780233</v>
      </c>
      <c r="F74" s="84">
        <f>'BS Input'!F41/'BS Input'!F$36</f>
        <v>0.11799906660057324</v>
      </c>
      <c r="G74" s="88">
        <f>'BS Input'!G41/'BS Input'!G$36</f>
        <v>0.12068534349947208</v>
      </c>
    </row>
    <row r="75" spans="2:7" x14ac:dyDescent="0.25">
      <c r="B75" s="59"/>
      <c r="C75" s="84"/>
      <c r="D75" s="84"/>
      <c r="E75" s="84"/>
      <c r="F75" s="84"/>
      <c r="G75" s="88"/>
    </row>
    <row r="76" spans="2:7" x14ac:dyDescent="0.25">
      <c r="B76" s="76" t="s">
        <v>58</v>
      </c>
      <c r="C76" s="85">
        <f>SUM(C71:C74)</f>
        <v>0.10199816108159848</v>
      </c>
      <c r="D76" s="85">
        <f>SUM(D71:D74)</f>
        <v>0.10917322751066959</v>
      </c>
      <c r="E76" s="85">
        <f>SUM(E71:E74)</f>
        <v>0.12489434055276578</v>
      </c>
      <c r="F76" s="85">
        <f>SUM(F71:F74)</f>
        <v>0.12485535262681047</v>
      </c>
      <c r="G76" s="89">
        <f>SUM(G71:G74)</f>
        <v>0.12650743739742287</v>
      </c>
    </row>
    <row r="77" spans="2:7" x14ac:dyDescent="0.25">
      <c r="B77" s="59"/>
      <c r="C77" s="84"/>
      <c r="D77" s="84"/>
      <c r="E77" s="84"/>
      <c r="F77" s="84"/>
      <c r="G77" s="88"/>
    </row>
    <row r="78" spans="2:7" x14ac:dyDescent="0.25">
      <c r="B78" s="64" t="s">
        <v>43</v>
      </c>
      <c r="C78" s="84"/>
      <c r="D78" s="84"/>
      <c r="E78" s="84"/>
      <c r="F78" s="84"/>
      <c r="G78" s="88"/>
    </row>
    <row r="79" spans="2:7" x14ac:dyDescent="0.25">
      <c r="B79" s="59"/>
      <c r="C79" s="84"/>
      <c r="D79" s="84"/>
      <c r="E79" s="84"/>
      <c r="F79" s="84"/>
      <c r="G79" s="88"/>
    </row>
    <row r="80" spans="2:7" x14ac:dyDescent="0.25">
      <c r="B80" s="64" t="s">
        <v>53</v>
      </c>
      <c r="C80" s="84"/>
      <c r="D80" s="84"/>
      <c r="E80" s="84"/>
      <c r="F80" s="84"/>
      <c r="G80" s="88"/>
    </row>
    <row r="81" spans="2:7" x14ac:dyDescent="0.25">
      <c r="B81" s="59" t="s">
        <v>61</v>
      </c>
      <c r="C81" s="84">
        <f>'BS Input'!C48/'BS Input'!C$36</f>
        <v>0</v>
      </c>
      <c r="D81" s="84">
        <f>'BS Input'!D48/'BS Input'!D$36</f>
        <v>3.5922150413677247E-5</v>
      </c>
      <c r="E81" s="84">
        <f>'BS Input'!E48/'BS Input'!E$36</f>
        <v>2.494766527457072E-5</v>
      </c>
      <c r="F81" s="84">
        <f>'BS Input'!F48/'BS Input'!F$36</f>
        <v>2.287848997669724E-5</v>
      </c>
      <c r="G81" s="88">
        <f>'BS Input'!G48/'BS Input'!G$36</f>
        <v>1.2132630612438449E-4</v>
      </c>
    </row>
    <row r="82" spans="2:7" x14ac:dyDescent="0.25">
      <c r="B82" s="59" t="s">
        <v>50</v>
      </c>
      <c r="C82" s="84">
        <f>'BS Input'!C49/'BS Input'!C$36</f>
        <v>3.0858996430511157E-4</v>
      </c>
      <c r="D82" s="84">
        <f>'BS Input'!D49/'BS Input'!D$36</f>
        <v>2.6113407675720378E-4</v>
      </c>
      <c r="E82" s="84">
        <f>'BS Input'!E49/'BS Input'!E$36</f>
        <v>2.5719217459159883E-4</v>
      </c>
      <c r="F82" s="84">
        <f>'BS Input'!F49/'BS Input'!F$36</f>
        <v>2.3978376067595734E-4</v>
      </c>
      <c r="G82" s="88">
        <f>'BS Input'!G49/'BS Input'!G$36</f>
        <v>2.5053307597538662E-4</v>
      </c>
    </row>
    <row r="83" spans="2:7" x14ac:dyDescent="0.25">
      <c r="B83" s="59" t="s">
        <v>51</v>
      </c>
      <c r="C83" s="84">
        <f>'BS Input'!C50/'BS Input'!C$36</f>
        <v>2.3983511746301651E-4</v>
      </c>
      <c r="D83" s="84">
        <f>'BS Input'!D50/'BS Input'!D$36</f>
        <v>3.2492083967926815E-4</v>
      </c>
      <c r="E83" s="84">
        <f>'BS Input'!E50/'BS Input'!E$36</f>
        <v>2.1693516155341349E-4</v>
      </c>
      <c r="F83" s="84">
        <f>'BS Input'!F50/'BS Input'!F$36</f>
        <v>2.2867748901590808E-4</v>
      </c>
      <c r="G83" s="88">
        <f>'BS Input'!G50/'BS Input'!G$36</f>
        <v>4.7390409063379711E-4</v>
      </c>
    </row>
    <row r="84" spans="2:7" x14ac:dyDescent="0.25">
      <c r="B84" s="59"/>
      <c r="C84" s="84"/>
      <c r="D84" s="84"/>
      <c r="E84" s="84"/>
      <c r="F84" s="84"/>
      <c r="G84" s="88"/>
    </row>
    <row r="85" spans="2:7" x14ac:dyDescent="0.25">
      <c r="B85" s="76" t="s">
        <v>49</v>
      </c>
      <c r="C85" s="85">
        <f>SUM(C81:C83)</f>
        <v>5.4842508176812803E-4</v>
      </c>
      <c r="D85" s="85">
        <f>SUM(D81:D83)</f>
        <v>6.2197706685014923E-4</v>
      </c>
      <c r="E85" s="85">
        <f>SUM(E81:E83)</f>
        <v>4.9907500141958307E-4</v>
      </c>
      <c r="F85" s="85">
        <f>SUM(F81:F83)</f>
        <v>4.9133973966856265E-4</v>
      </c>
      <c r="G85" s="89">
        <f>SUM(G81:G83)</f>
        <v>8.4576347273356825E-4</v>
      </c>
    </row>
    <row r="86" spans="2:7" x14ac:dyDescent="0.25">
      <c r="B86" s="59"/>
      <c r="C86" s="84"/>
      <c r="D86" s="84"/>
      <c r="E86" s="84"/>
      <c r="F86" s="84"/>
      <c r="G86" s="88"/>
    </row>
    <row r="87" spans="2:7" x14ac:dyDescent="0.25">
      <c r="B87" s="64" t="s">
        <v>54</v>
      </c>
      <c r="C87" s="84">
        <f>'BS Input'!C54/'BS Input'!C$36</f>
        <v>0</v>
      </c>
      <c r="D87" s="84">
        <f>'BS Input'!D54/'BS Input'!D$36</f>
        <v>0</v>
      </c>
      <c r="E87" s="84">
        <f>'BS Input'!E54/'BS Input'!E$36</f>
        <v>0</v>
      </c>
      <c r="F87" s="84">
        <f>'BS Input'!F54/'BS Input'!F$36</f>
        <v>0</v>
      </c>
      <c r="G87" s="88">
        <f>'BS Input'!G54/'BS Input'!G$36</f>
        <v>0</v>
      </c>
    </row>
    <row r="88" spans="2:7" x14ac:dyDescent="0.25">
      <c r="B88" s="59" t="s">
        <v>23</v>
      </c>
      <c r="C88" s="84">
        <f>'BS Input'!C55/'BS Input'!C$36</f>
        <v>3.820216391616543E-3</v>
      </c>
      <c r="D88" s="84">
        <f>'BS Input'!D55/'BS Input'!D$36</f>
        <v>2.1111996608749435E-3</v>
      </c>
      <c r="E88" s="84">
        <f>'BS Input'!E55/'BS Input'!E$36</f>
        <v>1.3462977141440048E-3</v>
      </c>
      <c r="F88" s="84">
        <f>'BS Input'!F55/'BS Input'!F$36</f>
        <v>2.0986986650454805E-3</v>
      </c>
      <c r="G88" s="88">
        <f>'BS Input'!G55/'BS Input'!G$36</f>
        <v>1.3858306234054262E-3</v>
      </c>
    </row>
    <row r="89" spans="2:7" x14ac:dyDescent="0.25">
      <c r="B89" s="59" t="s">
        <v>44</v>
      </c>
      <c r="C89" s="84">
        <f>'BS Input'!C56/'BS Input'!C$36</f>
        <v>1.3298559018284526E-4</v>
      </c>
      <c r="D89" s="84">
        <f>'BS Input'!D56/'BS Input'!D$36</f>
        <v>1.5344246332953384E-4</v>
      </c>
      <c r="E89" s="84">
        <f>'BS Input'!E56/'BS Input'!E$36</f>
        <v>8.8789349191838022E-5</v>
      </c>
      <c r="F89" s="84">
        <f>'BS Input'!F56/'BS Input'!F$36</f>
        <v>8.9537602087205715E-5</v>
      </c>
      <c r="G89" s="88">
        <f>'BS Input'!G56/'BS Input'!G$36</f>
        <v>1.6510666016114931E-4</v>
      </c>
    </row>
    <row r="90" spans="2:7" x14ac:dyDescent="0.25">
      <c r="B90" s="59" t="s">
        <v>45</v>
      </c>
      <c r="C90" s="84">
        <f>'BS Input'!C57/'BS Input'!C$36</f>
        <v>0.63371523874818003</v>
      </c>
      <c r="D90" s="84">
        <f>'BS Input'!D57/'BS Input'!D$36</f>
        <v>0.59189004569023129</v>
      </c>
      <c r="E90" s="84">
        <f>'BS Input'!E57/'BS Input'!E$36</f>
        <v>0.5344267193243325</v>
      </c>
      <c r="F90" s="84">
        <f>'BS Input'!F57/'BS Input'!F$36</f>
        <v>0.5089171438836827</v>
      </c>
      <c r="G90" s="88">
        <f>'BS Input'!G57/'BS Input'!G$36</f>
        <v>0.48534761847369684</v>
      </c>
    </row>
    <row r="91" spans="2:7" x14ac:dyDescent="0.25">
      <c r="B91" s="59" t="s">
        <v>46</v>
      </c>
      <c r="C91" s="84">
        <f>'BS Input'!C58/'BS Input'!C$36</f>
        <v>0.17736404867266842</v>
      </c>
      <c r="D91" s="84">
        <f>'BS Input'!D58/'BS Input'!D$36</f>
        <v>0.21330612829142007</v>
      </c>
      <c r="E91" s="84">
        <f>'BS Input'!E58/'BS Input'!E$36</f>
        <v>0.25958128471421987</v>
      </c>
      <c r="F91" s="84">
        <f>'BS Input'!F58/'BS Input'!F$36</f>
        <v>0.29455063369657858</v>
      </c>
      <c r="G91" s="88">
        <f>'BS Input'!G58/'BS Input'!G$36</f>
        <v>0.31392711982969296</v>
      </c>
    </row>
    <row r="92" spans="2:7" x14ac:dyDescent="0.25">
      <c r="B92" s="59" t="s">
        <v>47</v>
      </c>
      <c r="C92" s="84">
        <f>'BS Input'!C59/'BS Input'!C$36</f>
        <v>1.3888277350482125E-2</v>
      </c>
      <c r="D92" s="84">
        <f>'BS Input'!D59/'BS Input'!D$36</f>
        <v>1.7329668575504883E-2</v>
      </c>
      <c r="E92" s="84">
        <f>'BS Input'!E59/'BS Input'!E$36</f>
        <v>1.6590732869673473E-2</v>
      </c>
      <c r="F92" s="84">
        <f>'BS Input'!F59/'BS Input'!F$36</f>
        <v>1.4550504803677314E-2</v>
      </c>
      <c r="G92" s="88">
        <f>'BS Input'!G59/'BS Input'!G$36</f>
        <v>1.3521215749785353E-2</v>
      </c>
    </row>
    <row r="93" spans="2:7" x14ac:dyDescent="0.25">
      <c r="B93" s="59" t="s">
        <v>48</v>
      </c>
      <c r="C93" s="84">
        <f>'BS Input'!C60/'BS Input'!C$36</f>
        <v>6.8530687599184487E-2</v>
      </c>
      <c r="D93" s="84">
        <f>'BS Input'!D60/'BS Input'!D$36</f>
        <v>6.5414111173617326E-2</v>
      </c>
      <c r="E93" s="84">
        <f>'BS Input'!E60/'BS Input'!E$36</f>
        <v>6.2572736135067294E-2</v>
      </c>
      <c r="F93" s="84">
        <f>'BS Input'!F60/'BS Input'!F$36</f>
        <v>5.4446746018149195E-2</v>
      </c>
      <c r="G93" s="88">
        <f>'BS Input'!G60/'BS Input'!G$36</f>
        <v>5.829990779310186E-2</v>
      </c>
    </row>
    <row r="94" spans="2:7" x14ac:dyDescent="0.25">
      <c r="B94" s="59"/>
      <c r="C94" s="84"/>
      <c r="D94" s="84"/>
      <c r="E94" s="84"/>
      <c r="F94" s="84"/>
      <c r="G94" s="88"/>
    </row>
    <row r="95" spans="2:7" x14ac:dyDescent="0.25">
      <c r="B95" s="76" t="s">
        <v>52</v>
      </c>
      <c r="C95" s="85">
        <f>SUM(C87:C93)</f>
        <v>0.89745145435231444</v>
      </c>
      <c r="D95" s="85">
        <f>SUM(D87:D93)</f>
        <v>0.89020459585497802</v>
      </c>
      <c r="E95" s="85">
        <f>SUM(E87:E93)</f>
        <v>0.87460656010662896</v>
      </c>
      <c r="F95" s="85">
        <f>SUM(F87:F93)</f>
        <v>0.87465326466922066</v>
      </c>
      <c r="G95" s="89">
        <f>SUM(G87:G93)</f>
        <v>0.87264679912984366</v>
      </c>
    </row>
    <row r="96" spans="2:7" x14ac:dyDescent="0.25">
      <c r="B96" s="59"/>
      <c r="C96" s="84"/>
      <c r="D96" s="84"/>
      <c r="E96" s="84"/>
      <c r="F96" s="84"/>
      <c r="G96" s="88"/>
    </row>
    <row r="97" spans="2:7" x14ac:dyDescent="0.25">
      <c r="B97" s="59" t="s">
        <v>55</v>
      </c>
      <c r="C97" s="84">
        <f>'BS Input'!C64/'BS Input'!C$36</f>
        <v>1.9594843190538417E-6</v>
      </c>
      <c r="D97" s="84">
        <f>'BS Input'!D64/'BS Input'!D$36</f>
        <v>1.9956750229820692E-7</v>
      </c>
      <c r="E97" s="84">
        <f>'BS Input'!E64/'BS Input'!E$36</f>
        <v>2.4339185633727532E-8</v>
      </c>
      <c r="F97" s="84">
        <f>'BS Input'!F64/'BS Input'!F$36</f>
        <v>4.2964300425722514E-8</v>
      </c>
      <c r="G97" s="88">
        <f>'BS Input'!G64/'BS Input'!G$36</f>
        <v>0</v>
      </c>
    </row>
    <row r="98" spans="2:7" x14ac:dyDescent="0.25">
      <c r="B98" s="59"/>
      <c r="C98" s="84"/>
      <c r="D98" s="84"/>
      <c r="E98" s="84"/>
      <c r="F98" s="84"/>
      <c r="G98" s="88"/>
    </row>
    <row r="99" spans="2:7" x14ac:dyDescent="0.25">
      <c r="B99" s="76" t="s">
        <v>59</v>
      </c>
      <c r="C99" s="85">
        <f>C76+C85+C95+C97</f>
        <v>1.0000000000000002</v>
      </c>
      <c r="D99" s="85">
        <f>D76+D85+D95+D97</f>
        <v>1</v>
      </c>
      <c r="E99" s="85">
        <f>E76+E85+E95+E97</f>
        <v>1</v>
      </c>
      <c r="F99" s="85">
        <f>F76+F85+F95+F97</f>
        <v>1</v>
      </c>
      <c r="G99" s="89">
        <f>G76+G85+G95+G97</f>
        <v>1</v>
      </c>
    </row>
    <row r="101" spans="2:7" x14ac:dyDescent="0.25">
      <c r="B101" s="39"/>
      <c r="C101" s="39"/>
      <c r="D101" s="39"/>
      <c r="E101" s="39"/>
      <c r="F101" s="39"/>
      <c r="G101" s="39"/>
    </row>
  </sheetData>
  <mergeCells count="2">
    <mergeCell ref="B7:B8"/>
    <mergeCell ref="B6:G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2D00D-3D09-46CB-AE6C-8FD8726EED4F}">
  <dimension ref="B5:S41"/>
  <sheetViews>
    <sheetView showGridLines="0" zoomScaleNormal="100" workbookViewId="0">
      <selection activeCell="B7" sqref="B7:B8"/>
    </sheetView>
  </sheetViews>
  <sheetFormatPr defaultRowHeight="15" x14ac:dyDescent="0.25"/>
  <cols>
    <col min="1" max="1" width="0.85546875" customWidth="1"/>
    <col min="2" max="2" width="68.85546875" customWidth="1"/>
    <col min="3" max="7" width="13.85546875" bestFit="1" customWidth="1"/>
    <col min="8" max="8" width="14.85546875" customWidth="1"/>
    <col min="9" max="12" width="14.5703125" bestFit="1" customWidth="1"/>
    <col min="13" max="13" width="12" bestFit="1" customWidth="1"/>
    <col min="14" max="16" width="13.42578125" bestFit="1" customWidth="1"/>
    <col min="17" max="17" width="14" bestFit="1" customWidth="1"/>
  </cols>
  <sheetData>
    <row r="5" spans="2:19" x14ac:dyDescent="0.25">
      <c r="Q5" t="s">
        <v>259</v>
      </c>
    </row>
    <row r="6" spans="2:19" ht="18" x14ac:dyDescent="0.25">
      <c r="B6" s="303" t="s">
        <v>224</v>
      </c>
      <c r="C6" s="303"/>
      <c r="D6" s="303"/>
      <c r="E6" s="303"/>
      <c r="F6" s="303"/>
      <c r="G6" s="303"/>
      <c r="H6" s="303"/>
      <c r="I6" s="303"/>
      <c r="J6" s="303"/>
      <c r="K6" s="303"/>
      <c r="L6" s="303"/>
      <c r="M6" s="303"/>
      <c r="N6" s="303"/>
      <c r="O6" s="303"/>
      <c r="P6" s="303"/>
      <c r="Q6" s="303"/>
    </row>
    <row r="7" spans="2:19" x14ac:dyDescent="0.25">
      <c r="B7" s="304" t="s">
        <v>63</v>
      </c>
      <c r="C7" s="14">
        <v>2020</v>
      </c>
      <c r="D7" s="8">
        <v>2021</v>
      </c>
      <c r="E7" s="8">
        <v>2022</v>
      </c>
      <c r="F7" s="8">
        <v>2023</v>
      </c>
      <c r="G7" s="8">
        <v>2024</v>
      </c>
      <c r="H7" s="2">
        <f>G7+1</f>
        <v>2025</v>
      </c>
      <c r="I7" s="2">
        <f t="shared" ref="I7:Q7" si="0">H7+1</f>
        <v>2026</v>
      </c>
      <c r="J7" s="2">
        <f t="shared" si="0"/>
        <v>2027</v>
      </c>
      <c r="K7" s="2">
        <f t="shared" si="0"/>
        <v>2028</v>
      </c>
      <c r="L7" s="2">
        <f t="shared" si="0"/>
        <v>2029</v>
      </c>
      <c r="M7" s="2">
        <f t="shared" si="0"/>
        <v>2030</v>
      </c>
      <c r="N7" s="2">
        <f t="shared" si="0"/>
        <v>2031</v>
      </c>
      <c r="O7" s="2">
        <f t="shared" si="0"/>
        <v>2032</v>
      </c>
      <c r="P7" s="2">
        <f t="shared" si="0"/>
        <v>2033</v>
      </c>
      <c r="Q7" s="105">
        <f t="shared" si="0"/>
        <v>2034</v>
      </c>
    </row>
    <row r="8" spans="2:19" x14ac:dyDescent="0.25">
      <c r="B8" s="305"/>
      <c r="C8" s="3"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9" x14ac:dyDescent="0.25">
      <c r="B9" s="103"/>
      <c r="C9" s="14"/>
      <c r="D9" s="14"/>
      <c r="E9" s="14"/>
      <c r="F9" s="14"/>
      <c r="G9" s="14"/>
      <c r="Q9" s="17"/>
    </row>
    <row r="10" spans="2:19" x14ac:dyDescent="0.25">
      <c r="B10" s="64" t="s">
        <v>64</v>
      </c>
      <c r="H10" s="250"/>
      <c r="I10" s="250"/>
      <c r="J10" s="250"/>
      <c r="K10" s="250"/>
      <c r="L10" s="250"/>
      <c r="M10" s="250"/>
      <c r="N10" s="250"/>
      <c r="O10" s="250"/>
      <c r="P10" s="250"/>
      <c r="Q10" s="269"/>
    </row>
    <row r="11" spans="2:19" x14ac:dyDescent="0.25">
      <c r="B11" s="59" t="s">
        <v>215</v>
      </c>
      <c r="C11" s="62">
        <v>29671.78</v>
      </c>
      <c r="D11" s="62">
        <v>34693.35</v>
      </c>
      <c r="E11" s="62">
        <v>38194.49</v>
      </c>
      <c r="F11" s="62">
        <v>38846.339999999997</v>
      </c>
      <c r="G11" s="62">
        <v>46431.44</v>
      </c>
      <c r="H11" s="92">
        <f t="shared" ref="H11:Q11" si="1">G11*(1+H12)</f>
        <v>52031.996151842715</v>
      </c>
      <c r="I11" s="92">
        <f t="shared" si="1"/>
        <v>58308.090887238795</v>
      </c>
      <c r="J11" s="92">
        <f t="shared" si="1"/>
        <v>65341.207609888988</v>
      </c>
      <c r="K11" s="92">
        <f t="shared" si="1"/>
        <v>73222.658244381382</v>
      </c>
      <c r="L11" s="92">
        <f t="shared" si="1"/>
        <v>82054.768751504278</v>
      </c>
      <c r="M11" s="92">
        <f t="shared" si="1"/>
        <v>91952.2076403104</v>
      </c>
      <c r="N11" s="92">
        <f t="shared" si="1"/>
        <v>103043.47472518777</v>
      </c>
      <c r="O11" s="92">
        <f t="shared" si="1"/>
        <v>115472.56945667573</v>
      </c>
      <c r="P11" s="92">
        <f t="shared" si="1"/>
        <v>129400.86048619518</v>
      </c>
      <c r="Q11" s="107">
        <f t="shared" si="1"/>
        <v>145009.18073750983</v>
      </c>
    </row>
    <row r="12" spans="2:19" x14ac:dyDescent="0.25">
      <c r="B12" s="59"/>
      <c r="C12" s="62"/>
      <c r="D12" s="93">
        <f>D11/C11-1</f>
        <v>0.16923723484064657</v>
      </c>
      <c r="E12" s="93">
        <f>E11/D11-1</f>
        <v>0.1009167462928775</v>
      </c>
      <c r="F12" s="93">
        <f>F11/E11-1</f>
        <v>1.7066597826021379E-2</v>
      </c>
      <c r="G12" s="93">
        <f>G11/F11-1</f>
        <v>0.19525906430309803</v>
      </c>
      <c r="H12" s="94">
        <f t="array" ref="H12:Q12">CHOOSE(Assumptions!C15,'Revenue Bulid Up'!H32:Q32,'Revenue Bulid Up'!H33:Q33,'Revenue Bulid Up'!H34:Q34)</f>
        <v>0.12061991081566087</v>
      </c>
      <c r="I12" s="95">
        <v>0.12061991081566087</v>
      </c>
      <c r="J12" s="95">
        <v>0.12061991081566087</v>
      </c>
      <c r="K12" s="95">
        <v>0.12061991081566087</v>
      </c>
      <c r="L12" s="95">
        <v>0.12061991081566087</v>
      </c>
      <c r="M12" s="95">
        <v>0.12061991081566087</v>
      </c>
      <c r="N12" s="95">
        <v>0.12061991081566087</v>
      </c>
      <c r="O12" s="95">
        <v>0.12061991081566087</v>
      </c>
      <c r="P12" s="95">
        <v>0.12061991081566087</v>
      </c>
      <c r="Q12" s="108">
        <v>0.12061991081566087</v>
      </c>
    </row>
    <row r="13" spans="2:19" x14ac:dyDescent="0.25">
      <c r="B13" s="59" t="s">
        <v>216</v>
      </c>
      <c r="C13" s="62">
        <v>36.94</v>
      </c>
      <c r="D13" s="62">
        <v>27.97</v>
      </c>
      <c r="E13" s="62">
        <v>4.21</v>
      </c>
      <c r="F13" s="62">
        <v>11.89</v>
      </c>
      <c r="G13" s="62">
        <v>2.2799999999999998</v>
      </c>
      <c r="H13" s="92">
        <f>H14*H11</f>
        <v>26.188411912256559</v>
      </c>
      <c r="I13" s="92">
        <f t="shared" ref="I13:Q13" si="2">I14*I11</f>
        <v>29.347255821516736</v>
      </c>
      <c r="J13" s="92">
        <f t="shared" si="2"/>
        <v>32.887119201392466</v>
      </c>
      <c r="K13" s="92">
        <f t="shared" si="2"/>
        <v>36.853960586448437</v>
      </c>
      <c r="L13" s="92">
        <f t="shared" si="2"/>
        <v>41.299282025589726</v>
      </c>
      <c r="M13" s="92">
        <f t="shared" si="2"/>
        <v>46.28079774026719</v>
      </c>
      <c r="N13" s="92">
        <f t="shared" si="2"/>
        <v>51.863183436175852</v>
      </c>
      <c r="O13" s="92">
        <f t="shared" si="2"/>
        <v>58.118915996863649</v>
      </c>
      <c r="P13" s="92">
        <f t="shared" si="2"/>
        <v>65.129214461108234</v>
      </c>
      <c r="Q13" s="107">
        <f t="shared" si="2"/>
        <v>72.98509450090117</v>
      </c>
      <c r="R13" s="268"/>
      <c r="S13" s="44"/>
    </row>
    <row r="14" spans="2:19" x14ac:dyDescent="0.25">
      <c r="B14" s="59"/>
      <c r="C14" s="93">
        <f>C13/C11</f>
        <v>1.2449539596208923E-3</v>
      </c>
      <c r="D14" s="93">
        <f>D13/D11</f>
        <v>8.0620637672637553E-4</v>
      </c>
      <c r="E14" s="93">
        <f>E13/E11</f>
        <v>1.1022532307670558E-4</v>
      </c>
      <c r="F14" s="93">
        <f>F13/F11</f>
        <v>3.0607774117201263E-4</v>
      </c>
      <c r="G14" s="93">
        <f>G13/G11</f>
        <v>4.9104658395259755E-5</v>
      </c>
      <c r="H14" s="94">
        <f>AVERAGE(C14:G14)</f>
        <v>5.0331361179824913E-4</v>
      </c>
      <c r="I14" s="95">
        <f>H14</f>
        <v>5.0331361179824913E-4</v>
      </c>
      <c r="J14" s="95">
        <f t="shared" ref="J14:Q14" si="3">I14</f>
        <v>5.0331361179824913E-4</v>
      </c>
      <c r="K14" s="95">
        <f t="shared" si="3"/>
        <v>5.0331361179824913E-4</v>
      </c>
      <c r="L14" s="95">
        <f t="shared" si="3"/>
        <v>5.0331361179824913E-4</v>
      </c>
      <c r="M14" s="95">
        <f t="shared" si="3"/>
        <v>5.0331361179824913E-4</v>
      </c>
      <c r="N14" s="95">
        <f t="shared" si="3"/>
        <v>5.0331361179824913E-4</v>
      </c>
      <c r="O14" s="95">
        <f t="shared" si="3"/>
        <v>5.0331361179824913E-4</v>
      </c>
      <c r="P14" s="95">
        <f t="shared" si="3"/>
        <v>5.0331361179824913E-4</v>
      </c>
      <c r="Q14" s="108">
        <f t="shared" si="3"/>
        <v>5.0331361179824913E-4</v>
      </c>
      <c r="R14" s="44"/>
    </row>
    <row r="15" spans="2:19" x14ac:dyDescent="0.25">
      <c r="B15" s="59" t="s">
        <v>217</v>
      </c>
      <c r="C15" s="62">
        <v>38.950000000000003</v>
      </c>
      <c r="D15" s="62">
        <v>95.38</v>
      </c>
      <c r="E15" s="62">
        <v>572.82000000000005</v>
      </c>
      <c r="F15" s="62">
        <v>287.17</v>
      </c>
      <c r="G15" s="62">
        <v>236.03</v>
      </c>
      <c r="H15" s="92">
        <f t="shared" ref="H15:Q15" si="4">H16*H11</f>
        <v>328.16834888421516</v>
      </c>
      <c r="I15" s="92">
        <f t="shared" si="4"/>
        <v>367.75198585915189</v>
      </c>
      <c r="J15" s="92">
        <f t="shared" si="4"/>
        <v>412.11019759576499</v>
      </c>
      <c r="K15" s="92">
        <f t="shared" si="4"/>
        <v>461.81889287599057</v>
      </c>
      <c r="L15" s="92">
        <f t="shared" si="4"/>
        <v>517.52344654767978</v>
      </c>
      <c r="M15" s="92">
        <f t="shared" si="4"/>
        <v>579.94707851527437</v>
      </c>
      <c r="N15" s="92">
        <f t="shared" si="4"/>
        <v>649.9002434035898</v>
      </c>
      <c r="O15" s="92">
        <f t="shared" si="4"/>
        <v>728.2911528020071</v>
      </c>
      <c r="P15" s="92">
        <f t="shared" si="4"/>
        <v>816.13756670082023</v>
      </c>
      <c r="Q15" s="107">
        <f t="shared" si="4"/>
        <v>914.58000720958364</v>
      </c>
    </row>
    <row r="16" spans="2:19" x14ac:dyDescent="0.25">
      <c r="B16" s="59"/>
      <c r="C16" s="93">
        <f>C15/C11</f>
        <v>1.3126950927783909E-3</v>
      </c>
      <c r="D16" s="93">
        <f>D15/D11</f>
        <v>2.7492300397626633E-3</v>
      </c>
      <c r="E16" s="93">
        <f>E15/E11</f>
        <v>1.4997451203040022E-2</v>
      </c>
      <c r="F16" s="93">
        <f>F15/F11</f>
        <v>7.3924596242528904E-3</v>
      </c>
      <c r="G16" s="93">
        <f>G15/G11</f>
        <v>5.0834090004531407E-3</v>
      </c>
      <c r="H16" s="94">
        <f>AVERAGE(C16:G16)</f>
        <v>6.3070489920574206E-3</v>
      </c>
      <c r="I16" s="95">
        <f>H16</f>
        <v>6.3070489920574206E-3</v>
      </c>
      <c r="J16" s="95">
        <f t="shared" ref="J16:Q16" si="5">I16</f>
        <v>6.3070489920574206E-3</v>
      </c>
      <c r="K16" s="95">
        <f t="shared" si="5"/>
        <v>6.3070489920574206E-3</v>
      </c>
      <c r="L16" s="95">
        <f t="shared" si="5"/>
        <v>6.3070489920574206E-3</v>
      </c>
      <c r="M16" s="95">
        <f t="shared" si="5"/>
        <v>6.3070489920574206E-3</v>
      </c>
      <c r="N16" s="95">
        <f t="shared" si="5"/>
        <v>6.3070489920574206E-3</v>
      </c>
      <c r="O16" s="95">
        <f t="shared" si="5"/>
        <v>6.3070489920574206E-3</v>
      </c>
      <c r="P16" s="95">
        <f t="shared" si="5"/>
        <v>6.3070489920574206E-3</v>
      </c>
      <c r="Q16" s="108">
        <f t="shared" si="5"/>
        <v>6.3070489920574206E-3</v>
      </c>
    </row>
    <row r="17" spans="2:19" x14ac:dyDescent="0.25">
      <c r="B17" s="59" t="s">
        <v>219</v>
      </c>
      <c r="C17" s="62">
        <v>0</v>
      </c>
      <c r="D17" s="62">
        <v>572.33000000000004</v>
      </c>
      <c r="E17" s="62">
        <v>346.57</v>
      </c>
      <c r="F17" s="62">
        <v>45.31</v>
      </c>
      <c r="G17" s="62">
        <v>474.48</v>
      </c>
      <c r="H17" s="92">
        <f t="shared" ref="H17:Q17" si="6">H18*H11</f>
        <v>384.57859493016809</v>
      </c>
      <c r="I17" s="92">
        <f t="shared" si="6"/>
        <v>430.96643075225717</v>
      </c>
      <c r="J17" s="92">
        <f t="shared" si="6"/>
        <v>482.94956319413808</v>
      </c>
      <c r="K17" s="92">
        <f t="shared" si="6"/>
        <v>541.20289643507749</v>
      </c>
      <c r="L17" s="92">
        <f t="shared" si="6"/>
        <v>606.4827415362538</v>
      </c>
      <c r="M17" s="92">
        <f t="shared" si="6"/>
        <v>679.6366357315942</v>
      </c>
      <c r="N17" s="92">
        <f t="shared" si="6"/>
        <v>761.61434612059497</v>
      </c>
      <c r="O17" s="92">
        <f t="shared" si="6"/>
        <v>853.48020062558896</v>
      </c>
      <c r="P17" s="92">
        <f t="shared" si="6"/>
        <v>956.42690630797995</v>
      </c>
      <c r="Q17" s="107">
        <f t="shared" si="6"/>
        <v>1071.7910344485472</v>
      </c>
    </row>
    <row r="18" spans="2:19" x14ac:dyDescent="0.25">
      <c r="B18" s="59"/>
      <c r="C18" s="93">
        <f>C17/C11</f>
        <v>0</v>
      </c>
      <c r="D18" s="93">
        <f>D17/D11</f>
        <v>1.6496821436961264E-2</v>
      </c>
      <c r="E18" s="93">
        <f>E17/E11</f>
        <v>9.0738219046778736E-3</v>
      </c>
      <c r="F18" s="93">
        <f>F17/F11</f>
        <v>1.1663904501685359E-3</v>
      </c>
      <c r="G18" s="93">
        <f>G17/G11</f>
        <v>1.0218937857624058E-2</v>
      </c>
      <c r="H18" s="94">
        <f>AVERAGE(C18:G18)</f>
        <v>7.3911943298863468E-3</v>
      </c>
      <c r="I18" s="95">
        <f>H18</f>
        <v>7.3911943298863468E-3</v>
      </c>
      <c r="J18" s="95">
        <f t="shared" ref="J18:Q18" si="7">I18</f>
        <v>7.3911943298863468E-3</v>
      </c>
      <c r="K18" s="95">
        <f t="shared" si="7"/>
        <v>7.3911943298863468E-3</v>
      </c>
      <c r="L18" s="95">
        <f t="shared" si="7"/>
        <v>7.3911943298863468E-3</v>
      </c>
      <c r="M18" s="95">
        <f t="shared" si="7"/>
        <v>7.3911943298863468E-3</v>
      </c>
      <c r="N18" s="95">
        <f t="shared" si="7"/>
        <v>7.3911943298863468E-3</v>
      </c>
      <c r="O18" s="95">
        <f t="shared" si="7"/>
        <v>7.3911943298863468E-3</v>
      </c>
      <c r="P18" s="95">
        <f t="shared" si="7"/>
        <v>7.3911943298863468E-3</v>
      </c>
      <c r="Q18" s="108">
        <f t="shared" si="7"/>
        <v>7.3911943298863468E-3</v>
      </c>
    </row>
    <row r="19" spans="2:19" x14ac:dyDescent="0.25">
      <c r="B19" s="59" t="s">
        <v>218</v>
      </c>
      <c r="C19" s="62">
        <v>182.11</v>
      </c>
      <c r="D19" s="62">
        <v>163.65</v>
      </c>
      <c r="E19" s="62">
        <v>150.96</v>
      </c>
      <c r="F19" s="62">
        <v>287.55</v>
      </c>
      <c r="G19" s="62">
        <v>360.52</v>
      </c>
      <c r="H19" s="92">
        <f t="shared" ref="H19:Q19" si="8">H20*H11</f>
        <v>311.91864788806146</v>
      </c>
      <c r="I19" s="92">
        <f t="shared" si="8"/>
        <v>349.54224737806095</v>
      </c>
      <c r="J19" s="92">
        <f t="shared" si="8"/>
        <v>391.70400208310838</v>
      </c>
      <c r="K19" s="92">
        <f t="shared" si="8"/>
        <v>438.95130388051035</v>
      </c>
      <c r="L19" s="92">
        <f t="shared" si="8"/>
        <v>491.89757100699552</v>
      </c>
      <c r="M19" s="92">
        <f t="shared" si="8"/>
        <v>551.2302121522996</v>
      </c>
      <c r="N19" s="92">
        <f t="shared" si="8"/>
        <v>617.71955118100777</v>
      </c>
      <c r="O19" s="92">
        <f t="shared" si="8"/>
        <v>692.22882835355097</v>
      </c>
      <c r="P19" s="92">
        <f t="shared" si="8"/>
        <v>775.72540789358584</v>
      </c>
      <c r="Q19" s="107">
        <f t="shared" si="8"/>
        <v>869.29333741115238</v>
      </c>
    </row>
    <row r="20" spans="2:19" x14ac:dyDescent="0.25">
      <c r="B20" s="59"/>
      <c r="C20" s="93">
        <f>C19/C11</f>
        <v>6.1374814722945509E-3</v>
      </c>
      <c r="D20" s="93">
        <f>D19/D11</f>
        <v>4.7170423150257905E-3</v>
      </c>
      <c r="E20" s="93">
        <f>E19/E11</f>
        <v>3.9524025585889484E-3</v>
      </c>
      <c r="F20" s="93">
        <f>F19/F11</f>
        <v>7.4022417555939645E-3</v>
      </c>
      <c r="G20" s="93">
        <f>G19/G11</f>
        <v>7.7645664230960735E-3</v>
      </c>
      <c r="H20" s="94">
        <f>AVERAGE(C20:G20)</f>
        <v>5.9947469049198652E-3</v>
      </c>
      <c r="I20" s="95">
        <f>H20</f>
        <v>5.9947469049198652E-3</v>
      </c>
      <c r="J20" s="95">
        <f t="shared" ref="J20:Q20" si="9">I20</f>
        <v>5.9947469049198652E-3</v>
      </c>
      <c r="K20" s="95">
        <f t="shared" si="9"/>
        <v>5.9947469049198652E-3</v>
      </c>
      <c r="L20" s="95">
        <f t="shared" si="9"/>
        <v>5.9947469049198652E-3</v>
      </c>
      <c r="M20" s="95">
        <f t="shared" si="9"/>
        <v>5.9947469049198652E-3</v>
      </c>
      <c r="N20" s="95">
        <f t="shared" si="9"/>
        <v>5.9947469049198652E-3</v>
      </c>
      <c r="O20" s="95">
        <f t="shared" si="9"/>
        <v>5.9947469049198652E-3</v>
      </c>
      <c r="P20" s="95">
        <f t="shared" si="9"/>
        <v>5.9947469049198652E-3</v>
      </c>
      <c r="Q20" s="108">
        <f t="shared" si="9"/>
        <v>5.9947469049198652E-3</v>
      </c>
    </row>
    <row r="21" spans="2:19" x14ac:dyDescent="0.25">
      <c r="B21" s="76" t="s">
        <v>64</v>
      </c>
      <c r="C21" s="75">
        <f t="shared" ref="C21:Q21" si="10">SUM(C11,C13,C15,C17,C19)</f>
        <v>29929.78</v>
      </c>
      <c r="D21" s="75">
        <f t="shared" si="10"/>
        <v>35552.68</v>
      </c>
      <c r="E21" s="75">
        <f t="shared" si="10"/>
        <v>39269.049999999996</v>
      </c>
      <c r="F21" s="75">
        <f t="shared" si="10"/>
        <v>39478.259999999995</v>
      </c>
      <c r="G21" s="75">
        <f t="shared" si="10"/>
        <v>47504.75</v>
      </c>
      <c r="H21" s="75">
        <f t="shared" si="10"/>
        <v>53082.850155457418</v>
      </c>
      <c r="I21" s="75">
        <f t="shared" si="10"/>
        <v>59485.698807049783</v>
      </c>
      <c r="J21" s="75">
        <f t="shared" si="10"/>
        <v>66660.858491963387</v>
      </c>
      <c r="K21" s="75">
        <f t="shared" si="10"/>
        <v>74701.485298159416</v>
      </c>
      <c r="L21" s="75">
        <f t="shared" si="10"/>
        <v>83711.971792620796</v>
      </c>
      <c r="M21" s="75">
        <f t="shared" si="10"/>
        <v>93809.302364449846</v>
      </c>
      <c r="N21" s="75">
        <f t="shared" si="10"/>
        <v>105124.57204932914</v>
      </c>
      <c r="O21" s="75">
        <f t="shared" si="10"/>
        <v>117804.68855445374</v>
      </c>
      <c r="P21" s="75">
        <f t="shared" si="10"/>
        <v>132014.27958155869</v>
      </c>
      <c r="Q21" s="80">
        <f t="shared" si="10"/>
        <v>147937.83021108003</v>
      </c>
    </row>
    <row r="22" spans="2:19" x14ac:dyDescent="0.25">
      <c r="B22" s="64" t="s">
        <v>246</v>
      </c>
      <c r="C22" s="62"/>
      <c r="D22" s="93">
        <f>D21/C21-1</f>
        <v>0.18786974043912119</v>
      </c>
      <c r="E22" s="93">
        <f t="shared" ref="E22:Q22" si="11">E21/D21-1</f>
        <v>0.10453136022375786</v>
      </c>
      <c r="F22" s="93">
        <f t="shared" si="11"/>
        <v>5.3276053278599189E-3</v>
      </c>
      <c r="G22" s="93">
        <f t="shared" si="11"/>
        <v>0.20331417848709665</v>
      </c>
      <c r="H22" s="101">
        <f t="shared" si="11"/>
        <v>0.11742194528878525</v>
      </c>
      <c r="I22" s="102">
        <f t="shared" si="11"/>
        <v>0.12061991081566092</v>
      </c>
      <c r="J22" s="102">
        <f t="shared" si="11"/>
        <v>0.1206199108156607</v>
      </c>
      <c r="K22" s="102">
        <f t="shared" si="11"/>
        <v>0.12061991081566115</v>
      </c>
      <c r="L22" s="102">
        <f t="shared" si="11"/>
        <v>0.1206199108156607</v>
      </c>
      <c r="M22" s="102">
        <f t="shared" si="11"/>
        <v>0.12061991081566092</v>
      </c>
      <c r="N22" s="102">
        <f t="shared" si="11"/>
        <v>0.1206199108156607</v>
      </c>
      <c r="O22" s="102">
        <f t="shared" si="11"/>
        <v>0.12061991081566092</v>
      </c>
      <c r="P22" s="102">
        <f t="shared" si="11"/>
        <v>0.12061991081566115</v>
      </c>
      <c r="Q22" s="109">
        <f t="shared" si="11"/>
        <v>0.12061991081566092</v>
      </c>
    </row>
    <row r="23" spans="2:19" x14ac:dyDescent="0.25">
      <c r="B23" s="59"/>
      <c r="C23" s="62"/>
      <c r="D23" s="263"/>
      <c r="E23" s="263"/>
      <c r="F23" s="263"/>
      <c r="G23" s="263"/>
      <c r="H23" s="92"/>
      <c r="I23" s="92"/>
      <c r="J23" s="92"/>
      <c r="K23" s="92"/>
      <c r="L23" s="92"/>
      <c r="M23" s="92"/>
      <c r="N23" s="92"/>
      <c r="O23" s="92"/>
      <c r="P23" s="92"/>
      <c r="Q23" s="107"/>
    </row>
    <row r="24" spans="2:19" x14ac:dyDescent="0.25">
      <c r="B24" s="59"/>
      <c r="C24" s="62"/>
      <c r="D24" s="62"/>
      <c r="E24" s="62"/>
      <c r="F24" s="62"/>
      <c r="G24" s="62"/>
      <c r="H24" s="92"/>
      <c r="I24" s="92"/>
      <c r="J24" s="92"/>
      <c r="K24" s="92"/>
      <c r="L24" s="92"/>
      <c r="M24" s="92"/>
      <c r="N24" s="92"/>
      <c r="O24" s="92"/>
      <c r="P24" s="92"/>
      <c r="Q24" s="107"/>
    </row>
    <row r="25" spans="2:19" x14ac:dyDescent="0.25">
      <c r="B25" s="59" t="s">
        <v>13</v>
      </c>
      <c r="C25" s="62">
        <v>77.27</v>
      </c>
      <c r="D25" s="62">
        <v>22.72</v>
      </c>
      <c r="E25" s="62">
        <v>70.150000000000006</v>
      </c>
      <c r="F25" s="62">
        <v>41.9</v>
      </c>
      <c r="G25" s="62">
        <v>66.48</v>
      </c>
      <c r="H25" s="92">
        <f t="shared" ref="H25:Q25" si="12">H26*H21</f>
        <v>79.283887086215373</v>
      </c>
      <c r="I25" s="92">
        <f t="shared" si="12"/>
        <v>88.847102475673609</v>
      </c>
      <c r="J25" s="92">
        <f t="shared" si="12"/>
        <v>99.563832052519231</v>
      </c>
      <c r="K25" s="92">
        <f t="shared" si="12"/>
        <v>111.57321259515956</v>
      </c>
      <c r="L25" s="92">
        <f t="shared" si="12"/>
        <v>125.03116354780445</v>
      </c>
      <c r="M25" s="92">
        <f t="shared" si="12"/>
        <v>140.11241134411895</v>
      </c>
      <c r="N25" s="92">
        <f t="shared" si="12"/>
        <v>157.01275790461378</v>
      </c>
      <c r="O25" s="92">
        <f t="shared" si="12"/>
        <v>175.95162275998922</v>
      </c>
      <c r="P25" s="92">
        <f t="shared" si="12"/>
        <v>197.17489180516998</v>
      </c>
      <c r="Q25" s="107">
        <f t="shared" si="12"/>
        <v>220.95810966979718</v>
      </c>
    </row>
    <row r="26" spans="2:19" x14ac:dyDescent="0.25">
      <c r="B26" s="59"/>
      <c r="C26" s="93">
        <f>C25/C21</f>
        <v>2.5817095882428804E-3</v>
      </c>
      <c r="D26" s="93">
        <f>D25/D21</f>
        <v>6.3905168330488725E-4</v>
      </c>
      <c r="E26" s="93">
        <f>E25/E21</f>
        <v>1.7863941195419807E-3</v>
      </c>
      <c r="F26" s="93">
        <f>F25/F21</f>
        <v>1.061343635712415E-3</v>
      </c>
      <c r="G26" s="93">
        <f>G25/G21</f>
        <v>1.3994390034680743E-3</v>
      </c>
      <c r="H26" s="94">
        <f>AVERAGE(C26:G26)</f>
        <v>1.4935876060540477E-3</v>
      </c>
      <c r="I26" s="95">
        <f>H26</f>
        <v>1.4935876060540477E-3</v>
      </c>
      <c r="J26" s="95">
        <f t="shared" ref="J26:Q26" si="13">I26</f>
        <v>1.4935876060540477E-3</v>
      </c>
      <c r="K26" s="95">
        <f t="shared" si="13"/>
        <v>1.4935876060540477E-3</v>
      </c>
      <c r="L26" s="95">
        <f t="shared" si="13"/>
        <v>1.4935876060540477E-3</v>
      </c>
      <c r="M26" s="95">
        <f t="shared" si="13"/>
        <v>1.4935876060540477E-3</v>
      </c>
      <c r="N26" s="95">
        <f t="shared" si="13"/>
        <v>1.4935876060540477E-3</v>
      </c>
      <c r="O26" s="95">
        <f t="shared" si="13"/>
        <v>1.4935876060540477E-3</v>
      </c>
      <c r="P26" s="95">
        <f t="shared" si="13"/>
        <v>1.4935876060540477E-3</v>
      </c>
      <c r="Q26" s="108">
        <f t="shared" si="13"/>
        <v>1.4935876060540477E-3</v>
      </c>
    </row>
    <row r="27" spans="2:19" x14ac:dyDescent="0.25">
      <c r="B27" s="59" t="s">
        <v>15</v>
      </c>
      <c r="C27" s="62">
        <v>9.14</v>
      </c>
      <c r="D27" s="62">
        <v>-1.97</v>
      </c>
      <c r="E27" s="62">
        <v>-11.81</v>
      </c>
      <c r="F27" s="62">
        <v>0</v>
      </c>
      <c r="G27" s="62">
        <v>0</v>
      </c>
      <c r="H27" s="92">
        <v>0</v>
      </c>
      <c r="I27" s="92">
        <v>0</v>
      </c>
      <c r="J27" s="92">
        <v>0</v>
      </c>
      <c r="K27" s="92">
        <v>0</v>
      </c>
      <c r="L27" s="92">
        <v>0</v>
      </c>
      <c r="M27" s="92">
        <v>0</v>
      </c>
      <c r="N27" s="92">
        <v>0</v>
      </c>
      <c r="O27" s="92">
        <v>0</v>
      </c>
      <c r="P27" s="92">
        <v>0</v>
      </c>
      <c r="Q27" s="107">
        <v>0</v>
      </c>
    </row>
    <row r="28" spans="2:19" x14ac:dyDescent="0.25">
      <c r="B28" s="59"/>
      <c r="C28" s="253"/>
      <c r="D28" s="253"/>
      <c r="E28" s="253"/>
      <c r="F28" s="253"/>
      <c r="G28" s="253"/>
      <c r="H28" s="254"/>
      <c r="I28" s="254"/>
      <c r="J28" s="254"/>
      <c r="K28" s="254"/>
      <c r="L28" s="254"/>
      <c r="M28" s="254"/>
      <c r="N28" s="254"/>
      <c r="O28" s="254"/>
      <c r="P28" s="254"/>
      <c r="Q28" s="255"/>
    </row>
    <row r="29" spans="2:19" x14ac:dyDescent="0.25">
      <c r="B29" s="59"/>
      <c r="G29" s="264"/>
      <c r="Q29" s="17"/>
    </row>
    <row r="30" spans="2:19" x14ac:dyDescent="0.25">
      <c r="B30" s="59"/>
      <c r="D30" s="6"/>
      <c r="E30" s="6"/>
      <c r="F30" s="6"/>
      <c r="G30" s="6"/>
      <c r="H30" s="10"/>
      <c r="I30" s="10"/>
      <c r="J30" s="10"/>
      <c r="K30" s="10"/>
      <c r="L30" s="10"/>
      <c r="M30" s="10"/>
      <c r="N30" s="10"/>
      <c r="O30" s="10"/>
      <c r="P30" s="10"/>
      <c r="Q30" s="110"/>
    </row>
    <row r="31" spans="2:19" x14ac:dyDescent="0.25">
      <c r="B31" s="104" t="s">
        <v>223</v>
      </c>
      <c r="Q31" s="17"/>
    </row>
    <row r="32" spans="2:19" x14ac:dyDescent="0.25">
      <c r="B32" s="59" t="s">
        <v>220</v>
      </c>
      <c r="C32" s="100"/>
      <c r="D32" s="100"/>
      <c r="E32" s="100"/>
      <c r="F32" s="100"/>
      <c r="G32" s="100"/>
      <c r="H32" s="96">
        <f>H33+3%</f>
        <v>0.15061991081566087</v>
      </c>
      <c r="I32" s="97">
        <f>H32</f>
        <v>0.15061991081566087</v>
      </c>
      <c r="J32" s="97">
        <f t="shared" ref="J32:Q32" si="14">I32</f>
        <v>0.15061991081566087</v>
      </c>
      <c r="K32" s="97">
        <f t="shared" si="14"/>
        <v>0.15061991081566087</v>
      </c>
      <c r="L32" s="97">
        <f t="shared" si="14"/>
        <v>0.15061991081566087</v>
      </c>
      <c r="M32" s="97">
        <f t="shared" si="14"/>
        <v>0.15061991081566087</v>
      </c>
      <c r="N32" s="97">
        <f t="shared" si="14"/>
        <v>0.15061991081566087</v>
      </c>
      <c r="O32" s="97">
        <f t="shared" si="14"/>
        <v>0.15061991081566087</v>
      </c>
      <c r="P32" s="97">
        <f t="shared" si="14"/>
        <v>0.15061991081566087</v>
      </c>
      <c r="Q32" s="111">
        <f t="shared" si="14"/>
        <v>0.15061991081566087</v>
      </c>
      <c r="R32" s="10"/>
      <c r="S32" s="10"/>
    </row>
    <row r="33" spans="2:19" x14ac:dyDescent="0.25">
      <c r="B33" s="59" t="s">
        <v>221</v>
      </c>
      <c r="C33" s="100"/>
      <c r="D33" s="100"/>
      <c r="E33" s="100"/>
      <c r="F33" s="100"/>
      <c r="G33" s="100"/>
      <c r="H33" s="98">
        <f>AVERAGE(D12:G12)</f>
        <v>0.12061991081566087</v>
      </c>
      <c r="I33" s="99">
        <f t="shared" ref="I33:Q34" si="15">H33</f>
        <v>0.12061991081566087</v>
      </c>
      <c r="J33" s="99">
        <f t="shared" si="15"/>
        <v>0.12061991081566087</v>
      </c>
      <c r="K33" s="99">
        <f t="shared" si="15"/>
        <v>0.12061991081566087</v>
      </c>
      <c r="L33" s="99">
        <f t="shared" si="15"/>
        <v>0.12061991081566087</v>
      </c>
      <c r="M33" s="99">
        <f t="shared" si="15"/>
        <v>0.12061991081566087</v>
      </c>
      <c r="N33" s="99">
        <f t="shared" si="15"/>
        <v>0.12061991081566087</v>
      </c>
      <c r="O33" s="99">
        <f t="shared" si="15"/>
        <v>0.12061991081566087</v>
      </c>
      <c r="P33" s="99">
        <f t="shared" si="15"/>
        <v>0.12061991081566087</v>
      </c>
      <c r="Q33" s="112">
        <f t="shared" si="15"/>
        <v>0.12061991081566087</v>
      </c>
      <c r="R33" s="10"/>
      <c r="S33" s="10"/>
    </row>
    <row r="34" spans="2:19" x14ac:dyDescent="0.25">
      <c r="B34" s="77" t="s">
        <v>222</v>
      </c>
      <c r="C34" s="113"/>
      <c r="D34" s="114"/>
      <c r="E34" s="114"/>
      <c r="F34" s="114"/>
      <c r="G34" s="114"/>
      <c r="H34" s="115">
        <f>H33-3%</f>
        <v>9.061991081566087E-2</v>
      </c>
      <c r="I34" s="116">
        <f t="shared" si="15"/>
        <v>9.061991081566087E-2</v>
      </c>
      <c r="J34" s="116">
        <f t="shared" si="15"/>
        <v>9.061991081566087E-2</v>
      </c>
      <c r="K34" s="116">
        <f t="shared" si="15"/>
        <v>9.061991081566087E-2</v>
      </c>
      <c r="L34" s="116">
        <f t="shared" si="15"/>
        <v>9.061991081566087E-2</v>
      </c>
      <c r="M34" s="116">
        <f t="shared" si="15"/>
        <v>9.061991081566087E-2</v>
      </c>
      <c r="N34" s="116">
        <f t="shared" si="15"/>
        <v>9.061991081566087E-2</v>
      </c>
      <c r="O34" s="116">
        <f t="shared" si="15"/>
        <v>9.061991081566087E-2</v>
      </c>
      <c r="P34" s="116">
        <f t="shared" si="15"/>
        <v>9.061991081566087E-2</v>
      </c>
      <c r="Q34" s="117">
        <f t="shared" si="15"/>
        <v>9.061991081566087E-2</v>
      </c>
      <c r="R34" s="10"/>
      <c r="S34" s="10"/>
    </row>
    <row r="36" spans="2:19" x14ac:dyDescent="0.25">
      <c r="B36" s="39"/>
      <c r="C36" s="39"/>
      <c r="D36" s="39"/>
      <c r="E36" s="39"/>
      <c r="F36" s="39"/>
      <c r="G36" s="39"/>
      <c r="H36" s="267"/>
      <c r="I36" s="267"/>
      <c r="J36" s="267"/>
      <c r="K36" s="267"/>
      <c r="L36" s="267"/>
      <c r="M36" s="267"/>
      <c r="N36" s="267"/>
      <c r="O36" s="267"/>
      <c r="P36" s="267"/>
      <c r="Q36" s="267"/>
    </row>
    <row r="37" spans="2:19" x14ac:dyDescent="0.25">
      <c r="D37" s="6"/>
      <c r="E37" s="6"/>
      <c r="F37" s="6"/>
      <c r="G37" s="6"/>
      <c r="H37" s="10"/>
      <c r="I37" s="10"/>
      <c r="J37" s="10"/>
      <c r="K37" s="10"/>
      <c r="L37" s="10"/>
      <c r="M37" s="10"/>
      <c r="N37" s="10"/>
      <c r="O37" s="10"/>
      <c r="P37" s="10"/>
      <c r="Q37" s="10"/>
    </row>
    <row r="38" spans="2:19" x14ac:dyDescent="0.25">
      <c r="B38" s="118"/>
      <c r="C38" s="44"/>
    </row>
    <row r="39" spans="2:19" x14ac:dyDescent="0.25">
      <c r="B39" s="42"/>
      <c r="C39" s="44"/>
      <c r="H39" s="6"/>
      <c r="I39" s="10"/>
      <c r="J39" s="10"/>
      <c r="K39" s="10"/>
      <c r="L39" s="10"/>
      <c r="M39" s="10"/>
      <c r="N39" s="10"/>
      <c r="O39" s="10"/>
      <c r="P39" s="10"/>
      <c r="Q39" s="10"/>
      <c r="R39" s="10"/>
    </row>
    <row r="40" spans="2:19" x14ac:dyDescent="0.25">
      <c r="B40" s="42"/>
      <c r="C40" s="44"/>
      <c r="H40" s="10"/>
      <c r="I40" s="10"/>
      <c r="J40" s="10"/>
      <c r="K40" s="10"/>
      <c r="L40" s="10"/>
      <c r="M40" s="10"/>
      <c r="N40" s="10"/>
      <c r="O40" s="10"/>
      <c r="P40" s="10"/>
      <c r="Q40" s="10"/>
      <c r="R40" s="10"/>
    </row>
    <row r="41" spans="2:19" x14ac:dyDescent="0.25">
      <c r="B41" s="42"/>
      <c r="C41" s="44"/>
      <c r="H41" s="6"/>
      <c r="I41" s="10"/>
      <c r="J41" s="10"/>
      <c r="K41" s="10"/>
      <c r="L41" s="10"/>
      <c r="M41" s="10"/>
      <c r="N41" s="10"/>
      <c r="O41" s="10"/>
      <c r="P41" s="10"/>
      <c r="Q41" s="10"/>
      <c r="R41" s="10"/>
    </row>
  </sheetData>
  <mergeCells count="2">
    <mergeCell ref="B7:B8"/>
    <mergeCell ref="B6:Q6"/>
  </mergeCells>
  <phoneticPr fontId="7" type="noConversion"/>
  <pageMargins left="0.7" right="0.7" top="0.75" bottom="0.75" header="0.3" footer="0.3"/>
  <pageSetup orientation="portrait" horizontalDpi="300" verticalDpi="0" copies="0" r:id="rId1"/>
  <ignoredErrors>
    <ignoredError sqref="H14:Q14 H16:Q16 H15:Q15 H18:Q18 H17:Q17 H20:Q20 H19:Q19" formula="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C924-2DB8-4F81-B3D7-0937CA78AA87}">
  <dimension ref="B5:Q56"/>
  <sheetViews>
    <sheetView showGridLines="0" topLeftCell="C37" workbookViewId="0">
      <selection activeCell="S16" sqref="S16"/>
    </sheetView>
  </sheetViews>
  <sheetFormatPr defaultRowHeight="15" x14ac:dyDescent="0.25"/>
  <cols>
    <col min="1" max="1" width="0.85546875" customWidth="1"/>
    <col min="2" max="2" width="46.5703125" customWidth="1"/>
    <col min="3" max="6" width="10.7109375" bestFit="1" customWidth="1"/>
    <col min="7" max="7" width="10.85546875" bestFit="1" customWidth="1"/>
    <col min="8" max="8" width="13.42578125" customWidth="1"/>
    <col min="9" max="9" width="10.7109375" bestFit="1" customWidth="1"/>
    <col min="10" max="10" width="11.140625" customWidth="1"/>
    <col min="11" max="13" width="10.7109375" bestFit="1" customWidth="1"/>
    <col min="14" max="14" width="12.42578125" customWidth="1"/>
    <col min="15" max="15" width="12.5703125" customWidth="1"/>
    <col min="16" max="16" width="11.85546875" customWidth="1"/>
    <col min="17" max="17" width="11.85546875" bestFit="1" customWidth="1"/>
  </cols>
  <sheetData>
    <row r="5" spans="2:17" x14ac:dyDescent="0.25">
      <c r="Q5" t="s">
        <v>259</v>
      </c>
    </row>
    <row r="6" spans="2:17" ht="18" x14ac:dyDescent="0.25">
      <c r="B6" s="303" t="s">
        <v>262</v>
      </c>
      <c r="C6" s="303"/>
      <c r="D6" s="303"/>
      <c r="E6" s="303"/>
      <c r="F6" s="303"/>
      <c r="G6" s="303"/>
      <c r="H6" s="303"/>
      <c r="I6" s="303"/>
      <c r="J6" s="303"/>
      <c r="K6" s="303"/>
      <c r="L6" s="303"/>
      <c r="M6" s="303"/>
      <c r="N6" s="303"/>
      <c r="O6" s="303"/>
      <c r="P6" s="303"/>
      <c r="Q6" s="303"/>
    </row>
    <row r="7" spans="2:17" x14ac:dyDescent="0.25">
      <c r="B7" s="306" t="s">
        <v>63</v>
      </c>
      <c r="C7" s="7">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24">
        <f t="shared" si="0"/>
        <v>2034</v>
      </c>
    </row>
    <row r="8" spans="2:17"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7" x14ac:dyDescent="0.25">
      <c r="B9" s="130"/>
      <c r="Q9" s="17"/>
    </row>
    <row r="10" spans="2:17" x14ac:dyDescent="0.25">
      <c r="B10" s="59" t="s">
        <v>64</v>
      </c>
      <c r="C10" s="62">
        <f>'Revenue Bulid Up'!C21</f>
        <v>29929.78</v>
      </c>
      <c r="D10" s="62">
        <f>'Revenue Bulid Up'!D21</f>
        <v>35552.68</v>
      </c>
      <c r="E10" s="62">
        <f>'Revenue Bulid Up'!E21</f>
        <v>39269.049999999996</v>
      </c>
      <c r="F10" s="62">
        <f>'Revenue Bulid Up'!F21</f>
        <v>39478.259999999995</v>
      </c>
      <c r="G10" s="62">
        <f>'Revenue Bulid Up'!G21</f>
        <v>47504.75</v>
      </c>
      <c r="H10" s="120">
        <f>'Revenue Bulid Up'!H21</f>
        <v>53082.850155457418</v>
      </c>
      <c r="I10" s="120">
        <f>'Revenue Bulid Up'!I21</f>
        <v>59485.698807049783</v>
      </c>
      <c r="J10" s="120">
        <f>'Revenue Bulid Up'!J21</f>
        <v>66660.858491963387</v>
      </c>
      <c r="K10" s="120">
        <f>'Revenue Bulid Up'!K21</f>
        <v>74701.485298159416</v>
      </c>
      <c r="L10" s="120">
        <f>'Revenue Bulid Up'!L21</f>
        <v>83711.971792620796</v>
      </c>
      <c r="M10" s="120">
        <f>'Revenue Bulid Up'!M21</f>
        <v>93809.302364449846</v>
      </c>
      <c r="N10" s="120">
        <f>'Revenue Bulid Up'!N21</f>
        <v>105124.57204932914</v>
      </c>
      <c r="O10" s="120">
        <f>'Revenue Bulid Up'!O21</f>
        <v>117804.68855445374</v>
      </c>
      <c r="P10" s="120">
        <f>'Revenue Bulid Up'!P21</f>
        <v>132014.27958155869</v>
      </c>
      <c r="Q10" s="124">
        <f>'Revenue Bulid Up'!Q21</f>
        <v>147937.83021108003</v>
      </c>
    </row>
    <row r="11" spans="2:17" x14ac:dyDescent="0.25">
      <c r="B11" s="59"/>
      <c r="C11" s="62"/>
      <c r="D11" s="62"/>
      <c r="E11" s="62"/>
      <c r="F11" s="62"/>
      <c r="G11" s="62"/>
      <c r="H11" s="120"/>
      <c r="I11" s="120"/>
      <c r="J11" s="120"/>
      <c r="K11" s="120"/>
      <c r="L11" s="120"/>
      <c r="M11" s="120"/>
      <c r="N11" s="120"/>
      <c r="O11" s="120"/>
      <c r="P11" s="120"/>
      <c r="Q11" s="124"/>
    </row>
    <row r="12" spans="2:17" x14ac:dyDescent="0.25">
      <c r="B12" s="59" t="s">
        <v>287</v>
      </c>
      <c r="C12" s="62">
        <v>15579.15</v>
      </c>
      <c r="D12" s="62">
        <v>17933.3</v>
      </c>
      <c r="E12" s="62">
        <v>17862.55</v>
      </c>
      <c r="F12" s="62">
        <v>17094.660000000003</v>
      </c>
      <c r="G12" s="69">
        <v>18889.510000000002</v>
      </c>
      <c r="H12" s="120">
        <f>H10*H13</f>
        <v>24529.191459097812</v>
      </c>
      <c r="I12" s="120">
        <f t="shared" ref="I12:Q12" si="1">I10*I13</f>
        <v>27487.900345274462</v>
      </c>
      <c r="J12" s="120">
        <f t="shared" si="1"/>
        <v>30803.488433431237</v>
      </c>
      <c r="K12" s="120">
        <f t="shared" si="1"/>
        <v>34519.002461082964</v>
      </c>
      <c r="L12" s="120">
        <f t="shared" si="1"/>
        <v>38682.681459384366</v>
      </c>
      <c r="M12" s="120">
        <f t="shared" si="1"/>
        <v>43348.583047125932</v>
      </c>
      <c r="N12" s="120">
        <f t="shared" si="1"/>
        <v>48577.285268255524</v>
      </c>
      <c r="O12" s="120">
        <f t="shared" si="1"/>
        <v>54436.673084979418</v>
      </c>
      <c r="P12" s="120">
        <f t="shared" si="1"/>
        <v>61002.819737590944</v>
      </c>
      <c r="Q12" s="124">
        <f t="shared" si="1"/>
        <v>68360.974413842996</v>
      </c>
    </row>
    <row r="13" spans="2:17" x14ac:dyDescent="0.25">
      <c r="B13" s="59"/>
      <c r="C13" s="251">
        <f>C12/C10</f>
        <v>0.52052337170537166</v>
      </c>
      <c r="D13" s="251">
        <f t="shared" ref="D13:G13" si="2">D12/D10</f>
        <v>0.50441485705156397</v>
      </c>
      <c r="E13" s="251">
        <f t="shared" si="2"/>
        <v>0.4548760410552331</v>
      </c>
      <c r="F13" s="251">
        <f t="shared" si="2"/>
        <v>0.43301452495626719</v>
      </c>
      <c r="G13" s="251">
        <f t="shared" si="2"/>
        <v>0.39763413132370978</v>
      </c>
      <c r="H13" s="122">
        <f>AVERAGE(C13:G13)</f>
        <v>0.46209258521842916</v>
      </c>
      <c r="I13" s="122">
        <f>H13</f>
        <v>0.46209258521842916</v>
      </c>
      <c r="J13" s="122">
        <f t="shared" ref="J13:Q13" si="3">I13</f>
        <v>0.46209258521842916</v>
      </c>
      <c r="K13" s="122">
        <f t="shared" si="3"/>
        <v>0.46209258521842916</v>
      </c>
      <c r="L13" s="122">
        <f t="shared" si="3"/>
        <v>0.46209258521842916</v>
      </c>
      <c r="M13" s="122">
        <f t="shared" si="3"/>
        <v>0.46209258521842916</v>
      </c>
      <c r="N13" s="122">
        <f t="shared" si="3"/>
        <v>0.46209258521842916</v>
      </c>
      <c r="O13" s="122">
        <f t="shared" si="3"/>
        <v>0.46209258521842916</v>
      </c>
      <c r="P13" s="122">
        <f t="shared" si="3"/>
        <v>0.46209258521842916</v>
      </c>
      <c r="Q13" s="270">
        <f t="shared" si="3"/>
        <v>0.46209258521842916</v>
      </c>
    </row>
    <row r="14" spans="2:17" x14ac:dyDescent="0.25">
      <c r="B14" s="59"/>
      <c r="C14" s="62"/>
      <c r="D14" s="62"/>
      <c r="E14" s="62"/>
      <c r="F14" s="62"/>
      <c r="G14" s="62"/>
      <c r="H14" s="120"/>
      <c r="I14" s="120"/>
      <c r="J14" s="120"/>
      <c r="K14" s="120"/>
      <c r="L14" s="120"/>
      <c r="M14" s="120"/>
      <c r="N14" s="120"/>
      <c r="O14" s="120"/>
      <c r="P14" s="120"/>
      <c r="Q14" s="124"/>
    </row>
    <row r="15" spans="2:17" x14ac:dyDescent="0.25">
      <c r="B15" s="131" t="s">
        <v>0</v>
      </c>
      <c r="C15" s="62">
        <f>'P&amp;L Input'!C15</f>
        <v>2357.9</v>
      </c>
      <c r="D15" s="62">
        <f>'P&amp;L Input'!D15</f>
        <v>330.26</v>
      </c>
      <c r="E15" s="62">
        <f>'P&amp;L Input'!E15</f>
        <v>799.05</v>
      </c>
      <c r="F15" s="62">
        <f>'P&amp;L Input'!F15</f>
        <v>1114.04</v>
      </c>
      <c r="G15" s="62">
        <f>'P&amp;L Input'!G15</f>
        <v>166.57</v>
      </c>
      <c r="H15" s="120">
        <f>H16*H10</f>
        <v>814.3288931620757</v>
      </c>
      <c r="I15" s="120">
        <f t="shared" ref="I15:Q15" si="4">I16*I10</f>
        <v>912.55317162990116</v>
      </c>
      <c r="J15" s="120">
        <f t="shared" si="4"/>
        <v>1022.6252538064482</v>
      </c>
      <c r="K15" s="120">
        <f t="shared" si="4"/>
        <v>1145.9742207184247</v>
      </c>
      <c r="L15" s="120">
        <f t="shared" si="4"/>
        <v>1284.2015290185275</v>
      </c>
      <c r="M15" s="120">
        <f t="shared" si="4"/>
        <v>1439.1018029180777</v>
      </c>
      <c r="N15" s="120">
        <f t="shared" si="4"/>
        <v>1612.6861340407129</v>
      </c>
      <c r="O15" s="120">
        <f t="shared" si="4"/>
        <v>1807.2081917023565</v>
      </c>
      <c r="P15" s="120">
        <f t="shared" si="4"/>
        <v>2025.1934826108272</v>
      </c>
      <c r="Q15" s="124">
        <f t="shared" si="4"/>
        <v>2269.472139867803</v>
      </c>
    </row>
    <row r="16" spans="2:17" x14ac:dyDescent="0.25">
      <c r="B16" s="131"/>
      <c r="C16" s="121">
        <f>C15/C10</f>
        <v>7.8781066883886225E-2</v>
      </c>
      <c r="D16" s="121">
        <f>D15/D10</f>
        <v>9.2893137732514112E-3</v>
      </c>
      <c r="E16" s="121">
        <f>E15/E10</f>
        <v>2.034808583349992E-2</v>
      </c>
      <c r="F16" s="121">
        <f>F15/F10</f>
        <v>2.8219075511433385E-2</v>
      </c>
      <c r="G16" s="121">
        <f>G15/G10</f>
        <v>3.5063862034849145E-3</v>
      </c>
      <c r="H16" s="122">
        <f>AVERAGE(D16:G16)</f>
        <v>1.5340715330417408E-2</v>
      </c>
      <c r="I16" s="123">
        <f>H16</f>
        <v>1.5340715330417408E-2</v>
      </c>
      <c r="J16" s="123">
        <f t="shared" ref="J16:Q16" si="5">I16</f>
        <v>1.5340715330417408E-2</v>
      </c>
      <c r="K16" s="123">
        <f t="shared" si="5"/>
        <v>1.5340715330417408E-2</v>
      </c>
      <c r="L16" s="123">
        <f t="shared" si="5"/>
        <v>1.5340715330417408E-2</v>
      </c>
      <c r="M16" s="123">
        <f t="shared" si="5"/>
        <v>1.5340715330417408E-2</v>
      </c>
      <c r="N16" s="123">
        <f t="shared" si="5"/>
        <v>1.5340715330417408E-2</v>
      </c>
      <c r="O16" s="123">
        <f t="shared" si="5"/>
        <v>1.5340715330417408E-2</v>
      </c>
      <c r="P16" s="123">
        <f t="shared" si="5"/>
        <v>1.5340715330417408E-2</v>
      </c>
      <c r="Q16" s="125">
        <f t="shared" si="5"/>
        <v>1.5340715330417408E-2</v>
      </c>
    </row>
    <row r="17" spans="2:17" x14ac:dyDescent="0.25">
      <c r="B17" s="131"/>
      <c r="C17" s="62"/>
      <c r="D17" s="62"/>
      <c r="E17" s="62"/>
      <c r="F17" s="62"/>
      <c r="G17" s="62"/>
      <c r="H17" s="120"/>
      <c r="I17" s="120"/>
      <c r="J17" s="120"/>
      <c r="K17" s="120"/>
      <c r="L17" s="120"/>
      <c r="M17" s="120"/>
      <c r="N17" s="120"/>
      <c r="O17" s="120"/>
      <c r="P17" s="120"/>
      <c r="Q17" s="124"/>
    </row>
    <row r="18" spans="2:17" x14ac:dyDescent="0.25">
      <c r="B18" s="131" t="s">
        <v>1</v>
      </c>
      <c r="C18" s="62">
        <f>'P&amp;L Input'!C16</f>
        <v>25.44</v>
      </c>
      <c r="D18" s="62">
        <f>'P&amp;L Input'!D16</f>
        <v>9.9499999999999993</v>
      </c>
      <c r="E18" s="62">
        <f>'P&amp;L Input'!E16</f>
        <v>16.73</v>
      </c>
      <c r="F18" s="62">
        <f>'P&amp;L Input'!F16</f>
        <v>16.29</v>
      </c>
      <c r="G18" s="62">
        <f>'P&amp;L Input'!G16</f>
        <v>24.26</v>
      </c>
      <c r="H18" s="120">
        <f t="shared" ref="H18:Q18" si="6">H19*H10</f>
        <v>26.320697344588897</v>
      </c>
      <c r="I18" s="120">
        <f t="shared" si="6"/>
        <v>29.495497510899209</v>
      </c>
      <c r="J18" s="120">
        <f t="shared" si="6"/>
        <v>33.053241790127416</v>
      </c>
      <c r="K18" s="120">
        <f t="shared" si="6"/>
        <v>37.040120867021074</v>
      </c>
      <c r="L18" s="120">
        <f t="shared" si="6"/>
        <v>41.507896942602443</v>
      </c>
      <c r="M18" s="120">
        <f t="shared" si="6"/>
        <v>46.5145757699648</v>
      </c>
      <c r="N18" s="120">
        <f t="shared" si="6"/>
        <v>52.125159750966255</v>
      </c>
      <c r="O18" s="120">
        <f t="shared" si="6"/>
        <v>58.412491871379878</v>
      </c>
      <c r="P18" s="120">
        <f t="shared" si="6"/>
        <v>65.458201431426247</v>
      </c>
      <c r="Q18" s="124">
        <f t="shared" si="6"/>
        <v>73.353763850238451</v>
      </c>
    </row>
    <row r="19" spans="2:17" x14ac:dyDescent="0.25">
      <c r="B19" s="131"/>
      <c r="C19" s="121">
        <f>C18/C10</f>
        <v>8.499895421884158E-4</v>
      </c>
      <c r="D19" s="121">
        <f>D18/D10</f>
        <v>2.7986638419382165E-4</v>
      </c>
      <c r="E19" s="121">
        <f>E18/E10</f>
        <v>4.2603526186653362E-4</v>
      </c>
      <c r="F19" s="121">
        <f>F18/F10</f>
        <v>4.1263216767912266E-4</v>
      </c>
      <c r="G19" s="121">
        <f>G18/G10</f>
        <v>5.1068577352791043E-4</v>
      </c>
      <c r="H19" s="122">
        <f>AVERAGE(C19:G19)</f>
        <v>4.9584182589116081E-4</v>
      </c>
      <c r="I19" s="123">
        <f t="shared" ref="I19:Q19" si="7">H19</f>
        <v>4.9584182589116081E-4</v>
      </c>
      <c r="J19" s="123">
        <f t="shared" si="7"/>
        <v>4.9584182589116081E-4</v>
      </c>
      <c r="K19" s="123">
        <f t="shared" si="7"/>
        <v>4.9584182589116081E-4</v>
      </c>
      <c r="L19" s="123">
        <f t="shared" si="7"/>
        <v>4.9584182589116081E-4</v>
      </c>
      <c r="M19" s="123">
        <f t="shared" si="7"/>
        <v>4.9584182589116081E-4</v>
      </c>
      <c r="N19" s="123">
        <f t="shared" si="7"/>
        <v>4.9584182589116081E-4</v>
      </c>
      <c r="O19" s="123">
        <f t="shared" si="7"/>
        <v>4.9584182589116081E-4</v>
      </c>
      <c r="P19" s="123">
        <f t="shared" si="7"/>
        <v>4.9584182589116081E-4</v>
      </c>
      <c r="Q19" s="125">
        <f t="shared" si="7"/>
        <v>4.9584182589116081E-4</v>
      </c>
    </row>
    <row r="20" spans="2:17" x14ac:dyDescent="0.25">
      <c r="B20" s="131"/>
      <c r="C20" s="62"/>
      <c r="D20" s="62"/>
      <c r="E20" s="62"/>
      <c r="F20" s="62"/>
      <c r="G20" s="62"/>
      <c r="H20" s="120"/>
      <c r="I20" s="120"/>
      <c r="J20" s="120"/>
      <c r="K20" s="120"/>
      <c r="L20" s="120"/>
      <c r="M20" s="120"/>
      <c r="N20" s="120"/>
      <c r="O20" s="120"/>
      <c r="P20" s="120"/>
      <c r="Q20" s="124"/>
    </row>
    <row r="21" spans="2:17" x14ac:dyDescent="0.25">
      <c r="B21" s="131" t="s">
        <v>2</v>
      </c>
      <c r="C21" s="62">
        <f>'P&amp;L Input'!C17</f>
        <v>25.85</v>
      </c>
      <c r="D21" s="62">
        <f>'P&amp;L Input'!D17</f>
        <v>0</v>
      </c>
      <c r="E21" s="62">
        <f>'P&amp;L Input'!E17</f>
        <v>0</v>
      </c>
      <c r="F21" s="62">
        <f>'P&amp;L Input'!F17</f>
        <v>0</v>
      </c>
      <c r="G21" s="62">
        <f>'P&amp;L Input'!G17</f>
        <v>0</v>
      </c>
      <c r="H21" s="120">
        <f t="shared" ref="H21:Q21" si="8">H22*H10</f>
        <v>0</v>
      </c>
      <c r="I21" s="120">
        <f t="shared" si="8"/>
        <v>0</v>
      </c>
      <c r="J21" s="120">
        <f t="shared" si="8"/>
        <v>0</v>
      </c>
      <c r="K21" s="120">
        <f t="shared" si="8"/>
        <v>0</v>
      </c>
      <c r="L21" s="120">
        <f t="shared" si="8"/>
        <v>0</v>
      </c>
      <c r="M21" s="120">
        <f t="shared" si="8"/>
        <v>0</v>
      </c>
      <c r="N21" s="120">
        <f t="shared" si="8"/>
        <v>0</v>
      </c>
      <c r="O21" s="120">
        <f t="shared" si="8"/>
        <v>0</v>
      </c>
      <c r="P21" s="120">
        <f t="shared" si="8"/>
        <v>0</v>
      </c>
      <c r="Q21" s="124">
        <f t="shared" si="8"/>
        <v>0</v>
      </c>
    </row>
    <row r="22" spans="2:17" x14ac:dyDescent="0.25">
      <c r="B22" s="131"/>
      <c r="C22" s="121">
        <f>C21/C10</f>
        <v>8.6368827301771015E-4</v>
      </c>
      <c r="D22" s="62">
        <f>D21/D10</f>
        <v>0</v>
      </c>
      <c r="E22" s="62">
        <f>E21/E10</f>
        <v>0</v>
      </c>
      <c r="F22" s="62">
        <f>F21/F10</f>
        <v>0</v>
      </c>
      <c r="G22" s="62">
        <f>G21/G10</f>
        <v>0</v>
      </c>
      <c r="H22" s="122">
        <v>0</v>
      </c>
      <c r="I22" s="122">
        <v>0</v>
      </c>
      <c r="J22" s="122">
        <v>0</v>
      </c>
      <c r="K22" s="122">
        <v>0</v>
      </c>
      <c r="L22" s="122">
        <v>0</v>
      </c>
      <c r="M22" s="122">
        <v>0</v>
      </c>
      <c r="N22" s="122">
        <v>0</v>
      </c>
      <c r="O22" s="122">
        <v>0</v>
      </c>
      <c r="P22" s="122">
        <v>0</v>
      </c>
      <c r="Q22" s="270">
        <v>0</v>
      </c>
    </row>
    <row r="23" spans="2:17" x14ac:dyDescent="0.25">
      <c r="B23" s="131"/>
      <c r="C23" s="62"/>
      <c r="D23" s="62"/>
      <c r="E23" s="62"/>
      <c r="F23" s="62"/>
      <c r="G23" s="62"/>
      <c r="H23" s="120"/>
      <c r="I23" s="120"/>
      <c r="J23" s="120"/>
      <c r="K23" s="120"/>
      <c r="L23" s="120"/>
      <c r="M23" s="120"/>
      <c r="N23" s="120"/>
      <c r="O23" s="120"/>
      <c r="P23" s="120"/>
      <c r="Q23" s="124"/>
    </row>
    <row r="24" spans="2:17" x14ac:dyDescent="0.25">
      <c r="B24" s="131" t="s">
        <v>4</v>
      </c>
      <c r="C24" s="62">
        <f>'P&amp;L Input'!C19</f>
        <v>71.61</v>
      </c>
      <c r="D24" s="62">
        <f>'P&amp;L Input'!D19</f>
        <v>88.51</v>
      </c>
      <c r="E24" s="62">
        <f>'P&amp;L Input'!E19</f>
        <v>65.11</v>
      </c>
      <c r="F24" s="62">
        <f>'P&amp;L Input'!F19</f>
        <v>54.06</v>
      </c>
      <c r="G24" s="62">
        <f>'P&amp;L Input'!G19</f>
        <v>168.06</v>
      </c>
      <c r="H24" s="120">
        <f t="shared" ref="H24:Q24" si="9">H25*H10</f>
        <v>121.53113528651501</v>
      </c>
      <c r="I24" s="120">
        <f t="shared" si="9"/>
        <v>136.19020998610048</v>
      </c>
      <c r="J24" s="120">
        <f t="shared" si="9"/>
        <v>152.61746096859002</v>
      </c>
      <c r="K24" s="120">
        <f t="shared" si="9"/>
        <v>171.02616549953399</v>
      </c>
      <c r="L24" s="120">
        <f t="shared" si="9"/>
        <v>191.65532632923222</v>
      </c>
      <c r="M24" s="120">
        <f t="shared" si="9"/>
        <v>214.77277469841061</v>
      </c>
      <c r="N24" s="120">
        <f t="shared" si="9"/>
        <v>240.67864762816492</v>
      </c>
      <c r="O24" s="120">
        <f t="shared" si="9"/>
        <v>269.709284640308</v>
      </c>
      <c r="P24" s="120">
        <f t="shared" si="9"/>
        <v>302.24159449977776</v>
      </c>
      <c r="Q24" s="124">
        <f t="shared" si="9"/>
        <v>338.69794867312413</v>
      </c>
    </row>
    <row r="25" spans="2:17" x14ac:dyDescent="0.25">
      <c r="B25" s="59"/>
      <c r="C25" s="121">
        <f>C24/C10</f>
        <v>2.3926002797214014E-3</v>
      </c>
      <c r="D25" s="121">
        <f>D24/D10</f>
        <v>2.4895450919593123E-3</v>
      </c>
      <c r="E25" s="121">
        <f>E24/E10</f>
        <v>1.6580487686867905E-3</v>
      </c>
      <c r="F25" s="121">
        <f>F24/F10</f>
        <v>1.3693612636423188E-3</v>
      </c>
      <c r="G25" s="121">
        <f>G24/G10</f>
        <v>3.5377514880090941E-3</v>
      </c>
      <c r="H25" s="122">
        <f>AVERAGE(C25:G25)</f>
        <v>2.2894613784037831E-3</v>
      </c>
      <c r="I25" s="123">
        <f t="shared" ref="I25:Q25" si="10">H25</f>
        <v>2.2894613784037831E-3</v>
      </c>
      <c r="J25" s="123">
        <f t="shared" si="10"/>
        <v>2.2894613784037831E-3</v>
      </c>
      <c r="K25" s="123">
        <f t="shared" si="10"/>
        <v>2.2894613784037831E-3</v>
      </c>
      <c r="L25" s="123">
        <f t="shared" si="10"/>
        <v>2.2894613784037831E-3</v>
      </c>
      <c r="M25" s="123">
        <f t="shared" si="10"/>
        <v>2.2894613784037831E-3</v>
      </c>
      <c r="N25" s="123">
        <f t="shared" si="10"/>
        <v>2.2894613784037831E-3</v>
      </c>
      <c r="O25" s="123">
        <f t="shared" si="10"/>
        <v>2.2894613784037831E-3</v>
      </c>
      <c r="P25" s="123">
        <f t="shared" si="10"/>
        <v>2.2894613784037831E-3</v>
      </c>
      <c r="Q25" s="125">
        <f t="shared" si="10"/>
        <v>2.2894613784037831E-3</v>
      </c>
    </row>
    <row r="26" spans="2:17" x14ac:dyDescent="0.25">
      <c r="B26" s="59"/>
      <c r="C26" s="62"/>
      <c r="D26" s="62"/>
      <c r="E26" s="62"/>
      <c r="F26" s="62"/>
      <c r="G26" s="62"/>
      <c r="H26" s="120"/>
      <c r="I26" s="120"/>
      <c r="J26" s="120"/>
      <c r="K26" s="120"/>
      <c r="L26" s="120"/>
      <c r="M26" s="120"/>
      <c r="N26" s="120"/>
      <c r="O26" s="120"/>
      <c r="P26" s="120"/>
      <c r="Q26" s="124"/>
    </row>
    <row r="27" spans="2:17" x14ac:dyDescent="0.25">
      <c r="B27" s="59" t="s">
        <v>3</v>
      </c>
      <c r="C27" s="62">
        <f>'P&amp;L Input'!C18</f>
        <v>919.49</v>
      </c>
      <c r="D27" s="62">
        <f>'P&amp;L Input'!D18</f>
        <v>2445.94</v>
      </c>
      <c r="E27" s="62">
        <f>'P&amp;L Input'!E18</f>
        <v>3470.02</v>
      </c>
      <c r="F27" s="62">
        <f>'P&amp;L Input'!F18</f>
        <v>142.16999999999999</v>
      </c>
      <c r="G27" s="62">
        <f>'P&amp;L Input'!G18</f>
        <v>-1379.58</v>
      </c>
      <c r="H27" s="120">
        <f t="shared" ref="H27:Q27" si="11">H28*H10</f>
        <v>1724.60663849771</v>
      </c>
      <c r="I27" s="120">
        <f t="shared" si="11"/>
        <v>1932.6285374254005</v>
      </c>
      <c r="J27" s="120">
        <f t="shared" si="11"/>
        <v>2165.7420192494533</v>
      </c>
      <c r="K27" s="120">
        <f t="shared" si="11"/>
        <v>2426.9736284610522</v>
      </c>
      <c r="L27" s="120">
        <f t="shared" si="11"/>
        <v>2719.714971077985</v>
      </c>
      <c r="M27" s="120">
        <f t="shared" si="11"/>
        <v>3047.7667483334294</v>
      </c>
      <c r="N27" s="120">
        <f t="shared" si="11"/>
        <v>3415.3881017043441</v>
      </c>
      <c r="O27" s="120">
        <f t="shared" si="11"/>
        <v>3827.3519099327914</v>
      </c>
      <c r="P27" s="120">
        <f t="shared" si="11"/>
        <v>4289.0067559690351</v>
      </c>
      <c r="Q27" s="124">
        <f t="shared" si="11"/>
        <v>4806.3463683617874</v>
      </c>
    </row>
    <row r="28" spans="2:17" x14ac:dyDescent="0.25">
      <c r="B28" s="59"/>
      <c r="C28" s="121">
        <f>C27/C10</f>
        <v>3.0721575634702295E-2</v>
      </c>
      <c r="D28" s="121">
        <f>D27/D10</f>
        <v>6.8797626508043844E-2</v>
      </c>
      <c r="E28" s="121">
        <f>E27/E10</f>
        <v>8.8365264756850512E-2</v>
      </c>
      <c r="F28" s="121">
        <f>F27/F10</f>
        <v>3.6012225462824349E-3</v>
      </c>
      <c r="G28" s="121">
        <f>G27/G10</f>
        <v>-2.9040885385145696E-2</v>
      </c>
      <c r="H28" s="122">
        <f>AVERAGE(C28:G28)</f>
        <v>3.2488960812146674E-2</v>
      </c>
      <c r="I28" s="123">
        <f t="shared" ref="I28:Q28" si="12">H28</f>
        <v>3.2488960812146674E-2</v>
      </c>
      <c r="J28" s="123">
        <f t="shared" si="12"/>
        <v>3.2488960812146674E-2</v>
      </c>
      <c r="K28" s="123">
        <f t="shared" si="12"/>
        <v>3.2488960812146674E-2</v>
      </c>
      <c r="L28" s="123">
        <f t="shared" si="12"/>
        <v>3.2488960812146674E-2</v>
      </c>
      <c r="M28" s="123">
        <f t="shared" si="12"/>
        <v>3.2488960812146674E-2</v>
      </c>
      <c r="N28" s="123">
        <f t="shared" si="12"/>
        <v>3.2488960812146674E-2</v>
      </c>
      <c r="O28" s="123">
        <f t="shared" si="12"/>
        <v>3.2488960812146674E-2</v>
      </c>
      <c r="P28" s="123">
        <f t="shared" si="12"/>
        <v>3.2488960812146674E-2</v>
      </c>
      <c r="Q28" s="125">
        <f t="shared" si="12"/>
        <v>3.2488960812146674E-2</v>
      </c>
    </row>
    <row r="29" spans="2:17" x14ac:dyDescent="0.25">
      <c r="B29" s="59"/>
      <c r="C29" s="62"/>
      <c r="D29" s="62"/>
      <c r="E29" s="62"/>
      <c r="F29" s="62"/>
      <c r="G29" s="62"/>
      <c r="H29" s="120"/>
      <c r="I29" s="120"/>
      <c r="J29" s="120"/>
      <c r="K29" s="120"/>
      <c r="L29" s="120"/>
      <c r="M29" s="120"/>
      <c r="N29" s="120"/>
      <c r="O29" s="120"/>
      <c r="P29" s="120"/>
      <c r="Q29" s="124"/>
    </row>
    <row r="30" spans="2:17" x14ac:dyDescent="0.25">
      <c r="B30" s="59" t="s">
        <v>5</v>
      </c>
      <c r="C30" s="62">
        <f>'P&amp;L Input'!C20</f>
        <v>193.15</v>
      </c>
      <c r="D30" s="62">
        <f>'P&amp;L Input'!D20</f>
        <v>163.62</v>
      </c>
      <c r="E30" s="62">
        <f>'P&amp;L Input'!E20</f>
        <v>180.09</v>
      </c>
      <c r="F30" s="62">
        <f>'P&amp;L Input'!F20</f>
        <v>204.1</v>
      </c>
      <c r="G30" s="62">
        <f>'P&amp;L Input'!G20</f>
        <v>238.03</v>
      </c>
      <c r="H30" s="120">
        <f t="shared" ref="H30:Q30" si="13">H31*H10</f>
        <v>274.14392358281469</v>
      </c>
      <c r="I30" s="120">
        <f t="shared" si="13"/>
        <v>307.21113919602914</v>
      </c>
      <c r="J30" s="120">
        <f t="shared" si="13"/>
        <v>344.26691940743177</v>
      </c>
      <c r="K30" s="120">
        <f t="shared" si="13"/>
        <v>385.79236452313859</v>
      </c>
      <c r="L30" s="120">
        <f t="shared" si="13"/>
        <v>432.32660512528241</v>
      </c>
      <c r="M30" s="120">
        <f t="shared" si="13"/>
        <v>484.47380167873149</v>
      </c>
      <c r="N30" s="120">
        <f t="shared" si="13"/>
        <v>542.91098842974418</v>
      </c>
      <c r="O30" s="120">
        <f t="shared" si="13"/>
        <v>608.39686343498215</v>
      </c>
      <c r="P30" s="120">
        <f t="shared" si="13"/>
        <v>681.78163884303774</v>
      </c>
      <c r="Q30" s="124">
        <f t="shared" si="13"/>
        <v>764.01807931604014</v>
      </c>
    </row>
    <row r="31" spans="2:17" x14ac:dyDescent="0.25">
      <c r="B31" s="59"/>
      <c r="C31" s="121">
        <f>C30/C10</f>
        <v>6.4534386821420006E-3</v>
      </c>
      <c r="D31" s="121">
        <f>D30/D10</f>
        <v>4.6021847016877492E-3</v>
      </c>
      <c r="E31" s="121">
        <f>E30/E10</f>
        <v>4.5860544118077728E-3</v>
      </c>
      <c r="F31" s="121">
        <f>F30/F10</f>
        <v>5.1699340345800456E-3</v>
      </c>
      <c r="G31" s="121">
        <f>G30/G10</f>
        <v>5.0106568290539371E-3</v>
      </c>
      <c r="H31" s="122">
        <f>AVERAGE(C31:G31)</f>
        <v>5.1644537318543005E-3</v>
      </c>
      <c r="I31" s="123">
        <f>H31</f>
        <v>5.1644537318543005E-3</v>
      </c>
      <c r="J31" s="123">
        <f t="shared" ref="J31:Q31" si="14">I31</f>
        <v>5.1644537318543005E-3</v>
      </c>
      <c r="K31" s="123">
        <f t="shared" si="14"/>
        <v>5.1644537318543005E-3</v>
      </c>
      <c r="L31" s="123">
        <f t="shared" si="14"/>
        <v>5.1644537318543005E-3</v>
      </c>
      <c r="M31" s="123">
        <f t="shared" si="14"/>
        <v>5.1644537318543005E-3</v>
      </c>
      <c r="N31" s="123">
        <f t="shared" si="14"/>
        <v>5.1644537318543005E-3</v>
      </c>
      <c r="O31" s="123">
        <f t="shared" si="14"/>
        <v>5.1644537318543005E-3</v>
      </c>
      <c r="P31" s="123">
        <f t="shared" si="14"/>
        <v>5.1644537318543005E-3</v>
      </c>
      <c r="Q31" s="125">
        <f t="shared" si="14"/>
        <v>5.1644537318543005E-3</v>
      </c>
    </row>
    <row r="32" spans="2:17" x14ac:dyDescent="0.25">
      <c r="B32" s="59"/>
      <c r="C32" s="62"/>
      <c r="D32" s="62"/>
      <c r="E32" s="62"/>
      <c r="F32" s="62"/>
      <c r="G32" s="62"/>
      <c r="H32" s="120"/>
      <c r="I32" s="120"/>
      <c r="J32" s="120"/>
      <c r="K32" s="120"/>
      <c r="L32" s="120"/>
      <c r="M32" s="120"/>
      <c r="N32" s="120"/>
      <c r="O32" s="120"/>
      <c r="P32" s="120"/>
      <c r="Q32" s="124"/>
    </row>
    <row r="33" spans="2:17" x14ac:dyDescent="0.25">
      <c r="B33" s="59" t="s">
        <v>6</v>
      </c>
      <c r="C33" s="62">
        <f>'P&amp;L Input'!C21</f>
        <v>259.29000000000002</v>
      </c>
      <c r="D33" s="62">
        <f>'P&amp;L Input'!D21</f>
        <v>146.27000000000001</v>
      </c>
      <c r="E33" s="62">
        <f>'P&amp;L Input'!E21</f>
        <v>172.35</v>
      </c>
      <c r="F33" s="62">
        <f>'P&amp;L Input'!F21</f>
        <v>203.91</v>
      </c>
      <c r="G33" s="62">
        <f>'P&amp;L Input'!G21</f>
        <v>251.78</v>
      </c>
      <c r="H33" s="120">
        <f t="shared" ref="H33:Q33" si="15">H34*H10</f>
        <v>293.35313263924257</v>
      </c>
      <c r="I33" s="120">
        <f t="shared" si="15"/>
        <v>328.73736133568281</v>
      </c>
      <c r="J33" s="120">
        <f t="shared" si="15"/>
        <v>368.38963254176849</v>
      </c>
      <c r="K33" s="120">
        <f t="shared" si="15"/>
        <v>412.82475716437079</v>
      </c>
      <c r="L33" s="120">
        <f t="shared" si="15"/>
        <v>462.61964255603397</v>
      </c>
      <c r="M33" s="120">
        <f t="shared" si="15"/>
        <v>518.42078258271579</v>
      </c>
      <c r="N33" s="120">
        <f t="shared" si="15"/>
        <v>580.95265114282802</v>
      </c>
      <c r="O33" s="120">
        <f t="shared" si="15"/>
        <v>651.0271081117977</v>
      </c>
      <c r="P33" s="120">
        <f t="shared" si="15"/>
        <v>729.55393983082047</v>
      </c>
      <c r="Q33" s="124">
        <f t="shared" si="15"/>
        <v>817.55267098842819</v>
      </c>
    </row>
    <row r="34" spans="2:17" x14ac:dyDescent="0.25">
      <c r="B34" s="59"/>
      <c r="C34" s="121">
        <f>C33/C10</f>
        <v>8.6632778456774504E-3</v>
      </c>
      <c r="D34" s="121">
        <f>D33/D10</f>
        <v>4.114176484023146E-3</v>
      </c>
      <c r="E34" s="121">
        <f>E33/E10</f>
        <v>4.3889526229944449E-3</v>
      </c>
      <c r="F34" s="121">
        <f>F33/F10</f>
        <v>5.1651212591436405E-3</v>
      </c>
      <c r="G34" s="121">
        <f>G33/G10</f>
        <v>5.3001015687904893E-3</v>
      </c>
      <c r="H34" s="122">
        <f>AVERAGE(C34:G34)</f>
        <v>5.5263259561258342E-3</v>
      </c>
      <c r="I34" s="123">
        <f>H34</f>
        <v>5.5263259561258342E-3</v>
      </c>
      <c r="J34" s="123">
        <f t="shared" ref="J34:Q34" si="16">I34</f>
        <v>5.5263259561258342E-3</v>
      </c>
      <c r="K34" s="123">
        <f t="shared" si="16"/>
        <v>5.5263259561258342E-3</v>
      </c>
      <c r="L34" s="123">
        <f t="shared" si="16"/>
        <v>5.5263259561258342E-3</v>
      </c>
      <c r="M34" s="123">
        <f t="shared" si="16"/>
        <v>5.5263259561258342E-3</v>
      </c>
      <c r="N34" s="123">
        <f t="shared" si="16"/>
        <v>5.5263259561258342E-3</v>
      </c>
      <c r="O34" s="123">
        <f t="shared" si="16"/>
        <v>5.5263259561258342E-3</v>
      </c>
      <c r="P34" s="123">
        <f t="shared" si="16"/>
        <v>5.5263259561258342E-3</v>
      </c>
      <c r="Q34" s="125">
        <f t="shared" si="16"/>
        <v>5.5263259561258342E-3</v>
      </c>
    </row>
    <row r="35" spans="2:17" x14ac:dyDescent="0.25">
      <c r="B35" s="59"/>
      <c r="C35" s="120"/>
      <c r="D35" s="62"/>
      <c r="E35" s="62"/>
      <c r="F35" s="62"/>
      <c r="G35" s="62"/>
      <c r="H35" s="120"/>
      <c r="I35" s="120"/>
      <c r="J35" s="120"/>
      <c r="K35" s="120"/>
      <c r="L35" s="120"/>
      <c r="M35" s="120"/>
      <c r="N35" s="120"/>
      <c r="O35" s="120"/>
      <c r="P35" s="120"/>
      <c r="Q35" s="124"/>
    </row>
    <row r="36" spans="2:17" x14ac:dyDescent="0.25">
      <c r="B36" s="59" t="s">
        <v>7</v>
      </c>
      <c r="C36" s="62">
        <f>'P&amp;L Input'!C22</f>
        <v>130.41</v>
      </c>
      <c r="D36" s="62">
        <f>'P&amp;L Input'!D22</f>
        <v>109.38</v>
      </c>
      <c r="E36" s="62">
        <f>'P&amp;L Input'!E22</f>
        <v>124.31</v>
      </c>
      <c r="F36" s="62">
        <f>'P&amp;L Input'!F22</f>
        <v>130.33000000000001</v>
      </c>
      <c r="G36" s="62">
        <f>'P&amp;L Input'!G22</f>
        <v>170.44</v>
      </c>
      <c r="H36" s="120">
        <f t="shared" ref="H36:Q36" si="17">H37*H10</f>
        <v>185.66809506521437</v>
      </c>
      <c r="I36" s="120">
        <f t="shared" si="17"/>
        <v>208.06336413329419</v>
      </c>
      <c r="J36" s="120">
        <f t="shared" si="17"/>
        <v>233.15994855905848</v>
      </c>
      <c r="K36" s="120">
        <f t="shared" si="17"/>
        <v>261.28368076003625</v>
      </c>
      <c r="L36" s="120">
        <f t="shared" si="17"/>
        <v>292.79969503089939</v>
      </c>
      <c r="M36" s="120">
        <f t="shared" si="17"/>
        <v>328.11716813237922</v>
      </c>
      <c r="N36" s="120">
        <f t="shared" si="17"/>
        <v>367.69463168959396</v>
      </c>
      <c r="O36" s="120">
        <f t="shared" si="17"/>
        <v>412.04592537139001</v>
      </c>
      <c r="P36" s="120">
        <f t="shared" si="17"/>
        <v>461.74686814164369</v>
      </c>
      <c r="Q36" s="124">
        <f t="shared" si="17"/>
        <v>517.44273419629951</v>
      </c>
    </row>
    <row r="37" spans="2:17" x14ac:dyDescent="0.25">
      <c r="B37" s="59"/>
      <c r="C37" s="121">
        <f>C36/C10</f>
        <v>4.3571987498738718E-3</v>
      </c>
      <c r="D37" s="121">
        <f>D36/D10</f>
        <v>3.0765613168965041E-3</v>
      </c>
      <c r="E37" s="121">
        <f>E36/E10</f>
        <v>3.1655973342874354E-3</v>
      </c>
      <c r="F37" s="121">
        <f>F36/F10</f>
        <v>3.3013106454033189E-3</v>
      </c>
      <c r="G37" s="121">
        <f>G36/G10</f>
        <v>3.5878517411416753E-3</v>
      </c>
      <c r="H37" s="122">
        <f>AVERAGE(C37:G37)</f>
        <v>3.4977039575205615E-3</v>
      </c>
      <c r="I37" s="123">
        <f>H37</f>
        <v>3.4977039575205615E-3</v>
      </c>
      <c r="J37" s="123">
        <f t="shared" ref="J37:Q37" si="18">I37</f>
        <v>3.4977039575205615E-3</v>
      </c>
      <c r="K37" s="123">
        <f t="shared" si="18"/>
        <v>3.4977039575205615E-3</v>
      </c>
      <c r="L37" s="123">
        <f t="shared" si="18"/>
        <v>3.4977039575205615E-3</v>
      </c>
      <c r="M37" s="123">
        <f t="shared" si="18"/>
        <v>3.4977039575205615E-3</v>
      </c>
      <c r="N37" s="123">
        <f t="shared" si="18"/>
        <v>3.4977039575205615E-3</v>
      </c>
      <c r="O37" s="123">
        <f t="shared" si="18"/>
        <v>3.4977039575205615E-3</v>
      </c>
      <c r="P37" s="123">
        <f t="shared" si="18"/>
        <v>3.4977039575205615E-3</v>
      </c>
      <c r="Q37" s="125">
        <f t="shared" si="18"/>
        <v>3.4977039575205615E-3</v>
      </c>
    </row>
    <row r="38" spans="2:17" x14ac:dyDescent="0.25">
      <c r="B38" s="59"/>
      <c r="C38" s="62"/>
      <c r="D38" s="62"/>
      <c r="E38" s="62"/>
      <c r="F38" s="62"/>
      <c r="G38" s="62"/>
      <c r="H38" s="120"/>
      <c r="I38" s="120"/>
      <c r="J38" s="120"/>
      <c r="K38" s="120"/>
      <c r="L38" s="120"/>
      <c r="M38" s="120"/>
      <c r="N38" s="120"/>
      <c r="O38" s="120"/>
      <c r="P38" s="120"/>
      <c r="Q38" s="124"/>
    </row>
    <row r="39" spans="2:17" x14ac:dyDescent="0.25">
      <c r="B39" s="59" t="s">
        <v>12</v>
      </c>
      <c r="C39" s="62">
        <f>'P&amp;L Input'!C32</f>
        <v>3412.15</v>
      </c>
      <c r="D39" s="62">
        <f>'P&amp;L Input'!D32</f>
        <v>3555.75</v>
      </c>
      <c r="E39" s="62">
        <f>'P&amp;L Input'!E32</f>
        <v>4188.41</v>
      </c>
      <c r="F39" s="62">
        <f>'P&amp;L Input'!F32</f>
        <v>6638.67</v>
      </c>
      <c r="G39" s="62">
        <f>'P&amp;L Input'!G32</f>
        <v>11058.23</v>
      </c>
      <c r="H39" s="120">
        <f>H40*'Balance Sheet'!H58</f>
        <v>7545.3720670390858</v>
      </c>
      <c r="I39" s="120">
        <f>I40*'Balance Sheet'!I58</f>
        <v>8455.4941728363192</v>
      </c>
      <c r="J39" s="120">
        <f>J40*'Balance Sheet'!J58</f>
        <v>9475.3951258661764</v>
      </c>
      <c r="K39" s="120">
        <f>K40*'Balance Sheet'!K58</f>
        <v>10618.316440891304</v>
      </c>
      <c r="L39" s="120">
        <f>L40*'Balance Sheet'!L58</f>
        <v>11899.096823004076</v>
      </c>
      <c r="M39" s="120">
        <f>M40*'Balance Sheet'!M58</f>
        <v>13334.364820581744</v>
      </c>
      <c r="N39" s="120">
        <f>N40*'Balance Sheet'!N58</f>
        <v>14942.754716023799</v>
      </c>
      <c r="O39" s="120">
        <f>O40*'Balance Sheet'!O58</f>
        <v>16745.148457210886</v>
      </c>
      <c r="P39" s="120">
        <f>P40*'Balance Sheet'!P58</f>
        <v>18764.946770714669</v>
      </c>
      <c r="Q39" s="124">
        <f>Q40*'Balance Sheet'!Q58</f>
        <v>21028.372976658895</v>
      </c>
    </row>
    <row r="40" spans="2:17" x14ac:dyDescent="0.25">
      <c r="B40" s="59"/>
      <c r="C40" s="121">
        <f>C39/'BS Input'!C58</f>
        <v>5.5436448609974286E-2</v>
      </c>
      <c r="D40" s="121">
        <f>D39/'BS Input'!D58</f>
        <v>4.1584139657685606E-2</v>
      </c>
      <c r="E40" s="121">
        <f>E39/'BS Input'!E58</f>
        <v>3.9271894586850507E-2</v>
      </c>
      <c r="F40" s="121">
        <f>F39/'BS Input'!F58</f>
        <v>4.8417110621640523E-2</v>
      </c>
      <c r="G40" s="121">
        <f>G39/'BS Input'!G58</f>
        <v>6.4257645835470029E-2</v>
      </c>
      <c r="H40" s="122">
        <f>AVERAGE(C40:G40)</f>
        <v>4.9793447862324189E-2</v>
      </c>
      <c r="I40" s="123">
        <f>H40</f>
        <v>4.9793447862324189E-2</v>
      </c>
      <c r="J40" s="123">
        <f t="shared" ref="J40:Q40" si="19">I40</f>
        <v>4.9793447862324189E-2</v>
      </c>
      <c r="K40" s="123">
        <f t="shared" si="19"/>
        <v>4.9793447862324189E-2</v>
      </c>
      <c r="L40" s="123">
        <f t="shared" si="19"/>
        <v>4.9793447862324189E-2</v>
      </c>
      <c r="M40" s="123">
        <f t="shared" si="19"/>
        <v>4.9793447862324189E-2</v>
      </c>
      <c r="N40" s="123">
        <f t="shared" si="19"/>
        <v>4.9793447862324189E-2</v>
      </c>
      <c r="O40" s="123">
        <f t="shared" si="19"/>
        <v>4.9793447862324189E-2</v>
      </c>
      <c r="P40" s="123">
        <f t="shared" si="19"/>
        <v>4.9793447862324189E-2</v>
      </c>
      <c r="Q40" s="125">
        <f t="shared" si="19"/>
        <v>4.9793447862324189E-2</v>
      </c>
    </row>
    <row r="41" spans="2:17" x14ac:dyDescent="0.25">
      <c r="B41" s="59"/>
      <c r="C41" s="62"/>
      <c r="D41" s="62"/>
      <c r="E41" s="62"/>
      <c r="F41" s="62"/>
      <c r="G41" s="62"/>
      <c r="H41" s="120"/>
      <c r="I41" s="120"/>
      <c r="J41" s="120"/>
      <c r="K41" s="120"/>
      <c r="L41" s="120"/>
      <c r="M41" s="120"/>
      <c r="N41" s="120"/>
      <c r="O41" s="120"/>
      <c r="P41" s="120"/>
      <c r="Q41" s="124"/>
    </row>
    <row r="42" spans="2:17" x14ac:dyDescent="0.25">
      <c r="B42" s="77" t="s">
        <v>66</v>
      </c>
      <c r="C42" s="126">
        <f>'P&amp;L Input'!C40/'P&amp;L Input'!C38</f>
        <v>0.29270495790884193</v>
      </c>
      <c r="D42" s="126">
        <f>'P&amp;L Input'!D40/'P&amp;L Input'!D38</f>
        <v>0.22276821289121376</v>
      </c>
      <c r="E42" s="126">
        <f>'P&amp;L Input'!E40/'P&amp;L Input'!E38</f>
        <v>0.19265711116098827</v>
      </c>
      <c r="F42" s="126">
        <f>'P&amp;L Input'!F40/'P&amp;L Input'!F38</f>
        <v>0.19648545403653997</v>
      </c>
      <c r="G42" s="126">
        <f>'P&amp;L Input'!G40/'P&amp;L Input'!G38</f>
        <v>0.21238823737718501</v>
      </c>
      <c r="H42" s="127">
        <f>G42+0.5%</f>
        <v>0.21738823737718502</v>
      </c>
      <c r="I42" s="128">
        <f>H42</f>
        <v>0.21738823737718502</v>
      </c>
      <c r="J42" s="128">
        <f>I42+0.5%</f>
        <v>0.22238823737718502</v>
      </c>
      <c r="K42" s="128">
        <f>J42</f>
        <v>0.22238823737718502</v>
      </c>
      <c r="L42" s="128">
        <f>K42+0.5%</f>
        <v>0.22738823737718503</v>
      </c>
      <c r="M42" s="128">
        <f>L42</f>
        <v>0.22738823737718503</v>
      </c>
      <c r="N42" s="128">
        <f>M42+0.5%</f>
        <v>0.23238823737718503</v>
      </c>
      <c r="O42" s="128">
        <f>N42</f>
        <v>0.23238823737718503</v>
      </c>
      <c r="P42" s="128">
        <f>O42+0.5%</f>
        <v>0.23738823737718504</v>
      </c>
      <c r="Q42" s="129">
        <f>P42</f>
        <v>0.23738823737718504</v>
      </c>
    </row>
    <row r="44" spans="2:17" x14ac:dyDescent="0.25">
      <c r="B44" s="39"/>
      <c r="C44" s="39"/>
      <c r="D44" s="39"/>
      <c r="E44" s="39"/>
      <c r="F44" s="39"/>
      <c r="G44" s="39"/>
      <c r="H44" s="39"/>
      <c r="I44" s="39"/>
      <c r="J44" s="39"/>
      <c r="K44" s="39"/>
      <c r="L44" s="39"/>
      <c r="M44" s="39"/>
      <c r="N44" s="39"/>
      <c r="O44" s="39"/>
      <c r="P44" s="39"/>
      <c r="Q44" s="39"/>
    </row>
    <row r="56" spans="8:8" x14ac:dyDescent="0.25">
      <c r="H56" s="6"/>
    </row>
  </sheetData>
  <mergeCells count="2">
    <mergeCell ref="B7:B8"/>
    <mergeCell ref="B6:Q6"/>
  </mergeCells>
  <pageMargins left="0.7" right="0.7" top="0.75" bottom="0.75" header="0.3" footer="0.3"/>
  <pageSetup orientation="portrait" horizontalDpi="300" verticalDpi="0" copies="0" r:id="rId1"/>
  <ignoredErrors>
    <ignoredError sqref="I42 K42 M42 O42"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40368-F168-443B-B3B2-BB17395A869C}">
  <dimension ref="B5:T153"/>
  <sheetViews>
    <sheetView showGridLines="0" topLeftCell="C58" zoomScaleNormal="100" workbookViewId="0">
      <selection activeCell="D125" sqref="D125"/>
    </sheetView>
  </sheetViews>
  <sheetFormatPr defaultRowHeight="15" x14ac:dyDescent="0.25"/>
  <cols>
    <col min="1" max="1" width="0.85546875" customWidth="1"/>
    <col min="2" max="2" width="40.140625" customWidth="1"/>
    <col min="3" max="4" width="9.85546875" bestFit="1" customWidth="1"/>
    <col min="5" max="5" width="10.7109375" bestFit="1" customWidth="1"/>
    <col min="6" max="7" width="9.85546875" bestFit="1" customWidth="1"/>
    <col min="8" max="17" width="10.5703125" bestFit="1" customWidth="1"/>
  </cols>
  <sheetData>
    <row r="5" spans="2:20" x14ac:dyDescent="0.25">
      <c r="Q5" t="s">
        <v>259</v>
      </c>
    </row>
    <row r="6" spans="2:20" ht="18" x14ac:dyDescent="0.25">
      <c r="B6" s="303" t="s">
        <v>263</v>
      </c>
      <c r="C6" s="303"/>
      <c r="D6" s="303"/>
      <c r="E6" s="303"/>
      <c r="F6" s="303"/>
      <c r="G6" s="303"/>
      <c r="H6" s="303"/>
      <c r="I6" s="303"/>
      <c r="J6" s="303"/>
      <c r="K6" s="303"/>
      <c r="L6" s="303"/>
      <c r="M6" s="303"/>
      <c r="N6" s="303"/>
      <c r="O6" s="303"/>
      <c r="P6" s="303"/>
      <c r="Q6" s="303"/>
    </row>
    <row r="7" spans="2:20" x14ac:dyDescent="0.25">
      <c r="B7" s="304" t="s">
        <v>63</v>
      </c>
      <c r="C7" s="7">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24">
        <f t="shared" si="0"/>
        <v>2034</v>
      </c>
    </row>
    <row r="8" spans="2:20"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20" x14ac:dyDescent="0.25">
      <c r="B9" s="144" t="s">
        <v>67</v>
      </c>
      <c r="Q9" s="17"/>
    </row>
    <row r="10" spans="2:20" x14ac:dyDescent="0.25">
      <c r="B10" s="59" t="s">
        <v>68</v>
      </c>
      <c r="C10" s="135">
        <v>110.39</v>
      </c>
      <c r="D10" s="135">
        <f>C13</f>
        <v>110.39</v>
      </c>
      <c r="E10" s="135">
        <f>D13</f>
        <v>110.39</v>
      </c>
      <c r="F10" s="135">
        <f>E13</f>
        <v>110.39</v>
      </c>
      <c r="G10" s="135">
        <f>F13</f>
        <v>110.39</v>
      </c>
      <c r="H10" s="136">
        <f>G13</f>
        <v>110.39</v>
      </c>
      <c r="I10" s="136">
        <f t="shared" ref="I10:Q10" si="1">H13</f>
        <v>110.39</v>
      </c>
      <c r="J10" s="136">
        <f t="shared" si="1"/>
        <v>110.39</v>
      </c>
      <c r="K10" s="136">
        <f t="shared" si="1"/>
        <v>110.39</v>
      </c>
      <c r="L10" s="136">
        <f t="shared" si="1"/>
        <v>110.39</v>
      </c>
      <c r="M10" s="136">
        <f t="shared" si="1"/>
        <v>110.39</v>
      </c>
      <c r="N10" s="136">
        <f t="shared" si="1"/>
        <v>110.39</v>
      </c>
      <c r="O10" s="136">
        <f t="shared" si="1"/>
        <v>110.39</v>
      </c>
      <c r="P10" s="136">
        <f t="shared" si="1"/>
        <v>110.39</v>
      </c>
      <c r="Q10" s="145">
        <f t="shared" si="1"/>
        <v>110.39</v>
      </c>
    </row>
    <row r="11" spans="2:20" x14ac:dyDescent="0.25">
      <c r="B11" s="59" t="s">
        <v>69</v>
      </c>
      <c r="C11" s="135">
        <v>0</v>
      </c>
      <c r="D11" s="135">
        <v>0</v>
      </c>
      <c r="E11" s="135">
        <v>0</v>
      </c>
      <c r="F11" s="135">
        <v>0</v>
      </c>
      <c r="G11" s="135">
        <v>0</v>
      </c>
      <c r="H11" s="136">
        <f>G11*(1+0.5%)</f>
        <v>0</v>
      </c>
      <c r="I11" s="136">
        <f t="shared" ref="I11:Q11" si="2">H11*(1+0.5%)</f>
        <v>0</v>
      </c>
      <c r="J11" s="136">
        <f t="shared" si="2"/>
        <v>0</v>
      </c>
      <c r="K11" s="136">
        <f t="shared" si="2"/>
        <v>0</v>
      </c>
      <c r="L11" s="136">
        <f t="shared" si="2"/>
        <v>0</v>
      </c>
      <c r="M11" s="136">
        <f t="shared" si="2"/>
        <v>0</v>
      </c>
      <c r="N11" s="136">
        <f t="shared" si="2"/>
        <v>0</v>
      </c>
      <c r="O11" s="136">
        <f t="shared" si="2"/>
        <v>0</v>
      </c>
      <c r="P11" s="136">
        <f t="shared" si="2"/>
        <v>0</v>
      </c>
      <c r="Q11" s="145">
        <f t="shared" si="2"/>
        <v>0</v>
      </c>
    </row>
    <row r="12" spans="2:20" x14ac:dyDescent="0.25">
      <c r="B12" s="59" t="s">
        <v>70</v>
      </c>
      <c r="C12" s="135">
        <v>0</v>
      </c>
      <c r="D12" s="135">
        <v>0</v>
      </c>
      <c r="E12" s="135">
        <v>0</v>
      </c>
      <c r="F12" s="135">
        <v>0</v>
      </c>
      <c r="G12" s="135">
        <v>0</v>
      </c>
      <c r="H12" s="136">
        <f>G12*(1+0.5%)</f>
        <v>0</v>
      </c>
      <c r="I12" s="136">
        <f t="shared" ref="I12:Q12" si="3">H12*(1+0.5%)</f>
        <v>0</v>
      </c>
      <c r="J12" s="136">
        <f t="shared" si="3"/>
        <v>0</v>
      </c>
      <c r="K12" s="136">
        <f t="shared" si="3"/>
        <v>0</v>
      </c>
      <c r="L12" s="136">
        <f t="shared" si="3"/>
        <v>0</v>
      </c>
      <c r="M12" s="136">
        <f t="shared" si="3"/>
        <v>0</v>
      </c>
      <c r="N12" s="136">
        <f t="shared" si="3"/>
        <v>0</v>
      </c>
      <c r="O12" s="136">
        <f t="shared" si="3"/>
        <v>0</v>
      </c>
      <c r="P12" s="136">
        <f t="shared" si="3"/>
        <v>0</v>
      </c>
      <c r="Q12" s="145">
        <f t="shared" si="3"/>
        <v>0</v>
      </c>
    </row>
    <row r="13" spans="2:20" x14ac:dyDescent="0.25">
      <c r="B13" s="76" t="s">
        <v>71</v>
      </c>
      <c r="C13" s="137">
        <f t="shared" ref="C13:H13" si="4">SUM(C10:C12)</f>
        <v>110.39</v>
      </c>
      <c r="D13" s="137">
        <f t="shared" si="4"/>
        <v>110.39</v>
      </c>
      <c r="E13" s="137">
        <f t="shared" si="4"/>
        <v>110.39</v>
      </c>
      <c r="F13" s="137">
        <f t="shared" si="4"/>
        <v>110.39</v>
      </c>
      <c r="G13" s="137">
        <f t="shared" si="4"/>
        <v>110.39</v>
      </c>
      <c r="H13" s="137">
        <f t="shared" si="4"/>
        <v>110.39</v>
      </c>
      <c r="I13" s="137">
        <f t="shared" ref="I13:Q13" si="5">SUM(I10:I12)</f>
        <v>110.39</v>
      </c>
      <c r="J13" s="137">
        <f t="shared" si="5"/>
        <v>110.39</v>
      </c>
      <c r="K13" s="137">
        <f t="shared" si="5"/>
        <v>110.39</v>
      </c>
      <c r="L13" s="137">
        <f t="shared" si="5"/>
        <v>110.39</v>
      </c>
      <c r="M13" s="137">
        <f t="shared" si="5"/>
        <v>110.39</v>
      </c>
      <c r="N13" s="137">
        <f t="shared" si="5"/>
        <v>110.39</v>
      </c>
      <c r="O13" s="137">
        <f t="shared" si="5"/>
        <v>110.39</v>
      </c>
      <c r="P13" s="137">
        <f t="shared" si="5"/>
        <v>110.39</v>
      </c>
      <c r="Q13" s="138">
        <f t="shared" si="5"/>
        <v>110.39</v>
      </c>
      <c r="T13" s="4"/>
    </row>
    <row r="14" spans="2:20" x14ac:dyDescent="0.25">
      <c r="B14" s="59"/>
      <c r="C14" s="135"/>
      <c r="D14" s="135"/>
      <c r="E14" s="135"/>
      <c r="F14" s="135"/>
      <c r="G14" s="135"/>
      <c r="H14" s="136"/>
      <c r="I14" s="136"/>
      <c r="J14" s="136"/>
      <c r="K14" s="136"/>
      <c r="L14" s="136"/>
      <c r="M14" s="136"/>
      <c r="N14" s="136"/>
      <c r="O14" s="136"/>
      <c r="P14" s="136"/>
      <c r="Q14" s="145"/>
    </row>
    <row r="15" spans="2:20" x14ac:dyDescent="0.25">
      <c r="B15" s="86" t="s">
        <v>77</v>
      </c>
      <c r="C15" s="135"/>
      <c r="D15" s="135"/>
      <c r="E15" s="135"/>
      <c r="F15" s="135"/>
      <c r="G15" s="135"/>
      <c r="H15" s="136"/>
      <c r="I15" s="136"/>
      <c r="J15" s="136"/>
      <c r="K15" s="136"/>
      <c r="L15" s="136"/>
      <c r="M15" s="136"/>
      <c r="N15" s="136"/>
      <c r="O15" s="136"/>
      <c r="P15" s="136"/>
      <c r="Q15" s="145"/>
    </row>
    <row r="16" spans="2:20" x14ac:dyDescent="0.25">
      <c r="B16" s="59" t="s">
        <v>68</v>
      </c>
      <c r="C16" s="135">
        <v>1.59</v>
      </c>
      <c r="D16" s="135">
        <f>C19</f>
        <v>1.59</v>
      </c>
      <c r="E16" s="135">
        <f>D19</f>
        <v>1.59</v>
      </c>
      <c r="F16" s="135">
        <f>E19</f>
        <v>1.59</v>
      </c>
      <c r="G16" s="135">
        <f>F19</f>
        <v>1.59</v>
      </c>
      <c r="H16" s="136">
        <f>G19</f>
        <v>1.59</v>
      </c>
      <c r="I16" s="136">
        <f t="shared" ref="I16:Q16" si="6">H19</f>
        <v>1.59</v>
      </c>
      <c r="J16" s="136">
        <f t="shared" si="6"/>
        <v>1.59</v>
      </c>
      <c r="K16" s="136">
        <f t="shared" si="6"/>
        <v>1.59</v>
      </c>
      <c r="L16" s="136">
        <f t="shared" si="6"/>
        <v>1.59</v>
      </c>
      <c r="M16" s="136">
        <f t="shared" si="6"/>
        <v>1.59</v>
      </c>
      <c r="N16" s="136">
        <f t="shared" si="6"/>
        <v>1.59</v>
      </c>
      <c r="O16" s="136">
        <f t="shared" si="6"/>
        <v>1.59</v>
      </c>
      <c r="P16" s="136">
        <f t="shared" si="6"/>
        <v>1.59</v>
      </c>
      <c r="Q16" s="145">
        <f t="shared" si="6"/>
        <v>1.59</v>
      </c>
    </row>
    <row r="17" spans="2:17" x14ac:dyDescent="0.25">
      <c r="B17" s="59" t="s">
        <v>69</v>
      </c>
      <c r="C17" s="135">
        <v>0</v>
      </c>
      <c r="D17" s="135">
        <v>0</v>
      </c>
      <c r="E17" s="135">
        <v>0</v>
      </c>
      <c r="F17" s="135">
        <v>0</v>
      </c>
      <c r="G17" s="135">
        <v>0</v>
      </c>
      <c r="H17" s="136">
        <f>G17*(1+0.5%)</f>
        <v>0</v>
      </c>
      <c r="I17" s="136">
        <f t="shared" ref="I17:Q17" si="7">H17*(1+0.5%)</f>
        <v>0</v>
      </c>
      <c r="J17" s="136">
        <f t="shared" si="7"/>
        <v>0</v>
      </c>
      <c r="K17" s="136">
        <f t="shared" si="7"/>
        <v>0</v>
      </c>
      <c r="L17" s="136">
        <f t="shared" si="7"/>
        <v>0</v>
      </c>
      <c r="M17" s="136">
        <f t="shared" si="7"/>
        <v>0</v>
      </c>
      <c r="N17" s="136">
        <f t="shared" si="7"/>
        <v>0</v>
      </c>
      <c r="O17" s="136">
        <f t="shared" si="7"/>
        <v>0</v>
      </c>
      <c r="P17" s="136">
        <f t="shared" si="7"/>
        <v>0</v>
      </c>
      <c r="Q17" s="145">
        <f t="shared" si="7"/>
        <v>0</v>
      </c>
    </row>
    <row r="18" spans="2:17" x14ac:dyDescent="0.25">
      <c r="B18" s="59" t="s">
        <v>70</v>
      </c>
      <c r="C18" s="135">
        <v>0</v>
      </c>
      <c r="D18" s="135">
        <v>0</v>
      </c>
      <c r="E18" s="135">
        <v>0</v>
      </c>
      <c r="F18" s="135">
        <v>0</v>
      </c>
      <c r="G18" s="135">
        <v>0</v>
      </c>
      <c r="H18" s="136">
        <f>G18*(1+0.5%)</f>
        <v>0</v>
      </c>
      <c r="I18" s="136">
        <f t="shared" ref="I18:Q18" si="8">H18*(1+0.5%)</f>
        <v>0</v>
      </c>
      <c r="J18" s="136">
        <f t="shared" si="8"/>
        <v>0</v>
      </c>
      <c r="K18" s="136">
        <f t="shared" si="8"/>
        <v>0</v>
      </c>
      <c r="L18" s="136">
        <f t="shared" si="8"/>
        <v>0</v>
      </c>
      <c r="M18" s="136">
        <f t="shared" si="8"/>
        <v>0</v>
      </c>
      <c r="N18" s="136">
        <f t="shared" si="8"/>
        <v>0</v>
      </c>
      <c r="O18" s="136">
        <f t="shared" si="8"/>
        <v>0</v>
      </c>
      <c r="P18" s="136">
        <f t="shared" si="8"/>
        <v>0</v>
      </c>
      <c r="Q18" s="145">
        <f t="shared" si="8"/>
        <v>0</v>
      </c>
    </row>
    <row r="19" spans="2:17" x14ac:dyDescent="0.25">
      <c r="B19" s="76" t="s">
        <v>71</v>
      </c>
      <c r="C19" s="137">
        <f t="shared" ref="C19:H19" si="9">SUM(C16:C18)</f>
        <v>1.59</v>
      </c>
      <c r="D19" s="137">
        <f t="shared" si="9"/>
        <v>1.59</v>
      </c>
      <c r="E19" s="137">
        <f t="shared" si="9"/>
        <v>1.59</v>
      </c>
      <c r="F19" s="137">
        <f t="shared" si="9"/>
        <v>1.59</v>
      </c>
      <c r="G19" s="137">
        <f t="shared" si="9"/>
        <v>1.59</v>
      </c>
      <c r="H19" s="137">
        <f t="shared" si="9"/>
        <v>1.59</v>
      </c>
      <c r="I19" s="137">
        <f t="shared" ref="I19:Q19" si="10">SUM(I16:I18)</f>
        <v>1.59</v>
      </c>
      <c r="J19" s="137">
        <f t="shared" si="10"/>
        <v>1.59</v>
      </c>
      <c r="K19" s="137">
        <f t="shared" si="10"/>
        <v>1.59</v>
      </c>
      <c r="L19" s="137">
        <f t="shared" si="10"/>
        <v>1.59</v>
      </c>
      <c r="M19" s="137">
        <f t="shared" si="10"/>
        <v>1.59</v>
      </c>
      <c r="N19" s="137">
        <f t="shared" si="10"/>
        <v>1.59</v>
      </c>
      <c r="O19" s="137">
        <f t="shared" si="10"/>
        <v>1.59</v>
      </c>
      <c r="P19" s="137">
        <f t="shared" si="10"/>
        <v>1.59</v>
      </c>
      <c r="Q19" s="138">
        <f t="shared" si="10"/>
        <v>1.59</v>
      </c>
    </row>
    <row r="20" spans="2:17" x14ac:dyDescent="0.25">
      <c r="B20" s="59" t="s">
        <v>73</v>
      </c>
      <c r="C20" s="135">
        <v>0.31</v>
      </c>
      <c r="D20" s="135">
        <f>SUM(C20:C22)</f>
        <v>0.32</v>
      </c>
      <c r="E20" s="135">
        <f>SUM(D20:D22)</f>
        <v>0.35</v>
      </c>
      <c r="F20" s="135">
        <f>SUM(E20:E22)</f>
        <v>0.37</v>
      </c>
      <c r="G20" s="135">
        <f>SUM(F20:F22)</f>
        <v>0.39</v>
      </c>
      <c r="H20" s="136">
        <f>SUM(G20:G22)</f>
        <v>0.41000000000000003</v>
      </c>
      <c r="I20" s="136">
        <f t="shared" ref="I20:Q20" si="11">SUM(H20:H22)</f>
        <v>0.43010000000000004</v>
      </c>
      <c r="J20" s="136">
        <f t="shared" si="11"/>
        <v>0.45030050000000005</v>
      </c>
      <c r="K20" s="136">
        <f t="shared" si="11"/>
        <v>0.47060200250000006</v>
      </c>
      <c r="L20" s="136">
        <f t="shared" si="11"/>
        <v>0.49100501251250006</v>
      </c>
      <c r="M20" s="136">
        <f t="shared" si="11"/>
        <v>0.51151003757506253</v>
      </c>
      <c r="N20" s="136">
        <f t="shared" si="11"/>
        <v>0.53211758776293783</v>
      </c>
      <c r="O20" s="136">
        <f t="shared" si="11"/>
        <v>0.55282817570175247</v>
      </c>
      <c r="P20" s="136">
        <f t="shared" si="11"/>
        <v>0.57364231658026121</v>
      </c>
      <c r="Q20" s="145">
        <f t="shared" si="11"/>
        <v>0.59456052816316252</v>
      </c>
    </row>
    <row r="21" spans="2:17" x14ac:dyDescent="0.25">
      <c r="B21" s="61" t="s">
        <v>74</v>
      </c>
      <c r="C21" s="135">
        <v>0.01</v>
      </c>
      <c r="D21" s="135">
        <v>0.03</v>
      </c>
      <c r="E21" s="135">
        <v>0.02</v>
      </c>
      <c r="F21" s="135">
        <v>0.02</v>
      </c>
      <c r="G21" s="135">
        <v>0.02</v>
      </c>
      <c r="H21" s="136">
        <f t="shared" ref="H21:Q22" si="12">G21*(1+0.5%)</f>
        <v>2.01E-2</v>
      </c>
      <c r="I21" s="136">
        <f t="shared" si="12"/>
        <v>2.0200499999999996E-2</v>
      </c>
      <c r="J21" s="136">
        <f t="shared" si="12"/>
        <v>2.0301502499999995E-2</v>
      </c>
      <c r="K21" s="136">
        <f t="shared" si="12"/>
        <v>2.0403010012499993E-2</v>
      </c>
      <c r="L21" s="136">
        <f t="shared" si="12"/>
        <v>2.050502506256249E-2</v>
      </c>
      <c r="M21" s="136">
        <f t="shared" si="12"/>
        <v>2.0607550187875301E-2</v>
      </c>
      <c r="N21" s="136">
        <f t="shared" si="12"/>
        <v>2.0710587938814674E-2</v>
      </c>
      <c r="O21" s="136">
        <f t="shared" si="12"/>
        <v>2.0814140878508747E-2</v>
      </c>
      <c r="P21" s="136">
        <f t="shared" si="12"/>
        <v>2.0918211582901289E-2</v>
      </c>
      <c r="Q21" s="145">
        <f t="shared" si="12"/>
        <v>2.1022802640815793E-2</v>
      </c>
    </row>
    <row r="22" spans="2:17" x14ac:dyDescent="0.25">
      <c r="B22" s="59" t="s">
        <v>70</v>
      </c>
      <c r="C22" s="135">
        <v>0</v>
      </c>
      <c r="D22" s="135">
        <v>0</v>
      </c>
      <c r="E22" s="135">
        <v>0</v>
      </c>
      <c r="F22" s="135">
        <v>0</v>
      </c>
      <c r="G22" s="135">
        <v>0</v>
      </c>
      <c r="H22" s="136">
        <f t="shared" si="12"/>
        <v>0</v>
      </c>
      <c r="I22" s="136">
        <f t="shared" si="12"/>
        <v>0</v>
      </c>
      <c r="J22" s="136">
        <f t="shared" si="12"/>
        <v>0</v>
      </c>
      <c r="K22" s="136">
        <f t="shared" si="12"/>
        <v>0</v>
      </c>
      <c r="L22" s="136">
        <f t="shared" si="12"/>
        <v>0</v>
      </c>
      <c r="M22" s="136">
        <f t="shared" si="12"/>
        <v>0</v>
      </c>
      <c r="N22" s="136">
        <f t="shared" si="12"/>
        <v>0</v>
      </c>
      <c r="O22" s="136">
        <f t="shared" si="12"/>
        <v>0</v>
      </c>
      <c r="P22" s="136">
        <f t="shared" si="12"/>
        <v>0</v>
      </c>
      <c r="Q22" s="145">
        <f t="shared" si="12"/>
        <v>0</v>
      </c>
    </row>
    <row r="23" spans="2:17" x14ac:dyDescent="0.25">
      <c r="B23" s="76" t="s">
        <v>75</v>
      </c>
      <c r="C23" s="137">
        <f t="shared" ref="C23:H23" si="13">C19-SUM(C20:C22)</f>
        <v>1.27</v>
      </c>
      <c r="D23" s="137">
        <f t="shared" si="13"/>
        <v>1.2400000000000002</v>
      </c>
      <c r="E23" s="137">
        <f t="shared" si="13"/>
        <v>1.2200000000000002</v>
      </c>
      <c r="F23" s="137">
        <f t="shared" si="13"/>
        <v>1.2000000000000002</v>
      </c>
      <c r="G23" s="137">
        <f t="shared" si="13"/>
        <v>1.1800000000000002</v>
      </c>
      <c r="H23" s="137">
        <f t="shared" si="13"/>
        <v>1.1598999999999999</v>
      </c>
      <c r="I23" s="137">
        <f t="shared" ref="I23:Q23" si="14">I19-SUM(I20:I22)</f>
        <v>1.1396995000000001</v>
      </c>
      <c r="J23" s="137">
        <f t="shared" si="14"/>
        <v>1.1193979975000001</v>
      </c>
      <c r="K23" s="137">
        <f t="shared" si="14"/>
        <v>1.0989949874875</v>
      </c>
      <c r="L23" s="137">
        <f t="shared" si="14"/>
        <v>1.0784899624249376</v>
      </c>
      <c r="M23" s="137">
        <f t="shared" si="14"/>
        <v>1.0578824122370623</v>
      </c>
      <c r="N23" s="137">
        <f t="shared" si="14"/>
        <v>1.0371718242982477</v>
      </c>
      <c r="O23" s="137">
        <f t="shared" si="14"/>
        <v>1.0163576834197388</v>
      </c>
      <c r="P23" s="137">
        <f t="shared" si="14"/>
        <v>0.99543947183683756</v>
      </c>
      <c r="Q23" s="138">
        <f t="shared" si="14"/>
        <v>0.97441666919602177</v>
      </c>
    </row>
    <row r="24" spans="2:17" x14ac:dyDescent="0.25">
      <c r="B24" s="59"/>
      <c r="C24" s="135"/>
      <c r="D24" s="135"/>
      <c r="E24" s="135"/>
      <c r="F24" s="135"/>
      <c r="G24" s="135"/>
      <c r="H24" s="136"/>
      <c r="I24" s="136"/>
      <c r="J24" s="136"/>
      <c r="K24" s="136"/>
      <c r="L24" s="136"/>
      <c r="M24" s="136"/>
      <c r="N24" s="136"/>
      <c r="O24" s="136"/>
      <c r="P24" s="136"/>
      <c r="Q24" s="145"/>
    </row>
    <row r="25" spans="2:17" x14ac:dyDescent="0.25">
      <c r="B25" s="59"/>
      <c r="C25" s="135"/>
      <c r="D25" s="135"/>
      <c r="E25" s="135"/>
      <c r="F25" s="135"/>
      <c r="G25" s="135"/>
      <c r="H25" s="136"/>
      <c r="I25" s="136"/>
      <c r="J25" s="136"/>
      <c r="K25" s="136"/>
      <c r="L25" s="136"/>
      <c r="M25" s="136"/>
      <c r="N25" s="136"/>
      <c r="O25" s="136"/>
      <c r="P25" s="136"/>
      <c r="Q25" s="145"/>
    </row>
    <row r="26" spans="2:17" x14ac:dyDescent="0.25">
      <c r="B26" s="64" t="s">
        <v>72</v>
      </c>
      <c r="C26" s="135"/>
      <c r="D26" s="135"/>
      <c r="E26" s="135"/>
      <c r="F26" s="135"/>
      <c r="G26" s="135"/>
      <c r="H26" s="136"/>
      <c r="I26" s="136"/>
      <c r="J26" s="136"/>
      <c r="K26" s="136"/>
      <c r="L26" s="136"/>
      <c r="M26" s="136"/>
      <c r="N26" s="136"/>
      <c r="O26" s="136"/>
      <c r="P26" s="136"/>
      <c r="Q26" s="145"/>
    </row>
    <row r="27" spans="2:17" x14ac:dyDescent="0.25">
      <c r="B27" s="59" t="s">
        <v>68</v>
      </c>
      <c r="C27" s="135">
        <v>31.74</v>
      </c>
      <c r="D27" s="135">
        <f>C30</f>
        <v>31.74</v>
      </c>
      <c r="E27" s="135">
        <f>D30</f>
        <v>130.4</v>
      </c>
      <c r="F27" s="135">
        <f>E30</f>
        <v>430.83</v>
      </c>
      <c r="G27" s="135">
        <f>F30</f>
        <v>456.9</v>
      </c>
      <c r="H27" s="136">
        <f>G30</f>
        <v>456.9</v>
      </c>
      <c r="I27" s="136">
        <f t="shared" ref="I27:Q27" si="15">H30</f>
        <v>456.9</v>
      </c>
      <c r="J27" s="136">
        <f t="shared" si="15"/>
        <v>456.9</v>
      </c>
      <c r="K27" s="136">
        <f t="shared" si="15"/>
        <v>456.9</v>
      </c>
      <c r="L27" s="136">
        <f t="shared" si="15"/>
        <v>456.9</v>
      </c>
      <c r="M27" s="136">
        <f t="shared" si="15"/>
        <v>456.9</v>
      </c>
      <c r="N27" s="136">
        <f t="shared" si="15"/>
        <v>456.9</v>
      </c>
      <c r="O27" s="136">
        <f t="shared" si="15"/>
        <v>456.9</v>
      </c>
      <c r="P27" s="136">
        <f t="shared" si="15"/>
        <v>456.9</v>
      </c>
      <c r="Q27" s="145">
        <f t="shared" si="15"/>
        <v>456.9</v>
      </c>
    </row>
    <row r="28" spans="2:17" x14ac:dyDescent="0.25">
      <c r="B28" s="59" t="s">
        <v>69</v>
      </c>
      <c r="C28" s="135">
        <v>0</v>
      </c>
      <c r="D28" s="135">
        <v>98.66</v>
      </c>
      <c r="E28" s="135">
        <v>303.73</v>
      </c>
      <c r="F28" s="135">
        <v>26.07</v>
      </c>
      <c r="G28" s="135">
        <v>0</v>
      </c>
      <c r="H28" s="136">
        <f>G28*(1+0.5%)</f>
        <v>0</v>
      </c>
      <c r="I28" s="136">
        <f t="shared" ref="I28:Q28" si="16">H28*(1+0.5%)</f>
        <v>0</v>
      </c>
      <c r="J28" s="136">
        <f t="shared" si="16"/>
        <v>0</v>
      </c>
      <c r="K28" s="136">
        <f t="shared" si="16"/>
        <v>0</v>
      </c>
      <c r="L28" s="136">
        <f t="shared" si="16"/>
        <v>0</v>
      </c>
      <c r="M28" s="136">
        <f t="shared" si="16"/>
        <v>0</v>
      </c>
      <c r="N28" s="136">
        <f t="shared" si="16"/>
        <v>0</v>
      </c>
      <c r="O28" s="136">
        <f t="shared" si="16"/>
        <v>0</v>
      </c>
      <c r="P28" s="136">
        <f t="shared" si="16"/>
        <v>0</v>
      </c>
      <c r="Q28" s="145">
        <f t="shared" si="16"/>
        <v>0</v>
      </c>
    </row>
    <row r="29" spans="2:17" x14ac:dyDescent="0.25">
      <c r="B29" s="59" t="s">
        <v>70</v>
      </c>
      <c r="C29" s="135">
        <v>0</v>
      </c>
      <c r="D29" s="135">
        <v>0</v>
      </c>
      <c r="E29" s="135">
        <v>-3.3</v>
      </c>
      <c r="F29" s="135">
        <v>0</v>
      </c>
      <c r="G29" s="135">
        <v>0</v>
      </c>
      <c r="H29" s="136">
        <f>G29*(1+0.5%)</f>
        <v>0</v>
      </c>
      <c r="I29" s="136">
        <f t="shared" ref="I29:Q29" si="17">H29*(1+0.5%)</f>
        <v>0</v>
      </c>
      <c r="J29" s="136">
        <f t="shared" si="17"/>
        <v>0</v>
      </c>
      <c r="K29" s="136">
        <f t="shared" si="17"/>
        <v>0</v>
      </c>
      <c r="L29" s="136">
        <f t="shared" si="17"/>
        <v>0</v>
      </c>
      <c r="M29" s="136">
        <f t="shared" si="17"/>
        <v>0</v>
      </c>
      <c r="N29" s="136">
        <f t="shared" si="17"/>
        <v>0</v>
      </c>
      <c r="O29" s="136">
        <f t="shared" si="17"/>
        <v>0</v>
      </c>
      <c r="P29" s="136">
        <f t="shared" si="17"/>
        <v>0</v>
      </c>
      <c r="Q29" s="145">
        <f t="shared" si="17"/>
        <v>0</v>
      </c>
    </row>
    <row r="30" spans="2:17" x14ac:dyDescent="0.25">
      <c r="B30" s="76" t="s">
        <v>71</v>
      </c>
      <c r="C30" s="137">
        <f t="shared" ref="C30:H30" si="18">SUM(C27:C29)</f>
        <v>31.74</v>
      </c>
      <c r="D30" s="137">
        <f t="shared" si="18"/>
        <v>130.4</v>
      </c>
      <c r="E30" s="137">
        <f t="shared" si="18"/>
        <v>430.83</v>
      </c>
      <c r="F30" s="137">
        <f t="shared" si="18"/>
        <v>456.9</v>
      </c>
      <c r="G30" s="137">
        <f t="shared" si="18"/>
        <v>456.9</v>
      </c>
      <c r="H30" s="137">
        <f t="shared" si="18"/>
        <v>456.9</v>
      </c>
      <c r="I30" s="137">
        <f t="shared" ref="I30:Q30" si="19">SUM(I27:I29)</f>
        <v>456.9</v>
      </c>
      <c r="J30" s="137">
        <f t="shared" si="19"/>
        <v>456.9</v>
      </c>
      <c r="K30" s="137">
        <f t="shared" si="19"/>
        <v>456.9</v>
      </c>
      <c r="L30" s="137">
        <f t="shared" si="19"/>
        <v>456.9</v>
      </c>
      <c r="M30" s="137">
        <f t="shared" si="19"/>
        <v>456.9</v>
      </c>
      <c r="N30" s="137">
        <f t="shared" si="19"/>
        <v>456.9</v>
      </c>
      <c r="O30" s="137">
        <f t="shared" si="19"/>
        <v>456.9</v>
      </c>
      <c r="P30" s="137">
        <f t="shared" si="19"/>
        <v>456.9</v>
      </c>
      <c r="Q30" s="138">
        <f t="shared" si="19"/>
        <v>456.9</v>
      </c>
    </row>
    <row r="31" spans="2:17" x14ac:dyDescent="0.25">
      <c r="B31" s="59" t="s">
        <v>73</v>
      </c>
      <c r="C31" s="135">
        <v>8.58</v>
      </c>
      <c r="D31" s="135">
        <f>SUM(C31:C33)</f>
        <v>9.06</v>
      </c>
      <c r="E31" s="135">
        <f>SUM(D31:D33)</f>
        <v>9.81</v>
      </c>
      <c r="F31" s="135">
        <f>SUM(E31:E33)</f>
        <v>13.51</v>
      </c>
      <c r="G31" s="135">
        <f>SUM(F31:F33)</f>
        <v>20.61</v>
      </c>
      <c r="H31" s="136">
        <f>SUM(G31:G33)</f>
        <v>27.82</v>
      </c>
      <c r="I31" s="136">
        <f t="shared" ref="I31:Q31" si="20">SUM(H31:H33)</f>
        <v>35.066049999999997</v>
      </c>
      <c r="J31" s="136">
        <f t="shared" si="20"/>
        <v>42.348330249999997</v>
      </c>
      <c r="K31" s="136">
        <f t="shared" si="20"/>
        <v>49.667021901249996</v>
      </c>
      <c r="L31" s="136">
        <f t="shared" si="20"/>
        <v>57.022307010756244</v>
      </c>
      <c r="M31" s="136">
        <f t="shared" si="20"/>
        <v>64.414368545810021</v>
      </c>
      <c r="N31" s="136">
        <f t="shared" si="20"/>
        <v>71.843390388539063</v>
      </c>
      <c r="O31" s="136">
        <f t="shared" si="20"/>
        <v>79.309557340481746</v>
      </c>
      <c r="P31" s="136">
        <f t="shared" si="20"/>
        <v>86.813055127184143</v>
      </c>
      <c r="Q31" s="145">
        <f t="shared" si="20"/>
        <v>94.354070402820057</v>
      </c>
    </row>
    <row r="32" spans="2:17" x14ac:dyDescent="0.25">
      <c r="B32" s="61" t="s">
        <v>74</v>
      </c>
      <c r="C32" s="135">
        <v>0.48</v>
      </c>
      <c r="D32" s="135">
        <v>0.75</v>
      </c>
      <c r="E32" s="135">
        <v>4.96</v>
      </c>
      <c r="F32" s="135">
        <v>7.1</v>
      </c>
      <c r="G32" s="135">
        <v>7.21</v>
      </c>
      <c r="H32" s="136">
        <f t="shared" ref="H32:Q32" si="21">G32*(1+0.5%)</f>
        <v>7.2460499999999994</v>
      </c>
      <c r="I32" s="136">
        <f t="shared" si="21"/>
        <v>7.2822802499999986</v>
      </c>
      <c r="J32" s="136">
        <f t="shared" si="21"/>
        <v>7.3186916512499982</v>
      </c>
      <c r="K32" s="136">
        <f t="shared" si="21"/>
        <v>7.355285109506247</v>
      </c>
      <c r="L32" s="136">
        <f t="shared" si="21"/>
        <v>7.3920615350537773</v>
      </c>
      <c r="M32" s="136">
        <f t="shared" si="21"/>
        <v>7.4290218427290453</v>
      </c>
      <c r="N32" s="136">
        <f t="shared" si="21"/>
        <v>7.4661669519426894</v>
      </c>
      <c r="O32" s="136">
        <f t="shared" si="21"/>
        <v>7.5034977867024022</v>
      </c>
      <c r="P32" s="136">
        <f t="shared" si="21"/>
        <v>7.541015275635913</v>
      </c>
      <c r="Q32" s="145">
        <f t="shared" si="21"/>
        <v>7.5787203520140913</v>
      </c>
    </row>
    <row r="33" spans="2:17" x14ac:dyDescent="0.25">
      <c r="B33" s="59" t="s">
        <v>70</v>
      </c>
      <c r="C33" s="135">
        <v>0</v>
      </c>
      <c r="D33" s="135">
        <v>0</v>
      </c>
      <c r="E33" s="135">
        <v>-1.26</v>
      </c>
      <c r="F33" s="135">
        <v>0</v>
      </c>
      <c r="G33" s="135">
        <v>0</v>
      </c>
      <c r="H33" s="136">
        <f t="shared" ref="H33:Q33" si="22">G33*(1+0.5%)</f>
        <v>0</v>
      </c>
      <c r="I33" s="136">
        <f t="shared" si="22"/>
        <v>0</v>
      </c>
      <c r="J33" s="136">
        <f t="shared" si="22"/>
        <v>0</v>
      </c>
      <c r="K33" s="136">
        <f t="shared" si="22"/>
        <v>0</v>
      </c>
      <c r="L33" s="136">
        <f t="shared" si="22"/>
        <v>0</v>
      </c>
      <c r="M33" s="136">
        <f t="shared" si="22"/>
        <v>0</v>
      </c>
      <c r="N33" s="136">
        <f t="shared" si="22"/>
        <v>0</v>
      </c>
      <c r="O33" s="136">
        <f t="shared" si="22"/>
        <v>0</v>
      </c>
      <c r="P33" s="136">
        <f t="shared" si="22"/>
        <v>0</v>
      </c>
      <c r="Q33" s="145">
        <f t="shared" si="22"/>
        <v>0</v>
      </c>
    </row>
    <row r="34" spans="2:17" x14ac:dyDescent="0.25">
      <c r="B34" s="76" t="s">
        <v>75</v>
      </c>
      <c r="C34" s="137">
        <f t="shared" ref="C34:H34" si="23">C30-SUM(C31:C33)</f>
        <v>22.68</v>
      </c>
      <c r="D34" s="137">
        <f t="shared" si="23"/>
        <v>120.59</v>
      </c>
      <c r="E34" s="137">
        <f t="shared" si="23"/>
        <v>417.32</v>
      </c>
      <c r="F34" s="137">
        <f t="shared" si="23"/>
        <v>436.28999999999996</v>
      </c>
      <c r="G34" s="137">
        <f t="shared" si="23"/>
        <v>429.08</v>
      </c>
      <c r="H34" s="137">
        <f t="shared" si="23"/>
        <v>421.83394999999996</v>
      </c>
      <c r="I34" s="137">
        <f t="shared" ref="I34:Q34" si="24">I30-SUM(I31:I33)</f>
        <v>414.55166974999997</v>
      </c>
      <c r="J34" s="137">
        <f t="shared" si="24"/>
        <v>407.23297809874998</v>
      </c>
      <c r="K34" s="137">
        <f t="shared" si="24"/>
        <v>399.87769298924371</v>
      </c>
      <c r="L34" s="137">
        <f t="shared" si="24"/>
        <v>392.48563145418996</v>
      </c>
      <c r="M34" s="137">
        <f t="shared" si="24"/>
        <v>385.05660961146089</v>
      </c>
      <c r="N34" s="137">
        <f t="shared" si="24"/>
        <v>377.5904426595182</v>
      </c>
      <c r="O34" s="137">
        <f t="shared" si="24"/>
        <v>370.08694487281582</v>
      </c>
      <c r="P34" s="137">
        <f t="shared" si="24"/>
        <v>362.54592959717991</v>
      </c>
      <c r="Q34" s="138">
        <f t="shared" si="24"/>
        <v>354.9672092451658</v>
      </c>
    </row>
    <row r="35" spans="2:17" x14ac:dyDescent="0.25">
      <c r="B35" s="59"/>
      <c r="C35" s="135"/>
      <c r="D35" s="135"/>
      <c r="E35" s="135"/>
      <c r="F35" s="135"/>
      <c r="G35" s="135"/>
      <c r="H35" s="136"/>
      <c r="I35" s="136"/>
      <c r="J35" s="136"/>
      <c r="K35" s="136"/>
      <c r="L35" s="136"/>
      <c r="M35" s="136"/>
      <c r="N35" s="136"/>
      <c r="O35" s="136"/>
      <c r="P35" s="136"/>
      <c r="Q35" s="145"/>
    </row>
    <row r="36" spans="2:17" x14ac:dyDescent="0.25">
      <c r="B36" s="64" t="s">
        <v>277</v>
      </c>
      <c r="C36" s="135"/>
      <c r="D36" s="135"/>
      <c r="E36" s="135"/>
      <c r="F36" s="135"/>
      <c r="G36" s="135"/>
      <c r="H36" s="136"/>
      <c r="I36" s="136"/>
      <c r="J36" s="136"/>
      <c r="K36" s="136"/>
      <c r="L36" s="136"/>
      <c r="M36" s="136"/>
      <c r="N36" s="136"/>
      <c r="O36" s="136"/>
      <c r="P36" s="136"/>
      <c r="Q36" s="145"/>
    </row>
    <row r="37" spans="2:17" x14ac:dyDescent="0.25">
      <c r="B37" s="59" t="s">
        <v>68</v>
      </c>
      <c r="C37" s="135">
        <v>0</v>
      </c>
      <c r="D37" s="135">
        <f>C40</f>
        <v>2.65</v>
      </c>
      <c r="E37" s="135">
        <f>0</f>
        <v>0</v>
      </c>
      <c r="F37" s="135">
        <f>0</f>
        <v>0</v>
      </c>
      <c r="G37" s="135">
        <f>0</f>
        <v>0</v>
      </c>
      <c r="H37" s="136">
        <f>G40</f>
        <v>0</v>
      </c>
      <c r="I37" s="136">
        <f t="shared" ref="I37:Q37" si="25">H40</f>
        <v>0</v>
      </c>
      <c r="J37" s="136">
        <f t="shared" si="25"/>
        <v>0</v>
      </c>
      <c r="K37" s="136">
        <f t="shared" si="25"/>
        <v>0</v>
      </c>
      <c r="L37" s="136">
        <f t="shared" si="25"/>
        <v>0</v>
      </c>
      <c r="M37" s="136">
        <f t="shared" si="25"/>
        <v>0</v>
      </c>
      <c r="N37" s="136">
        <f t="shared" si="25"/>
        <v>0</v>
      </c>
      <c r="O37" s="136">
        <f t="shared" si="25"/>
        <v>0</v>
      </c>
      <c r="P37" s="136">
        <f t="shared" si="25"/>
        <v>0</v>
      </c>
      <c r="Q37" s="145">
        <f t="shared" si="25"/>
        <v>0</v>
      </c>
    </row>
    <row r="38" spans="2:17" x14ac:dyDescent="0.25">
      <c r="B38" s="59" t="s">
        <v>69</v>
      </c>
      <c r="C38" s="135">
        <v>2.65</v>
      </c>
      <c r="D38" s="135">
        <v>0.24</v>
      </c>
      <c r="E38" s="135">
        <v>0</v>
      </c>
      <c r="F38" s="135">
        <v>0</v>
      </c>
      <c r="G38" s="135">
        <v>0</v>
      </c>
      <c r="H38" s="136">
        <f>G38*(1+0.5%)</f>
        <v>0</v>
      </c>
      <c r="I38" s="136">
        <f t="shared" ref="I38:Q38" si="26">H38*(1+0.5%)</f>
        <v>0</v>
      </c>
      <c r="J38" s="136">
        <f t="shared" si="26"/>
        <v>0</v>
      </c>
      <c r="K38" s="136">
        <f t="shared" si="26"/>
        <v>0</v>
      </c>
      <c r="L38" s="136">
        <f t="shared" si="26"/>
        <v>0</v>
      </c>
      <c r="M38" s="136">
        <f t="shared" si="26"/>
        <v>0</v>
      </c>
      <c r="N38" s="136">
        <f t="shared" si="26"/>
        <v>0</v>
      </c>
      <c r="O38" s="136">
        <f t="shared" si="26"/>
        <v>0</v>
      </c>
      <c r="P38" s="136">
        <f t="shared" si="26"/>
        <v>0</v>
      </c>
      <c r="Q38" s="145">
        <f t="shared" si="26"/>
        <v>0</v>
      </c>
    </row>
    <row r="39" spans="2:17" x14ac:dyDescent="0.25">
      <c r="B39" s="59" t="s">
        <v>70</v>
      </c>
      <c r="C39" s="135">
        <v>0</v>
      </c>
      <c r="D39" s="135">
        <v>-2.89</v>
      </c>
      <c r="E39" s="135">
        <v>0</v>
      </c>
      <c r="F39" s="135">
        <v>0</v>
      </c>
      <c r="G39" s="135">
        <v>0</v>
      </c>
      <c r="H39" s="136">
        <f>G39*(1+0.5%)</f>
        <v>0</v>
      </c>
      <c r="I39" s="136">
        <f t="shared" ref="I39:Q39" si="27">H39*(1+0.5%)</f>
        <v>0</v>
      </c>
      <c r="J39" s="136">
        <f t="shared" si="27"/>
        <v>0</v>
      </c>
      <c r="K39" s="136">
        <f t="shared" si="27"/>
        <v>0</v>
      </c>
      <c r="L39" s="136">
        <f t="shared" si="27"/>
        <v>0</v>
      </c>
      <c r="M39" s="136">
        <f t="shared" si="27"/>
        <v>0</v>
      </c>
      <c r="N39" s="136">
        <f t="shared" si="27"/>
        <v>0</v>
      </c>
      <c r="O39" s="136">
        <f t="shared" si="27"/>
        <v>0</v>
      </c>
      <c r="P39" s="136">
        <f t="shared" si="27"/>
        <v>0</v>
      </c>
      <c r="Q39" s="145">
        <f t="shared" si="27"/>
        <v>0</v>
      </c>
    </row>
    <row r="40" spans="2:17" x14ac:dyDescent="0.25">
      <c r="B40" s="76" t="s">
        <v>71</v>
      </c>
      <c r="C40" s="137">
        <f t="shared" ref="C40:H40" si="28">SUM(C37:C39)</f>
        <v>2.65</v>
      </c>
      <c r="D40" s="137">
        <f t="shared" si="28"/>
        <v>0</v>
      </c>
      <c r="E40" s="137">
        <f t="shared" si="28"/>
        <v>0</v>
      </c>
      <c r="F40" s="137">
        <f t="shared" si="28"/>
        <v>0</v>
      </c>
      <c r="G40" s="137">
        <f t="shared" si="28"/>
        <v>0</v>
      </c>
      <c r="H40" s="137">
        <f t="shared" si="28"/>
        <v>0</v>
      </c>
      <c r="I40" s="137">
        <f t="shared" ref="I40:Q40" si="29">SUM(I37:I39)</f>
        <v>0</v>
      </c>
      <c r="J40" s="137">
        <f t="shared" si="29"/>
        <v>0</v>
      </c>
      <c r="K40" s="137">
        <f t="shared" si="29"/>
        <v>0</v>
      </c>
      <c r="L40" s="137">
        <f t="shared" si="29"/>
        <v>0</v>
      </c>
      <c r="M40" s="137">
        <f t="shared" si="29"/>
        <v>0</v>
      </c>
      <c r="N40" s="137">
        <f t="shared" si="29"/>
        <v>0</v>
      </c>
      <c r="O40" s="137">
        <f t="shared" si="29"/>
        <v>0</v>
      </c>
      <c r="P40" s="137">
        <f t="shared" si="29"/>
        <v>0</v>
      </c>
      <c r="Q40" s="138">
        <f t="shared" si="29"/>
        <v>0</v>
      </c>
    </row>
    <row r="41" spans="2:17" x14ac:dyDescent="0.25">
      <c r="B41" s="59" t="s">
        <v>73</v>
      </c>
      <c r="C41" s="135">
        <v>0</v>
      </c>
      <c r="D41" s="135">
        <f>SUM(C41:C43)</f>
        <v>0.77</v>
      </c>
      <c r="E41" s="135">
        <f>SUM(D41:D43)</f>
        <v>0</v>
      </c>
      <c r="F41" s="135">
        <f>SUM(E41:E43)</f>
        <v>0</v>
      </c>
      <c r="G41" s="135">
        <f>SUM(F41:F43)</f>
        <v>0</v>
      </c>
      <c r="H41" s="136">
        <f>SUM(G41:G43)</f>
        <v>0</v>
      </c>
      <c r="I41" s="136">
        <f t="shared" ref="I41:Q41" si="30">SUM(H41:H43)</f>
        <v>0</v>
      </c>
      <c r="J41" s="136">
        <f t="shared" si="30"/>
        <v>0</v>
      </c>
      <c r="K41" s="136">
        <f t="shared" si="30"/>
        <v>0</v>
      </c>
      <c r="L41" s="136">
        <f t="shared" si="30"/>
        <v>0</v>
      </c>
      <c r="M41" s="136">
        <f t="shared" si="30"/>
        <v>0</v>
      </c>
      <c r="N41" s="136">
        <f t="shared" si="30"/>
        <v>0</v>
      </c>
      <c r="O41" s="136">
        <f t="shared" si="30"/>
        <v>0</v>
      </c>
      <c r="P41" s="136">
        <f t="shared" si="30"/>
        <v>0</v>
      </c>
      <c r="Q41" s="145">
        <f t="shared" si="30"/>
        <v>0</v>
      </c>
    </row>
    <row r="42" spans="2:17" x14ac:dyDescent="0.25">
      <c r="B42" s="61" t="s">
        <v>74</v>
      </c>
      <c r="C42" s="135">
        <v>0.77</v>
      </c>
      <c r="D42" s="135">
        <v>0.54</v>
      </c>
      <c r="E42" s="135">
        <v>0</v>
      </c>
      <c r="F42" s="135">
        <v>0</v>
      </c>
      <c r="G42" s="135">
        <v>0</v>
      </c>
      <c r="H42" s="136">
        <f t="shared" ref="H42:Q42" si="31">G42*(1+0.5%)</f>
        <v>0</v>
      </c>
      <c r="I42" s="136">
        <f t="shared" si="31"/>
        <v>0</v>
      </c>
      <c r="J42" s="136">
        <f t="shared" si="31"/>
        <v>0</v>
      </c>
      <c r="K42" s="136">
        <f t="shared" si="31"/>
        <v>0</v>
      </c>
      <c r="L42" s="136">
        <f t="shared" si="31"/>
        <v>0</v>
      </c>
      <c r="M42" s="136">
        <f t="shared" si="31"/>
        <v>0</v>
      </c>
      <c r="N42" s="136">
        <f t="shared" si="31"/>
        <v>0</v>
      </c>
      <c r="O42" s="136">
        <f t="shared" si="31"/>
        <v>0</v>
      </c>
      <c r="P42" s="136">
        <f t="shared" si="31"/>
        <v>0</v>
      </c>
      <c r="Q42" s="145">
        <f t="shared" si="31"/>
        <v>0</v>
      </c>
    </row>
    <row r="43" spans="2:17" x14ac:dyDescent="0.25">
      <c r="B43" s="59" t="s">
        <v>70</v>
      </c>
      <c r="C43" s="135">
        <v>0</v>
      </c>
      <c r="D43" s="135">
        <v>-1.31</v>
      </c>
      <c r="E43" s="135"/>
      <c r="F43" s="135">
        <v>0</v>
      </c>
      <c r="G43" s="135">
        <v>0</v>
      </c>
      <c r="H43" s="136">
        <f t="shared" ref="H43:Q43" si="32">G43*(1+0.5%)</f>
        <v>0</v>
      </c>
      <c r="I43" s="136">
        <f t="shared" si="32"/>
        <v>0</v>
      </c>
      <c r="J43" s="136">
        <f t="shared" si="32"/>
        <v>0</v>
      </c>
      <c r="K43" s="136">
        <f t="shared" si="32"/>
        <v>0</v>
      </c>
      <c r="L43" s="136">
        <f t="shared" si="32"/>
        <v>0</v>
      </c>
      <c r="M43" s="136">
        <f t="shared" si="32"/>
        <v>0</v>
      </c>
      <c r="N43" s="136">
        <f t="shared" si="32"/>
        <v>0</v>
      </c>
      <c r="O43" s="136">
        <f t="shared" si="32"/>
        <v>0</v>
      </c>
      <c r="P43" s="136">
        <f t="shared" si="32"/>
        <v>0</v>
      </c>
      <c r="Q43" s="145">
        <f t="shared" si="32"/>
        <v>0</v>
      </c>
    </row>
    <row r="44" spans="2:17" x14ac:dyDescent="0.25">
      <c r="B44" s="76" t="s">
        <v>75</v>
      </c>
      <c r="C44" s="137">
        <f t="shared" ref="C44:H44" si="33">C40-SUM(C41:C43)</f>
        <v>1.88</v>
      </c>
      <c r="D44" s="137">
        <f t="shared" si="33"/>
        <v>0</v>
      </c>
      <c r="E44" s="137">
        <f t="shared" si="33"/>
        <v>0</v>
      </c>
      <c r="F44" s="137">
        <f t="shared" si="33"/>
        <v>0</v>
      </c>
      <c r="G44" s="137">
        <f t="shared" si="33"/>
        <v>0</v>
      </c>
      <c r="H44" s="137">
        <f t="shared" si="33"/>
        <v>0</v>
      </c>
      <c r="I44" s="137">
        <f t="shared" ref="I44:Q44" si="34">I40-SUM(I41:I43)</f>
        <v>0</v>
      </c>
      <c r="J44" s="137">
        <f t="shared" si="34"/>
        <v>0</v>
      </c>
      <c r="K44" s="137">
        <f t="shared" si="34"/>
        <v>0</v>
      </c>
      <c r="L44" s="137">
        <f t="shared" si="34"/>
        <v>0</v>
      </c>
      <c r="M44" s="137">
        <f t="shared" si="34"/>
        <v>0</v>
      </c>
      <c r="N44" s="137">
        <f t="shared" si="34"/>
        <v>0</v>
      </c>
      <c r="O44" s="137">
        <f t="shared" si="34"/>
        <v>0</v>
      </c>
      <c r="P44" s="137">
        <f t="shared" si="34"/>
        <v>0</v>
      </c>
      <c r="Q44" s="138">
        <f t="shared" si="34"/>
        <v>0</v>
      </c>
    </row>
    <row r="45" spans="2:17" x14ac:dyDescent="0.25">
      <c r="B45" s="59"/>
      <c r="C45" s="135"/>
      <c r="D45" s="135"/>
      <c r="E45" s="135"/>
      <c r="F45" s="135"/>
      <c r="G45" s="135"/>
      <c r="H45" s="136"/>
      <c r="I45" s="136"/>
      <c r="J45" s="136"/>
      <c r="K45" s="136"/>
      <c r="L45" s="136"/>
      <c r="M45" s="136"/>
      <c r="N45" s="136"/>
      <c r="O45" s="136"/>
      <c r="P45" s="136"/>
      <c r="Q45" s="145"/>
    </row>
    <row r="46" spans="2:17" x14ac:dyDescent="0.25">
      <c r="B46" s="59"/>
      <c r="C46" s="135"/>
      <c r="D46" s="135"/>
      <c r="E46" s="135"/>
      <c r="F46" s="135"/>
      <c r="G46" s="135"/>
      <c r="H46" s="136"/>
      <c r="I46" s="136"/>
      <c r="J46" s="136"/>
      <c r="K46" s="136"/>
      <c r="L46" s="136"/>
      <c r="M46" s="136"/>
      <c r="N46" s="136"/>
      <c r="O46" s="136"/>
      <c r="P46" s="136"/>
      <c r="Q46" s="145"/>
    </row>
    <row r="47" spans="2:17" x14ac:dyDescent="0.25">
      <c r="B47" s="64" t="s">
        <v>76</v>
      </c>
      <c r="C47" s="135"/>
      <c r="D47" s="135"/>
      <c r="E47" s="135"/>
      <c r="F47" s="135"/>
      <c r="G47" s="135"/>
      <c r="H47" s="136"/>
      <c r="I47" s="136"/>
      <c r="J47" s="136"/>
      <c r="K47" s="136"/>
      <c r="L47" s="136"/>
      <c r="M47" s="136"/>
      <c r="N47" s="136"/>
      <c r="O47" s="136"/>
      <c r="P47" s="136"/>
      <c r="Q47" s="145"/>
    </row>
    <row r="48" spans="2:17" x14ac:dyDescent="0.25">
      <c r="B48" s="59" t="s">
        <v>68</v>
      </c>
      <c r="C48" s="135">
        <v>10.99</v>
      </c>
      <c r="D48" s="135">
        <f>C51</f>
        <v>11.99</v>
      </c>
      <c r="E48" s="135">
        <f>D51</f>
        <v>20.89</v>
      </c>
      <c r="F48" s="135">
        <f>E51</f>
        <v>67.75</v>
      </c>
      <c r="G48" s="135">
        <f>F51</f>
        <v>67.69</v>
      </c>
      <c r="H48" s="136">
        <f>G51</f>
        <v>67.27000000000001</v>
      </c>
      <c r="I48" s="136">
        <f t="shared" ref="I48:Q48" si="35">H51</f>
        <v>66.84790000000001</v>
      </c>
      <c r="J48" s="136">
        <f t="shared" si="35"/>
        <v>66.423689500000009</v>
      </c>
      <c r="K48" s="136">
        <f t="shared" si="35"/>
        <v>65.997357947500021</v>
      </c>
      <c r="L48" s="136">
        <f t="shared" si="35"/>
        <v>65.568894737237528</v>
      </c>
      <c r="M48" s="136">
        <f t="shared" si="35"/>
        <v>65.138289210923716</v>
      </c>
      <c r="N48" s="136">
        <f t="shared" si="35"/>
        <v>64.70553065697834</v>
      </c>
      <c r="O48" s="136">
        <f t="shared" si="35"/>
        <v>64.270608310263228</v>
      </c>
      <c r="P48" s="136">
        <f t="shared" si="35"/>
        <v>63.833511351814543</v>
      </c>
      <c r="Q48" s="145">
        <f t="shared" si="35"/>
        <v>63.394228908573616</v>
      </c>
    </row>
    <row r="49" spans="2:17" x14ac:dyDescent="0.25">
      <c r="B49" s="59" t="s">
        <v>69</v>
      </c>
      <c r="C49" s="135">
        <v>1.84</v>
      </c>
      <c r="D49" s="135">
        <v>9.65</v>
      </c>
      <c r="E49" s="135">
        <v>47.55</v>
      </c>
      <c r="F49" s="135">
        <v>3.64</v>
      </c>
      <c r="G49" s="135">
        <v>2.68</v>
      </c>
      <c r="H49" s="136">
        <f>G49*(1+0.5%)</f>
        <v>2.6934</v>
      </c>
      <c r="I49" s="136">
        <f t="shared" ref="I49:Q49" si="36">H49*(1+0.5%)</f>
        <v>2.7068669999999999</v>
      </c>
      <c r="J49" s="136">
        <f t="shared" si="36"/>
        <v>2.7204013349999996</v>
      </c>
      <c r="K49" s="136">
        <f t="shared" si="36"/>
        <v>2.7340033416749994</v>
      </c>
      <c r="L49" s="136">
        <f t="shared" si="36"/>
        <v>2.7476733583833739</v>
      </c>
      <c r="M49" s="136">
        <f t="shared" si="36"/>
        <v>2.7614117251752903</v>
      </c>
      <c r="N49" s="136">
        <f t="shared" si="36"/>
        <v>2.7752187838011664</v>
      </c>
      <c r="O49" s="136">
        <f t="shared" si="36"/>
        <v>2.7890948777201721</v>
      </c>
      <c r="P49" s="136">
        <f t="shared" si="36"/>
        <v>2.8030403521087726</v>
      </c>
      <c r="Q49" s="145">
        <f t="shared" si="36"/>
        <v>2.8170555538693161</v>
      </c>
    </row>
    <row r="50" spans="2:17" x14ac:dyDescent="0.25">
      <c r="B50" s="59" t="s">
        <v>70</v>
      </c>
      <c r="C50" s="135">
        <v>-0.84</v>
      </c>
      <c r="D50" s="135">
        <v>-0.75</v>
      </c>
      <c r="E50" s="135">
        <v>-0.69</v>
      </c>
      <c r="F50" s="135">
        <v>-3.7</v>
      </c>
      <c r="G50" s="135">
        <v>-3.1</v>
      </c>
      <c r="H50" s="136">
        <f>G50*(1+0.5%)</f>
        <v>-3.1154999999999999</v>
      </c>
      <c r="I50" s="136">
        <f t="shared" ref="I50:Q50" si="37">H50*(1+0.5%)</f>
        <v>-3.1310774999999995</v>
      </c>
      <c r="J50" s="136">
        <f t="shared" si="37"/>
        <v>-3.1467328874999994</v>
      </c>
      <c r="K50" s="136">
        <f t="shared" si="37"/>
        <v>-3.162466551937499</v>
      </c>
      <c r="L50" s="136">
        <f t="shared" si="37"/>
        <v>-3.1782788846971863</v>
      </c>
      <c r="M50" s="136">
        <f t="shared" si="37"/>
        <v>-3.1941702791206721</v>
      </c>
      <c r="N50" s="136">
        <f t="shared" si="37"/>
        <v>-3.2101411305162753</v>
      </c>
      <c r="O50" s="136">
        <f t="shared" si="37"/>
        <v>-3.2261918361688564</v>
      </c>
      <c r="P50" s="136">
        <f t="shared" si="37"/>
        <v>-3.2423227953497005</v>
      </c>
      <c r="Q50" s="145">
        <f t="shared" si="37"/>
        <v>-3.2585344093264488</v>
      </c>
    </row>
    <row r="51" spans="2:17" x14ac:dyDescent="0.25">
      <c r="B51" s="76" t="s">
        <v>71</v>
      </c>
      <c r="C51" s="137">
        <f t="shared" ref="C51:H51" si="38">SUM(C48:C50)</f>
        <v>11.99</v>
      </c>
      <c r="D51" s="137">
        <f t="shared" si="38"/>
        <v>20.89</v>
      </c>
      <c r="E51" s="137">
        <f t="shared" si="38"/>
        <v>67.75</v>
      </c>
      <c r="F51" s="137">
        <f t="shared" si="38"/>
        <v>67.69</v>
      </c>
      <c r="G51" s="137">
        <f t="shared" si="38"/>
        <v>67.27000000000001</v>
      </c>
      <c r="H51" s="137">
        <f t="shared" si="38"/>
        <v>66.84790000000001</v>
      </c>
      <c r="I51" s="137">
        <f t="shared" ref="I51:Q51" si="39">SUM(I48:I50)</f>
        <v>66.423689500000009</v>
      </c>
      <c r="J51" s="137">
        <f t="shared" si="39"/>
        <v>65.997357947500021</v>
      </c>
      <c r="K51" s="137">
        <f t="shared" si="39"/>
        <v>65.568894737237528</v>
      </c>
      <c r="L51" s="137">
        <f t="shared" si="39"/>
        <v>65.138289210923716</v>
      </c>
      <c r="M51" s="137">
        <f t="shared" si="39"/>
        <v>64.70553065697834</v>
      </c>
      <c r="N51" s="137">
        <f t="shared" si="39"/>
        <v>64.270608310263228</v>
      </c>
      <c r="O51" s="137">
        <f t="shared" si="39"/>
        <v>63.833511351814543</v>
      </c>
      <c r="P51" s="137">
        <f t="shared" si="39"/>
        <v>63.394228908573616</v>
      </c>
      <c r="Q51" s="138">
        <f t="shared" si="39"/>
        <v>62.952750053116482</v>
      </c>
    </row>
    <row r="52" spans="2:17" x14ac:dyDescent="0.25">
      <c r="B52" s="59" t="s">
        <v>73</v>
      </c>
      <c r="C52" s="135">
        <v>6.53</v>
      </c>
      <c r="D52" s="135">
        <f>SUM(C52:C54)</f>
        <v>6.91</v>
      </c>
      <c r="E52" s="135">
        <f>SUM(D52:D54)</f>
        <v>7.6800000000000006</v>
      </c>
      <c r="F52" s="135">
        <f>SUM(E52:E54)</f>
        <v>10.940000000000001</v>
      </c>
      <c r="G52" s="135">
        <f>SUM(F52:F54)</f>
        <v>15.710000000000003</v>
      </c>
      <c r="H52" s="136">
        <f>SUM(G52:G54)</f>
        <v>20.250000000000004</v>
      </c>
      <c r="I52" s="136">
        <f t="shared" ref="I52:Q52" si="40">SUM(H52:H54)</f>
        <v>24.812700000000003</v>
      </c>
      <c r="J52" s="136">
        <f t="shared" si="40"/>
        <v>29.398213500000001</v>
      </c>
      <c r="K52" s="136">
        <f t="shared" si="40"/>
        <v>34.0066545675</v>
      </c>
      <c r="L52" s="136">
        <f t="shared" si="40"/>
        <v>38.6381378403375</v>
      </c>
      <c r="M52" s="136">
        <f t="shared" si="40"/>
        <v>43.292778529539184</v>
      </c>
      <c r="N52" s="136">
        <f t="shared" si="40"/>
        <v>47.970692422186879</v>
      </c>
      <c r="O52" s="136">
        <f t="shared" si="40"/>
        <v>52.671995884297807</v>
      </c>
      <c r="P52" s="136">
        <f t="shared" si="40"/>
        <v>57.396805863719294</v>
      </c>
      <c r="Q52" s="145">
        <f t="shared" si="40"/>
        <v>62.145239893037889</v>
      </c>
    </row>
    <row r="53" spans="2:17" x14ac:dyDescent="0.25">
      <c r="B53" s="61" t="s">
        <v>74</v>
      </c>
      <c r="C53" s="135">
        <v>0.73</v>
      </c>
      <c r="D53" s="135">
        <v>0.99</v>
      </c>
      <c r="E53" s="135">
        <v>3.67</v>
      </c>
      <c r="F53" s="135">
        <v>6.05</v>
      </c>
      <c r="G53" s="135">
        <v>6.13</v>
      </c>
      <c r="H53" s="136">
        <f t="shared" ref="H53:Q53" si="41">G53*(1+0.5%)</f>
        <v>6.1606499999999995</v>
      </c>
      <c r="I53" s="136">
        <f t="shared" si="41"/>
        <v>6.1914532499999986</v>
      </c>
      <c r="J53" s="136">
        <f t="shared" si="41"/>
        <v>6.2224105162499983</v>
      </c>
      <c r="K53" s="136">
        <f t="shared" si="41"/>
        <v>6.2535225688312472</v>
      </c>
      <c r="L53" s="136">
        <f t="shared" si="41"/>
        <v>6.2847901816754028</v>
      </c>
      <c r="M53" s="136">
        <f t="shared" si="41"/>
        <v>6.3162141325837791</v>
      </c>
      <c r="N53" s="136">
        <f t="shared" si="41"/>
        <v>6.3477952032466973</v>
      </c>
      <c r="O53" s="136">
        <f t="shared" si="41"/>
        <v>6.3795341792629303</v>
      </c>
      <c r="P53" s="136">
        <f t="shared" si="41"/>
        <v>6.4114318501592447</v>
      </c>
      <c r="Q53" s="145">
        <f t="shared" si="41"/>
        <v>6.4434890094100403</v>
      </c>
    </row>
    <row r="54" spans="2:17" x14ac:dyDescent="0.25">
      <c r="B54" s="59" t="s">
        <v>70</v>
      </c>
      <c r="C54" s="135">
        <v>-0.35</v>
      </c>
      <c r="D54" s="135">
        <v>-0.22</v>
      </c>
      <c r="E54" s="135">
        <v>-0.41</v>
      </c>
      <c r="F54" s="135">
        <v>-1.28</v>
      </c>
      <c r="G54" s="135">
        <v>-1.59</v>
      </c>
      <c r="H54" s="136">
        <f t="shared" ref="H54:Q54" si="42">G54*(1+0.5%)</f>
        <v>-1.59795</v>
      </c>
      <c r="I54" s="136">
        <f t="shared" si="42"/>
        <v>-1.6059397499999999</v>
      </c>
      <c r="J54" s="136">
        <f t="shared" si="42"/>
        <v>-1.6139694487499998</v>
      </c>
      <c r="K54" s="136">
        <f t="shared" si="42"/>
        <v>-1.6220392959937497</v>
      </c>
      <c r="L54" s="136">
        <f t="shared" si="42"/>
        <v>-1.6301494924737183</v>
      </c>
      <c r="M54" s="136">
        <f t="shared" si="42"/>
        <v>-1.6383002399360866</v>
      </c>
      <c r="N54" s="136">
        <f t="shared" si="42"/>
        <v>-1.6464917411357669</v>
      </c>
      <c r="O54" s="136">
        <f t="shared" si="42"/>
        <v>-1.6547241998414455</v>
      </c>
      <c r="P54" s="136">
        <f t="shared" si="42"/>
        <v>-1.6629978208406526</v>
      </c>
      <c r="Q54" s="145">
        <f t="shared" si="42"/>
        <v>-1.6713128099448558</v>
      </c>
    </row>
    <row r="55" spans="2:17" x14ac:dyDescent="0.25">
      <c r="B55" s="76" t="s">
        <v>75</v>
      </c>
      <c r="C55" s="137">
        <f t="shared" ref="C55:H55" si="43">C51-SUM(C52:C54)</f>
        <v>5.08</v>
      </c>
      <c r="D55" s="137">
        <f t="shared" si="43"/>
        <v>13.21</v>
      </c>
      <c r="E55" s="137">
        <f t="shared" si="43"/>
        <v>56.81</v>
      </c>
      <c r="F55" s="137">
        <f t="shared" si="43"/>
        <v>51.98</v>
      </c>
      <c r="G55" s="137">
        <f t="shared" si="43"/>
        <v>47.02000000000001</v>
      </c>
      <c r="H55" s="137">
        <f t="shared" si="43"/>
        <v>42.035200000000003</v>
      </c>
      <c r="I55" s="137">
        <f t="shared" ref="I55:Q55" si="44">I51-SUM(I52:I54)</f>
        <v>37.025476000000012</v>
      </c>
      <c r="J55" s="137">
        <f t="shared" si="44"/>
        <v>31.990703380000021</v>
      </c>
      <c r="K55" s="137">
        <f t="shared" si="44"/>
        <v>26.930756896900029</v>
      </c>
      <c r="L55" s="137">
        <f t="shared" si="44"/>
        <v>21.845510681384532</v>
      </c>
      <c r="M55" s="137">
        <f t="shared" si="44"/>
        <v>16.734838234791461</v>
      </c>
      <c r="N55" s="137">
        <f t="shared" si="44"/>
        <v>11.59861242596542</v>
      </c>
      <c r="O55" s="137">
        <f t="shared" si="44"/>
        <v>6.4367054880952494</v>
      </c>
      <c r="P55" s="137">
        <f t="shared" si="44"/>
        <v>1.2489890155357273</v>
      </c>
      <c r="Q55" s="138">
        <f t="shared" si="44"/>
        <v>-3.9646660393865929</v>
      </c>
    </row>
    <row r="56" spans="2:17" x14ac:dyDescent="0.25">
      <c r="B56" s="59"/>
      <c r="C56" s="135"/>
      <c r="D56" s="135"/>
      <c r="E56" s="135"/>
      <c r="F56" s="135"/>
      <c r="G56" s="135"/>
      <c r="H56" s="136"/>
      <c r="I56" s="136"/>
      <c r="J56" s="136"/>
      <c r="K56" s="136"/>
      <c r="L56" s="136"/>
      <c r="M56" s="136"/>
      <c r="N56" s="136"/>
      <c r="O56" s="136"/>
      <c r="P56" s="136"/>
      <c r="Q56" s="145"/>
    </row>
    <row r="57" spans="2:17" x14ac:dyDescent="0.25">
      <c r="B57" s="59"/>
      <c r="C57" s="135"/>
      <c r="D57" s="135"/>
      <c r="E57" s="135"/>
      <c r="F57" s="135"/>
      <c r="G57" s="135"/>
      <c r="H57" s="136"/>
      <c r="I57" s="136"/>
      <c r="J57" s="136"/>
      <c r="K57" s="136"/>
      <c r="L57" s="136"/>
      <c r="M57" s="136"/>
      <c r="N57" s="136"/>
      <c r="O57" s="136"/>
      <c r="P57" s="136"/>
      <c r="Q57" s="145"/>
    </row>
    <row r="58" spans="2:17" x14ac:dyDescent="0.25">
      <c r="B58" s="64" t="s">
        <v>278</v>
      </c>
      <c r="C58" s="135"/>
      <c r="D58" s="135"/>
      <c r="E58" s="135"/>
      <c r="F58" s="135"/>
      <c r="G58" s="135"/>
      <c r="H58" s="136"/>
      <c r="I58" s="136"/>
      <c r="J58" s="136"/>
      <c r="K58" s="136"/>
      <c r="L58" s="136"/>
      <c r="M58" s="136"/>
      <c r="N58" s="136"/>
      <c r="O58" s="136"/>
      <c r="P58" s="136"/>
      <c r="Q58" s="145"/>
    </row>
    <row r="59" spans="2:17" x14ac:dyDescent="0.25">
      <c r="B59" s="59" t="s">
        <v>68</v>
      </c>
      <c r="C59" s="135">
        <v>22.45</v>
      </c>
      <c r="D59" s="135">
        <f>C62</f>
        <v>22.939999999999998</v>
      </c>
      <c r="E59" s="135">
        <f>D62</f>
        <v>24.33</v>
      </c>
      <c r="F59" s="135">
        <f>E62</f>
        <v>26.709999999999997</v>
      </c>
      <c r="G59" s="135">
        <f>F62</f>
        <v>26.579999999999995</v>
      </c>
      <c r="H59" s="136">
        <f>G62</f>
        <v>32.169999999999995</v>
      </c>
      <c r="I59" s="136">
        <f t="shared" ref="I59:Q59" si="45">H62</f>
        <v>37.787949999999988</v>
      </c>
      <c r="J59" s="136">
        <f t="shared" si="45"/>
        <v>43.433989749999981</v>
      </c>
      <c r="K59" s="136">
        <f t="shared" si="45"/>
        <v>49.108259698749976</v>
      </c>
      <c r="L59" s="136">
        <f t="shared" si="45"/>
        <v>54.810900997243721</v>
      </c>
      <c r="M59" s="136">
        <f t="shared" si="45"/>
        <v>60.542055502229928</v>
      </c>
      <c r="N59" s="136">
        <f t="shared" si="45"/>
        <v>66.301865779741078</v>
      </c>
      <c r="O59" s="136">
        <f t="shared" si="45"/>
        <v>72.090475108639779</v>
      </c>
      <c r="P59" s="136">
        <f t="shared" si="45"/>
        <v>77.908027484182981</v>
      </c>
      <c r="Q59" s="145">
        <f t="shared" si="45"/>
        <v>83.754667621603886</v>
      </c>
    </row>
    <row r="60" spans="2:17" x14ac:dyDescent="0.25">
      <c r="B60" s="59" t="s">
        <v>69</v>
      </c>
      <c r="C60" s="135">
        <v>2.84</v>
      </c>
      <c r="D60" s="135">
        <v>4.8</v>
      </c>
      <c r="E60" s="135">
        <v>3.34</v>
      </c>
      <c r="F60" s="135">
        <v>5.49</v>
      </c>
      <c r="G60" s="135">
        <v>9.19</v>
      </c>
      <c r="H60" s="136">
        <f>G60*(1+0.5%)</f>
        <v>9.235949999999999</v>
      </c>
      <c r="I60" s="136">
        <f t="shared" ref="I60:Q60" si="46">H60*(1+0.5%)</f>
        <v>9.2821297499999975</v>
      </c>
      <c r="J60" s="136">
        <f t="shared" si="46"/>
        <v>9.3285403987499969</v>
      </c>
      <c r="K60" s="136">
        <f t="shared" si="46"/>
        <v>9.3751831007437456</v>
      </c>
      <c r="L60" s="136">
        <f t="shared" si="46"/>
        <v>9.4220590162474629</v>
      </c>
      <c r="M60" s="136">
        <f t="shared" si="46"/>
        <v>9.4691693113286988</v>
      </c>
      <c r="N60" s="136">
        <f t="shared" si="46"/>
        <v>9.5165151578853404</v>
      </c>
      <c r="O60" s="136">
        <f t="shared" si="46"/>
        <v>9.5640977336747657</v>
      </c>
      <c r="P60" s="136">
        <f t="shared" si="46"/>
        <v>9.6119182223431388</v>
      </c>
      <c r="Q60" s="145">
        <f t="shared" si="46"/>
        <v>9.6599778134548533</v>
      </c>
    </row>
    <row r="61" spans="2:17" x14ac:dyDescent="0.25">
      <c r="B61" s="59" t="s">
        <v>70</v>
      </c>
      <c r="C61" s="135">
        <v>-2.35</v>
      </c>
      <c r="D61" s="135">
        <v>-3.41</v>
      </c>
      <c r="E61" s="135">
        <v>-0.96</v>
      </c>
      <c r="F61" s="135">
        <v>-5.62</v>
      </c>
      <c r="G61" s="135">
        <v>-3.6</v>
      </c>
      <c r="H61" s="136">
        <f>G61*(1+0.5%)</f>
        <v>-3.6179999999999999</v>
      </c>
      <c r="I61" s="136">
        <f t="shared" ref="I61:Q61" si="47">H61*(1+0.5%)</f>
        <v>-3.6360899999999994</v>
      </c>
      <c r="J61" s="136">
        <f t="shared" si="47"/>
        <v>-3.6542704499999989</v>
      </c>
      <c r="K61" s="136">
        <f t="shared" si="47"/>
        <v>-3.6725418022499987</v>
      </c>
      <c r="L61" s="136">
        <f t="shared" si="47"/>
        <v>-3.6909045112612482</v>
      </c>
      <c r="M61" s="136">
        <f t="shared" si="47"/>
        <v>-3.7093590338175542</v>
      </c>
      <c r="N61" s="136">
        <f t="shared" si="47"/>
        <v>-3.7279058289866414</v>
      </c>
      <c r="O61" s="136">
        <f t="shared" si="47"/>
        <v>-3.746545358131574</v>
      </c>
      <c r="P61" s="136">
        <f t="shared" si="47"/>
        <v>-3.7652780849222314</v>
      </c>
      <c r="Q61" s="145">
        <f t="shared" si="47"/>
        <v>-3.784104475346842</v>
      </c>
    </row>
    <row r="62" spans="2:17" x14ac:dyDescent="0.25">
      <c r="B62" s="76" t="s">
        <v>71</v>
      </c>
      <c r="C62" s="137">
        <f t="shared" ref="C62:H62" si="48">SUM(C59:C61)</f>
        <v>22.939999999999998</v>
      </c>
      <c r="D62" s="137">
        <f t="shared" si="48"/>
        <v>24.33</v>
      </c>
      <c r="E62" s="137">
        <f t="shared" si="48"/>
        <v>26.709999999999997</v>
      </c>
      <c r="F62" s="137">
        <f t="shared" si="48"/>
        <v>26.579999999999995</v>
      </c>
      <c r="G62" s="137">
        <f t="shared" si="48"/>
        <v>32.169999999999995</v>
      </c>
      <c r="H62" s="137">
        <f t="shared" si="48"/>
        <v>37.787949999999988</v>
      </c>
      <c r="I62" s="137">
        <f t="shared" ref="I62:Q62" si="49">SUM(I59:I61)</f>
        <v>43.433989749999981</v>
      </c>
      <c r="J62" s="137">
        <f t="shared" si="49"/>
        <v>49.108259698749976</v>
      </c>
      <c r="K62" s="137">
        <f t="shared" si="49"/>
        <v>54.810900997243721</v>
      </c>
      <c r="L62" s="137">
        <f t="shared" si="49"/>
        <v>60.542055502229928</v>
      </c>
      <c r="M62" s="137">
        <f t="shared" si="49"/>
        <v>66.301865779741078</v>
      </c>
      <c r="N62" s="137">
        <f t="shared" si="49"/>
        <v>72.090475108639779</v>
      </c>
      <c r="O62" s="137">
        <f t="shared" si="49"/>
        <v>77.908027484182981</v>
      </c>
      <c r="P62" s="137">
        <f t="shared" si="49"/>
        <v>83.754667621603886</v>
      </c>
      <c r="Q62" s="138">
        <f t="shared" si="49"/>
        <v>89.630540959711908</v>
      </c>
    </row>
    <row r="63" spans="2:17" x14ac:dyDescent="0.25">
      <c r="B63" s="59" t="s">
        <v>73</v>
      </c>
      <c r="C63" s="135">
        <v>15.35</v>
      </c>
      <c r="D63" s="135">
        <f>SUM(C63:C65)</f>
        <v>16.560000000000002</v>
      </c>
      <c r="E63" s="135">
        <f>SUM(D63:D65)</f>
        <v>16.770000000000003</v>
      </c>
      <c r="F63" s="135">
        <f>SUM(E63:E65)</f>
        <v>19.220000000000002</v>
      </c>
      <c r="G63" s="135">
        <f>SUM(F63:F65)</f>
        <v>18.700000000000003</v>
      </c>
      <c r="H63" s="136">
        <f>SUM(G63:G65)</f>
        <v>20.640000000000004</v>
      </c>
      <c r="I63" s="136">
        <f t="shared" ref="I63:Q63" si="50">SUM(H63:H65)</f>
        <v>22.589700000000001</v>
      </c>
      <c r="J63" s="136">
        <f t="shared" si="50"/>
        <v>24.549148499999998</v>
      </c>
      <c r="K63" s="136">
        <f t="shared" si="50"/>
        <v>26.518394242499994</v>
      </c>
      <c r="L63" s="136">
        <f t="shared" si="50"/>
        <v>28.497486213712492</v>
      </c>
      <c r="M63" s="136">
        <f t="shared" si="50"/>
        <v>30.486473644781054</v>
      </c>
      <c r="N63" s="136">
        <f t="shared" si="50"/>
        <v>32.485406013004955</v>
      </c>
      <c r="O63" s="136">
        <f t="shared" si="50"/>
        <v>34.494333043069979</v>
      </c>
      <c r="P63" s="136">
        <f t="shared" si="50"/>
        <v>36.513304708285325</v>
      </c>
      <c r="Q63" s="145">
        <f t="shared" si="50"/>
        <v>38.542371231826749</v>
      </c>
    </row>
    <row r="64" spans="2:17" x14ac:dyDescent="0.25">
      <c r="B64" s="61" t="s">
        <v>74</v>
      </c>
      <c r="C64" s="135">
        <v>3.25</v>
      </c>
      <c r="D64" s="135">
        <v>2.93</v>
      </c>
      <c r="E64" s="135">
        <v>3.2</v>
      </c>
      <c r="F64" s="135">
        <v>3.62</v>
      </c>
      <c r="G64" s="135">
        <v>4.49</v>
      </c>
      <c r="H64" s="136">
        <f t="shared" ref="H64:Q64" si="51">G64*(1+0.5%)</f>
        <v>4.5124499999999994</v>
      </c>
      <c r="I64" s="136">
        <f t="shared" si="51"/>
        <v>4.5350122499999985</v>
      </c>
      <c r="J64" s="136">
        <f t="shared" si="51"/>
        <v>4.5576873112499978</v>
      </c>
      <c r="K64" s="136">
        <f t="shared" si="51"/>
        <v>4.580475747806247</v>
      </c>
      <c r="L64" s="136">
        <f t="shared" si="51"/>
        <v>4.6033781265452776</v>
      </c>
      <c r="M64" s="136">
        <f t="shared" si="51"/>
        <v>4.6263950171780035</v>
      </c>
      <c r="N64" s="136">
        <f t="shared" si="51"/>
        <v>4.6495269922638931</v>
      </c>
      <c r="O64" s="136">
        <f t="shared" si="51"/>
        <v>4.6727746272252118</v>
      </c>
      <c r="P64" s="136">
        <f t="shared" si="51"/>
        <v>4.6961385003613376</v>
      </c>
      <c r="Q64" s="145">
        <f t="shared" si="51"/>
        <v>4.7196191928631439</v>
      </c>
    </row>
    <row r="65" spans="2:17" x14ac:dyDescent="0.25">
      <c r="B65" s="59" t="s">
        <v>70</v>
      </c>
      <c r="C65" s="135">
        <v>-2.04</v>
      </c>
      <c r="D65" s="135">
        <v>-2.72</v>
      </c>
      <c r="E65" s="135">
        <v>-0.75</v>
      </c>
      <c r="F65" s="135">
        <v>-4.1399999999999997</v>
      </c>
      <c r="G65" s="135">
        <v>-2.5499999999999998</v>
      </c>
      <c r="H65" s="136">
        <f t="shared" ref="H65:Q65" si="52">G65*(1+0.5%)</f>
        <v>-2.5627499999999994</v>
      </c>
      <c r="I65" s="136">
        <f t="shared" si="52"/>
        <v>-2.5755637499999993</v>
      </c>
      <c r="J65" s="136">
        <f t="shared" si="52"/>
        <v>-2.5884415687499991</v>
      </c>
      <c r="K65" s="136">
        <f t="shared" si="52"/>
        <v>-2.6013837765937486</v>
      </c>
      <c r="L65" s="136">
        <f t="shared" si="52"/>
        <v>-2.6143906954767173</v>
      </c>
      <c r="M65" s="136">
        <f t="shared" si="52"/>
        <v>-2.6274626489541006</v>
      </c>
      <c r="N65" s="136">
        <f t="shared" si="52"/>
        <v>-2.6405999621988707</v>
      </c>
      <c r="O65" s="136">
        <f t="shared" si="52"/>
        <v>-2.6538029620098649</v>
      </c>
      <c r="P65" s="136">
        <f t="shared" si="52"/>
        <v>-2.6670719768199138</v>
      </c>
      <c r="Q65" s="145">
        <f t="shared" si="52"/>
        <v>-2.6804073367040129</v>
      </c>
    </row>
    <row r="66" spans="2:17" x14ac:dyDescent="0.25">
      <c r="B66" s="76" t="s">
        <v>75</v>
      </c>
      <c r="C66" s="137">
        <f t="shared" ref="C66:H66" si="53">C62-SUM(C63:C65)</f>
        <v>6.3799999999999955</v>
      </c>
      <c r="D66" s="137">
        <f t="shared" si="53"/>
        <v>7.5599999999999952</v>
      </c>
      <c r="E66" s="137">
        <f t="shared" si="53"/>
        <v>7.4899999999999949</v>
      </c>
      <c r="F66" s="137">
        <f t="shared" si="53"/>
        <v>7.8799999999999919</v>
      </c>
      <c r="G66" s="137">
        <f t="shared" si="53"/>
        <v>11.52999999999999</v>
      </c>
      <c r="H66" s="137">
        <f t="shared" si="53"/>
        <v>15.198249999999987</v>
      </c>
      <c r="I66" s="137">
        <f t="shared" ref="I66:Q66" si="54">I62-SUM(I63:I65)</f>
        <v>18.884841249999983</v>
      </c>
      <c r="J66" s="137">
        <f t="shared" si="54"/>
        <v>22.589865456249981</v>
      </c>
      <c r="K66" s="137">
        <f t="shared" si="54"/>
        <v>26.313414783531229</v>
      </c>
      <c r="L66" s="137">
        <f t="shared" si="54"/>
        <v>30.055581857448875</v>
      </c>
      <c r="M66" s="137">
        <f t="shared" si="54"/>
        <v>33.816459766736124</v>
      </c>
      <c r="N66" s="137">
        <f t="shared" si="54"/>
        <v>37.596142065569801</v>
      </c>
      <c r="O66" s="137">
        <f t="shared" si="54"/>
        <v>41.394722775897655</v>
      </c>
      <c r="P66" s="137">
        <f t="shared" si="54"/>
        <v>45.212296389777137</v>
      </c>
      <c r="Q66" s="138">
        <f t="shared" si="54"/>
        <v>49.048957871726031</v>
      </c>
    </row>
    <row r="67" spans="2:17" x14ac:dyDescent="0.25">
      <c r="B67" s="59"/>
      <c r="C67" s="135"/>
      <c r="D67" s="135"/>
      <c r="E67" s="135"/>
      <c r="F67" s="135"/>
      <c r="G67" s="135"/>
      <c r="H67" s="136"/>
      <c r="I67" s="136"/>
      <c r="J67" s="136"/>
      <c r="K67" s="136"/>
      <c r="L67" s="136"/>
      <c r="M67" s="136"/>
      <c r="N67" s="136"/>
      <c r="O67" s="136"/>
      <c r="P67" s="136"/>
      <c r="Q67" s="145"/>
    </row>
    <row r="68" spans="2:17" x14ac:dyDescent="0.25">
      <c r="B68" s="64" t="s">
        <v>279</v>
      </c>
      <c r="C68" s="135"/>
      <c r="D68" s="135"/>
      <c r="E68" s="135"/>
      <c r="F68" s="135"/>
      <c r="G68" s="135"/>
      <c r="H68" s="136"/>
      <c r="I68" s="136"/>
      <c r="J68" s="136"/>
      <c r="K68" s="136"/>
      <c r="L68" s="136"/>
      <c r="M68" s="136"/>
      <c r="N68" s="136"/>
      <c r="O68" s="136"/>
      <c r="P68" s="136"/>
      <c r="Q68" s="145"/>
    </row>
    <row r="69" spans="2:17" x14ac:dyDescent="0.25">
      <c r="B69" s="59" t="s">
        <v>68</v>
      </c>
      <c r="C69" s="135">
        <v>19.899999999999999</v>
      </c>
      <c r="D69" s="135">
        <f>C72</f>
        <v>20.98</v>
      </c>
      <c r="E69" s="135">
        <f>D72</f>
        <v>17.86</v>
      </c>
      <c r="F69" s="135">
        <f>E72</f>
        <v>24.15</v>
      </c>
      <c r="G69" s="135">
        <f>F72</f>
        <v>25.519999999999996</v>
      </c>
      <c r="H69" s="136">
        <f>G72</f>
        <v>26.74</v>
      </c>
      <c r="I69" s="136">
        <f t="shared" ref="I69:Q69" si="55">H72</f>
        <v>27.966099999999997</v>
      </c>
      <c r="J69" s="136">
        <f t="shared" si="55"/>
        <v>29.198330499999994</v>
      </c>
      <c r="K69" s="136">
        <f t="shared" si="55"/>
        <v>30.436722152499989</v>
      </c>
      <c r="L69" s="136">
        <f t="shared" si="55"/>
        <v>31.681305763262483</v>
      </c>
      <c r="M69" s="136">
        <f t="shared" si="55"/>
        <v>32.932112292078791</v>
      </c>
      <c r="N69" s="136">
        <f t="shared" si="55"/>
        <v>34.189172853539183</v>
      </c>
      <c r="O69" s="136">
        <f t="shared" si="55"/>
        <v>35.452518717806875</v>
      </c>
      <c r="P69" s="136">
        <f t="shared" si="55"/>
        <v>36.722181311395907</v>
      </c>
      <c r="Q69" s="145">
        <f t="shared" si="55"/>
        <v>37.998192217952877</v>
      </c>
    </row>
    <row r="70" spans="2:17" x14ac:dyDescent="0.25">
      <c r="B70" s="59" t="s">
        <v>69</v>
      </c>
      <c r="C70" s="135">
        <v>3.3</v>
      </c>
      <c r="D70" s="135">
        <v>5.12</v>
      </c>
      <c r="E70" s="135">
        <v>7.16</v>
      </c>
      <c r="F70" s="135">
        <v>7.76</v>
      </c>
      <c r="G70" s="135">
        <v>7.95</v>
      </c>
      <c r="H70" s="136">
        <f>G70*(1+0.5%)</f>
        <v>7.989749999999999</v>
      </c>
      <c r="I70" s="136">
        <f t="shared" ref="I70:Q70" si="56">H70*(1+0.5%)</f>
        <v>8.0296987499999979</v>
      </c>
      <c r="J70" s="136">
        <f t="shared" si="56"/>
        <v>8.0698472437499973</v>
      </c>
      <c r="K70" s="136">
        <f t="shared" si="56"/>
        <v>8.1101964799687458</v>
      </c>
      <c r="L70" s="136">
        <f t="shared" si="56"/>
        <v>8.1507474623685887</v>
      </c>
      <c r="M70" s="136">
        <f t="shared" si="56"/>
        <v>8.191501199680431</v>
      </c>
      <c r="N70" s="136">
        <f t="shared" si="56"/>
        <v>8.2324587056788321</v>
      </c>
      <c r="O70" s="136">
        <f t="shared" si="56"/>
        <v>8.2736209992072247</v>
      </c>
      <c r="P70" s="136">
        <f t="shared" si="56"/>
        <v>8.31498910420326</v>
      </c>
      <c r="Q70" s="145">
        <f t="shared" si="56"/>
        <v>8.356564049724275</v>
      </c>
    </row>
    <row r="71" spans="2:17" x14ac:dyDescent="0.25">
      <c r="B71" s="59" t="s">
        <v>70</v>
      </c>
      <c r="C71" s="135">
        <v>-2.2200000000000002</v>
      </c>
      <c r="D71" s="135">
        <v>-8.24</v>
      </c>
      <c r="E71" s="135">
        <v>-0.87</v>
      </c>
      <c r="F71" s="135">
        <v>-6.39</v>
      </c>
      <c r="G71" s="135">
        <v>-6.73</v>
      </c>
      <c r="H71" s="136">
        <f>G71*(1+0.5%)</f>
        <v>-6.7636499999999993</v>
      </c>
      <c r="I71" s="136">
        <f t="shared" ref="I71:Q71" si="57">H71*(1+0.5%)</f>
        <v>-6.7974682499999988</v>
      </c>
      <c r="J71" s="136">
        <f t="shared" si="57"/>
        <v>-6.8314555912499983</v>
      </c>
      <c r="K71" s="136">
        <f t="shared" si="57"/>
        <v>-6.8656128692062479</v>
      </c>
      <c r="L71" s="136">
        <f t="shared" si="57"/>
        <v>-6.8999409335522781</v>
      </c>
      <c r="M71" s="136">
        <f t="shared" si="57"/>
        <v>-6.934440638220039</v>
      </c>
      <c r="N71" s="136">
        <f t="shared" si="57"/>
        <v>-6.9691128414111381</v>
      </c>
      <c r="O71" s="136">
        <f t="shared" si="57"/>
        <v>-7.0039584056181932</v>
      </c>
      <c r="P71" s="136">
        <f t="shared" si="57"/>
        <v>-7.0389781976462835</v>
      </c>
      <c r="Q71" s="145">
        <f t="shared" si="57"/>
        <v>-7.074173088634514</v>
      </c>
    </row>
    <row r="72" spans="2:17" x14ac:dyDescent="0.25">
      <c r="B72" s="76" t="s">
        <v>71</v>
      </c>
      <c r="C72" s="137">
        <f t="shared" ref="C72:H72" si="58">SUM(C69:C71)</f>
        <v>20.98</v>
      </c>
      <c r="D72" s="137">
        <f t="shared" si="58"/>
        <v>17.86</v>
      </c>
      <c r="E72" s="137">
        <f t="shared" si="58"/>
        <v>24.15</v>
      </c>
      <c r="F72" s="137">
        <f t="shared" si="58"/>
        <v>25.519999999999996</v>
      </c>
      <c r="G72" s="137">
        <f t="shared" si="58"/>
        <v>26.74</v>
      </c>
      <c r="H72" s="137">
        <f t="shared" si="58"/>
        <v>27.966099999999997</v>
      </c>
      <c r="I72" s="137">
        <f t="shared" ref="I72:Q72" si="59">SUM(I69:I71)</f>
        <v>29.198330499999994</v>
      </c>
      <c r="J72" s="137">
        <f t="shared" si="59"/>
        <v>30.436722152499989</v>
      </c>
      <c r="K72" s="137">
        <f t="shared" si="59"/>
        <v>31.681305763262483</v>
      </c>
      <c r="L72" s="137">
        <f t="shared" si="59"/>
        <v>32.932112292078791</v>
      </c>
      <c r="M72" s="137">
        <f t="shared" si="59"/>
        <v>34.189172853539183</v>
      </c>
      <c r="N72" s="137">
        <f t="shared" si="59"/>
        <v>35.452518717806875</v>
      </c>
      <c r="O72" s="137">
        <f t="shared" si="59"/>
        <v>36.722181311395907</v>
      </c>
      <c r="P72" s="137">
        <f t="shared" si="59"/>
        <v>37.998192217952877</v>
      </c>
      <c r="Q72" s="138">
        <f t="shared" si="59"/>
        <v>39.280583179042637</v>
      </c>
    </row>
    <row r="73" spans="2:17" x14ac:dyDescent="0.25">
      <c r="B73" s="59" t="s">
        <v>73</v>
      </c>
      <c r="C73" s="135">
        <v>11.34</v>
      </c>
      <c r="D73" s="135">
        <f>SUM(C73:C75)</f>
        <v>12.91</v>
      </c>
      <c r="E73" s="135">
        <f>SUM(D73:D75)</f>
        <v>10.210000000000001</v>
      </c>
      <c r="F73" s="135">
        <f>SUM(E73:E75)</f>
        <v>12.32</v>
      </c>
      <c r="G73" s="135">
        <f>SUM(F73:F75)</f>
        <v>12.08</v>
      </c>
      <c r="H73" s="136">
        <f>SUM(G73:G75)</f>
        <v>12.180000000000001</v>
      </c>
      <c r="I73" s="136">
        <f t="shared" ref="I73:Q73" si="60">SUM(H73:H75)</f>
        <v>12.280500000000002</v>
      </c>
      <c r="J73" s="136">
        <f t="shared" si="60"/>
        <v>12.3815025</v>
      </c>
      <c r="K73" s="136">
        <f t="shared" si="60"/>
        <v>12.483010012499999</v>
      </c>
      <c r="L73" s="136">
        <f t="shared" si="60"/>
        <v>12.585025062562497</v>
      </c>
      <c r="M73" s="136">
        <f t="shared" si="60"/>
        <v>12.68755018787531</v>
      </c>
      <c r="N73" s="136">
        <f t="shared" si="60"/>
        <v>12.790587938814687</v>
      </c>
      <c r="O73" s="136">
        <f t="shared" si="60"/>
        <v>12.894140878508759</v>
      </c>
      <c r="P73" s="136">
        <f t="shared" si="60"/>
        <v>12.998211582901302</v>
      </c>
      <c r="Q73" s="145">
        <f t="shared" si="60"/>
        <v>13.102802640815808</v>
      </c>
    </row>
    <row r="74" spans="2:17" x14ac:dyDescent="0.25">
      <c r="B74" s="61" t="s">
        <v>74</v>
      </c>
      <c r="C74" s="135">
        <v>2.78</v>
      </c>
      <c r="D74" s="135">
        <v>2.5</v>
      </c>
      <c r="E74" s="135">
        <v>2.52</v>
      </c>
      <c r="F74" s="135">
        <v>3.51</v>
      </c>
      <c r="G74" s="135">
        <v>3.7</v>
      </c>
      <c r="H74" s="136">
        <f t="shared" ref="H74:Q74" si="61">G74*(1+0.5%)</f>
        <v>3.7184999999999997</v>
      </c>
      <c r="I74" s="136">
        <f t="shared" si="61"/>
        <v>3.7370924999999993</v>
      </c>
      <c r="J74" s="136">
        <f t="shared" si="61"/>
        <v>3.755777962499999</v>
      </c>
      <c r="K74" s="136">
        <f t="shared" si="61"/>
        <v>3.7745568523124984</v>
      </c>
      <c r="L74" s="136">
        <f t="shared" si="61"/>
        <v>3.7934296365740603</v>
      </c>
      <c r="M74" s="136">
        <f t="shared" si="61"/>
        <v>3.8123967847569302</v>
      </c>
      <c r="N74" s="136">
        <f t="shared" si="61"/>
        <v>3.8314587686807147</v>
      </c>
      <c r="O74" s="136">
        <f t="shared" si="61"/>
        <v>3.8506160625241179</v>
      </c>
      <c r="P74" s="136">
        <f t="shared" si="61"/>
        <v>3.869869142836738</v>
      </c>
      <c r="Q74" s="145">
        <f t="shared" si="61"/>
        <v>3.8892184885509211</v>
      </c>
    </row>
    <row r="75" spans="2:17" x14ac:dyDescent="0.25">
      <c r="B75" s="59" t="s">
        <v>70</v>
      </c>
      <c r="C75" s="135">
        <v>-1.21</v>
      </c>
      <c r="D75" s="135">
        <v>-5.2</v>
      </c>
      <c r="E75" s="135">
        <v>-0.41</v>
      </c>
      <c r="F75" s="135">
        <v>-3.75</v>
      </c>
      <c r="G75" s="135">
        <v>-3.6</v>
      </c>
      <c r="H75" s="136">
        <f t="shared" ref="H75:Q75" si="62">G75*(1+0.5%)</f>
        <v>-3.6179999999999999</v>
      </c>
      <c r="I75" s="136">
        <f t="shared" si="62"/>
        <v>-3.6360899999999994</v>
      </c>
      <c r="J75" s="136">
        <f t="shared" si="62"/>
        <v>-3.6542704499999989</v>
      </c>
      <c r="K75" s="136">
        <f t="shared" si="62"/>
        <v>-3.6725418022499987</v>
      </c>
      <c r="L75" s="136">
        <f t="shared" si="62"/>
        <v>-3.6909045112612482</v>
      </c>
      <c r="M75" s="136">
        <f t="shared" si="62"/>
        <v>-3.7093590338175542</v>
      </c>
      <c r="N75" s="136">
        <f t="shared" si="62"/>
        <v>-3.7279058289866414</v>
      </c>
      <c r="O75" s="136">
        <f t="shared" si="62"/>
        <v>-3.746545358131574</v>
      </c>
      <c r="P75" s="136">
        <f t="shared" si="62"/>
        <v>-3.7652780849222314</v>
      </c>
      <c r="Q75" s="145">
        <f t="shared" si="62"/>
        <v>-3.784104475346842</v>
      </c>
    </row>
    <row r="76" spans="2:17" x14ac:dyDescent="0.25">
      <c r="B76" s="76" t="s">
        <v>75</v>
      </c>
      <c r="C76" s="137">
        <f t="shared" ref="C76:H76" si="63">C72-SUM(C73:C75)</f>
        <v>8.07</v>
      </c>
      <c r="D76" s="137">
        <f t="shared" si="63"/>
        <v>7.6499999999999986</v>
      </c>
      <c r="E76" s="137">
        <f t="shared" si="63"/>
        <v>11.829999999999998</v>
      </c>
      <c r="F76" s="137">
        <f t="shared" si="63"/>
        <v>13.439999999999996</v>
      </c>
      <c r="G76" s="137">
        <f t="shared" si="63"/>
        <v>14.559999999999997</v>
      </c>
      <c r="H76" s="137">
        <f t="shared" si="63"/>
        <v>15.685599999999996</v>
      </c>
      <c r="I76" s="137">
        <f t="shared" ref="I76:Q76" si="64">I72-SUM(I73:I75)</f>
        <v>16.816827999999994</v>
      </c>
      <c r="J76" s="137">
        <f t="shared" si="64"/>
        <v>17.95371213999999</v>
      </c>
      <c r="K76" s="137">
        <f t="shared" si="64"/>
        <v>19.096280700699985</v>
      </c>
      <c r="L76" s="137">
        <f t="shared" si="64"/>
        <v>20.244562104203482</v>
      </c>
      <c r="M76" s="137">
        <f t="shared" si="64"/>
        <v>21.398584914724495</v>
      </c>
      <c r="N76" s="137">
        <f t="shared" si="64"/>
        <v>22.558377839298117</v>
      </c>
      <c r="O76" s="137">
        <f t="shared" si="64"/>
        <v>23.723969728494605</v>
      </c>
      <c r="P76" s="137">
        <f t="shared" si="64"/>
        <v>24.895389577137067</v>
      </c>
      <c r="Q76" s="138">
        <f t="shared" si="64"/>
        <v>26.072666525022747</v>
      </c>
    </row>
    <row r="77" spans="2:17" x14ac:dyDescent="0.25">
      <c r="B77" s="59"/>
      <c r="C77" s="135"/>
      <c r="D77" s="135"/>
      <c r="E77" s="135"/>
      <c r="F77" s="135"/>
      <c r="G77" s="135"/>
      <c r="H77" s="136"/>
      <c r="I77" s="136"/>
      <c r="J77" s="136"/>
      <c r="K77" s="136"/>
      <c r="L77" s="136"/>
      <c r="M77" s="136"/>
      <c r="N77" s="136"/>
      <c r="O77" s="136"/>
      <c r="P77" s="136"/>
      <c r="Q77" s="145"/>
    </row>
    <row r="78" spans="2:17" x14ac:dyDescent="0.25">
      <c r="B78" s="64" t="s">
        <v>78</v>
      </c>
      <c r="C78" s="135"/>
      <c r="D78" s="135"/>
      <c r="E78" s="135"/>
      <c r="F78" s="135"/>
      <c r="G78" s="135"/>
      <c r="H78" s="136"/>
      <c r="I78" s="136"/>
      <c r="J78" s="136"/>
      <c r="K78" s="136"/>
      <c r="L78" s="136"/>
      <c r="M78" s="136"/>
      <c r="N78" s="136"/>
      <c r="O78" s="136"/>
      <c r="P78" s="136"/>
      <c r="Q78" s="145"/>
    </row>
    <row r="79" spans="2:17" x14ac:dyDescent="0.25">
      <c r="B79" s="59" t="s">
        <v>68</v>
      </c>
      <c r="C79" s="135">
        <v>0.4</v>
      </c>
      <c r="D79" s="135">
        <f>C82</f>
        <v>0.4</v>
      </c>
      <c r="E79" s="135">
        <f>D82</f>
        <v>0.4</v>
      </c>
      <c r="F79" s="135">
        <f>E82</f>
        <v>0.4</v>
      </c>
      <c r="G79" s="135">
        <f>F82</f>
        <v>0.54</v>
      </c>
      <c r="H79" s="136">
        <f>G82</f>
        <v>0.71</v>
      </c>
      <c r="I79" s="136">
        <f t="shared" ref="I79:Q79" si="65">H82</f>
        <v>0.88084999999999991</v>
      </c>
      <c r="J79" s="136">
        <f t="shared" si="65"/>
        <v>1.0525542499999998</v>
      </c>
      <c r="K79" s="136">
        <f t="shared" si="65"/>
        <v>1.2251170212499995</v>
      </c>
      <c r="L79" s="136">
        <f t="shared" si="65"/>
        <v>1.3985426063562494</v>
      </c>
      <c r="M79" s="136">
        <f t="shared" si="65"/>
        <v>1.5728353193880305</v>
      </c>
      <c r="N79" s="136">
        <f t="shared" si="65"/>
        <v>1.7479994959849705</v>
      </c>
      <c r="O79" s="136">
        <f t="shared" si="65"/>
        <v>1.9240394934648952</v>
      </c>
      <c r="P79" s="136">
        <f t="shared" si="65"/>
        <v>2.1009596909322195</v>
      </c>
      <c r="Q79" s="145">
        <f t="shared" si="65"/>
        <v>2.2787644893868801</v>
      </c>
    </row>
    <row r="80" spans="2:17" x14ac:dyDescent="0.25">
      <c r="B80" s="59" t="s">
        <v>69</v>
      </c>
      <c r="C80" s="135">
        <v>0</v>
      </c>
      <c r="D80" s="135">
        <v>0</v>
      </c>
      <c r="E80" s="135">
        <v>0</v>
      </c>
      <c r="F80" s="135">
        <v>0.14000000000000001</v>
      </c>
      <c r="G80" s="135">
        <v>0.18</v>
      </c>
      <c r="H80" s="136">
        <f>G80*(1+0.5%)</f>
        <v>0.18089999999999998</v>
      </c>
      <c r="I80" s="136">
        <f t="shared" ref="I80:Q80" si="66">H80*(1+0.5%)</f>
        <v>0.18180449999999995</v>
      </c>
      <c r="J80" s="136">
        <f t="shared" si="66"/>
        <v>0.18271352249999992</v>
      </c>
      <c r="K80" s="136">
        <f t="shared" si="66"/>
        <v>0.18362709011249989</v>
      </c>
      <c r="L80" s="136">
        <f t="shared" si="66"/>
        <v>0.18454522556306238</v>
      </c>
      <c r="M80" s="136">
        <f t="shared" si="66"/>
        <v>0.18546795169087768</v>
      </c>
      <c r="N80" s="136">
        <f t="shared" si="66"/>
        <v>0.18639529144933206</v>
      </c>
      <c r="O80" s="136">
        <f t="shared" si="66"/>
        <v>0.18732726790657869</v>
      </c>
      <c r="P80" s="136">
        <f t="shared" si="66"/>
        <v>0.18826390424611156</v>
      </c>
      <c r="Q80" s="145">
        <f t="shared" si="66"/>
        <v>0.18920522376734208</v>
      </c>
    </row>
    <row r="81" spans="2:17" x14ac:dyDescent="0.25">
      <c r="B81" s="59" t="s">
        <v>70</v>
      </c>
      <c r="C81" s="135">
        <v>0</v>
      </c>
      <c r="D81" s="135">
        <v>0</v>
      </c>
      <c r="E81" s="135">
        <v>0</v>
      </c>
      <c r="F81" s="135"/>
      <c r="G81" s="135">
        <v>-0.01</v>
      </c>
      <c r="H81" s="136">
        <f>G81*(1+0.5%)</f>
        <v>-1.005E-2</v>
      </c>
      <c r="I81" s="136">
        <f t="shared" ref="I81:Q81" si="67">H81*(1+0.5%)</f>
        <v>-1.0100249999999998E-2</v>
      </c>
      <c r="J81" s="136">
        <f t="shared" si="67"/>
        <v>-1.0150751249999998E-2</v>
      </c>
      <c r="K81" s="136">
        <f t="shared" si="67"/>
        <v>-1.0201505006249997E-2</v>
      </c>
      <c r="L81" s="136">
        <f t="shared" si="67"/>
        <v>-1.0252512531281245E-2</v>
      </c>
      <c r="M81" s="136">
        <f t="shared" si="67"/>
        <v>-1.030377509393765E-2</v>
      </c>
      <c r="N81" s="136">
        <f t="shared" si="67"/>
        <v>-1.0355293969407337E-2</v>
      </c>
      <c r="O81" s="136">
        <f t="shared" si="67"/>
        <v>-1.0407070439254373E-2</v>
      </c>
      <c r="P81" s="136">
        <f t="shared" si="67"/>
        <v>-1.0459105791450644E-2</v>
      </c>
      <c r="Q81" s="145">
        <f t="shared" si="67"/>
        <v>-1.0511401320407896E-2</v>
      </c>
    </row>
    <row r="82" spans="2:17" x14ac:dyDescent="0.25">
      <c r="B82" s="76" t="s">
        <v>71</v>
      </c>
      <c r="C82" s="137">
        <f t="shared" ref="C82:H82" si="68">SUM(C79:C81)</f>
        <v>0.4</v>
      </c>
      <c r="D82" s="137">
        <f t="shared" si="68"/>
        <v>0.4</v>
      </c>
      <c r="E82" s="137">
        <f t="shared" si="68"/>
        <v>0.4</v>
      </c>
      <c r="F82" s="137">
        <f t="shared" si="68"/>
        <v>0.54</v>
      </c>
      <c r="G82" s="137">
        <f t="shared" si="68"/>
        <v>0.71</v>
      </c>
      <c r="H82" s="137">
        <f t="shared" si="68"/>
        <v>0.88084999999999991</v>
      </c>
      <c r="I82" s="137">
        <f t="shared" ref="I82:Q82" si="69">SUM(I79:I81)</f>
        <v>1.0525542499999998</v>
      </c>
      <c r="J82" s="137">
        <f t="shared" si="69"/>
        <v>1.2251170212499995</v>
      </c>
      <c r="K82" s="137">
        <f t="shared" si="69"/>
        <v>1.3985426063562494</v>
      </c>
      <c r="L82" s="137">
        <f t="shared" si="69"/>
        <v>1.5728353193880305</v>
      </c>
      <c r="M82" s="137">
        <f t="shared" si="69"/>
        <v>1.7479994959849705</v>
      </c>
      <c r="N82" s="137">
        <f t="shared" si="69"/>
        <v>1.9240394934648952</v>
      </c>
      <c r="O82" s="137">
        <f t="shared" si="69"/>
        <v>2.1009596909322195</v>
      </c>
      <c r="P82" s="137">
        <f t="shared" si="69"/>
        <v>2.2787644893868801</v>
      </c>
      <c r="Q82" s="138">
        <f t="shared" si="69"/>
        <v>2.4574583118338147</v>
      </c>
    </row>
    <row r="83" spans="2:17" x14ac:dyDescent="0.25">
      <c r="B83" s="59" t="s">
        <v>73</v>
      </c>
      <c r="C83" s="135">
        <v>0.3</v>
      </c>
      <c r="D83" s="135">
        <f>SUM(C83:C85)</f>
        <v>0.32</v>
      </c>
      <c r="E83" s="135">
        <f>SUM(D83:D85)</f>
        <v>0.34</v>
      </c>
      <c r="F83" s="135">
        <f>SUM(E83:E85)</f>
        <v>0.37</v>
      </c>
      <c r="G83" s="135">
        <f>SUM(F83:F85)</f>
        <v>0.38</v>
      </c>
      <c r="H83" s="136">
        <f>SUM(G83:G85)</f>
        <v>0.42</v>
      </c>
      <c r="I83" s="136">
        <f t="shared" ref="I83:Q83" si="70">SUM(H83:H85)</f>
        <v>0.4602</v>
      </c>
      <c r="J83" s="136">
        <f t="shared" si="70"/>
        <v>0.50060099999999996</v>
      </c>
      <c r="K83" s="136">
        <f t="shared" si="70"/>
        <v>0.54120400499999999</v>
      </c>
      <c r="L83" s="136">
        <f t="shared" si="70"/>
        <v>0.58201002502499999</v>
      </c>
      <c r="M83" s="136">
        <f t="shared" si="70"/>
        <v>0.62302007515012492</v>
      </c>
      <c r="N83" s="136">
        <f t="shared" si="70"/>
        <v>0.66423517552587552</v>
      </c>
      <c r="O83" s="136">
        <f t="shared" si="70"/>
        <v>0.70565635140350491</v>
      </c>
      <c r="P83" s="136">
        <f t="shared" si="70"/>
        <v>0.7472846331605224</v>
      </c>
      <c r="Q83" s="145">
        <f t="shared" si="70"/>
        <v>0.78912105632632501</v>
      </c>
    </row>
    <row r="84" spans="2:17" x14ac:dyDescent="0.25">
      <c r="B84" s="61" t="s">
        <v>74</v>
      </c>
      <c r="C84" s="135">
        <v>0.02</v>
      </c>
      <c r="D84" s="135">
        <v>0.02</v>
      </c>
      <c r="E84" s="135">
        <v>0.03</v>
      </c>
      <c r="F84" s="135">
        <v>0.02</v>
      </c>
      <c r="G84" s="135">
        <v>0.04</v>
      </c>
      <c r="H84" s="136">
        <f t="shared" ref="H84:Q84" si="71">G84*(1+0.5%)</f>
        <v>4.02E-2</v>
      </c>
      <c r="I84" s="136">
        <f t="shared" si="71"/>
        <v>4.0400999999999992E-2</v>
      </c>
      <c r="J84" s="136">
        <f t="shared" si="71"/>
        <v>4.0603004999999991E-2</v>
      </c>
      <c r="K84" s="136">
        <f t="shared" si="71"/>
        <v>4.0806020024999987E-2</v>
      </c>
      <c r="L84" s="136">
        <f t="shared" si="71"/>
        <v>4.1010050125124979E-2</v>
      </c>
      <c r="M84" s="136">
        <f t="shared" si="71"/>
        <v>4.1215100375750602E-2</v>
      </c>
      <c r="N84" s="136">
        <f t="shared" si="71"/>
        <v>4.1421175877629349E-2</v>
      </c>
      <c r="O84" s="136">
        <f t="shared" si="71"/>
        <v>4.1628281757017493E-2</v>
      </c>
      <c r="P84" s="136">
        <f t="shared" si="71"/>
        <v>4.1836423165802578E-2</v>
      </c>
      <c r="Q84" s="145">
        <f t="shared" si="71"/>
        <v>4.2045605281631586E-2</v>
      </c>
    </row>
    <row r="85" spans="2:17" x14ac:dyDescent="0.25">
      <c r="B85" s="59" t="s">
        <v>70</v>
      </c>
      <c r="C85" s="135">
        <v>0</v>
      </c>
      <c r="D85" s="135">
        <v>0</v>
      </c>
      <c r="E85" s="135">
        <v>0</v>
      </c>
      <c r="F85" s="135">
        <v>-0.01</v>
      </c>
      <c r="G85" s="135">
        <v>0</v>
      </c>
      <c r="H85" s="136">
        <f t="shared" ref="H85:Q85" si="72">G85*(1+0.5%)</f>
        <v>0</v>
      </c>
      <c r="I85" s="136">
        <f t="shared" si="72"/>
        <v>0</v>
      </c>
      <c r="J85" s="136">
        <f t="shared" si="72"/>
        <v>0</v>
      </c>
      <c r="K85" s="136">
        <f t="shared" si="72"/>
        <v>0</v>
      </c>
      <c r="L85" s="136">
        <f t="shared" si="72"/>
        <v>0</v>
      </c>
      <c r="M85" s="136">
        <f t="shared" si="72"/>
        <v>0</v>
      </c>
      <c r="N85" s="136">
        <f t="shared" si="72"/>
        <v>0</v>
      </c>
      <c r="O85" s="136">
        <f t="shared" si="72"/>
        <v>0</v>
      </c>
      <c r="P85" s="136">
        <f t="shared" si="72"/>
        <v>0</v>
      </c>
      <c r="Q85" s="145">
        <f t="shared" si="72"/>
        <v>0</v>
      </c>
    </row>
    <row r="86" spans="2:17" x14ac:dyDescent="0.25">
      <c r="B86" s="76" t="s">
        <v>75</v>
      </c>
      <c r="C86" s="137">
        <f t="shared" ref="C86:H86" si="73">C82-SUM(C83:C85)</f>
        <v>8.0000000000000016E-2</v>
      </c>
      <c r="D86" s="137">
        <f t="shared" si="73"/>
        <v>0.06</v>
      </c>
      <c r="E86" s="137">
        <f t="shared" si="73"/>
        <v>3.0000000000000027E-2</v>
      </c>
      <c r="F86" s="137">
        <f t="shared" si="73"/>
        <v>0.16000000000000003</v>
      </c>
      <c r="G86" s="137">
        <f t="shared" si="73"/>
        <v>0.28999999999999998</v>
      </c>
      <c r="H86" s="137">
        <f t="shared" si="73"/>
        <v>0.42064999999999991</v>
      </c>
      <c r="I86" s="137">
        <f t="shared" ref="I86:Q86" si="74">I82-SUM(I83:I85)</f>
        <v>0.55195324999999984</v>
      </c>
      <c r="J86" s="137">
        <f t="shared" si="74"/>
        <v>0.68391301624999956</v>
      </c>
      <c r="K86" s="137">
        <f t="shared" si="74"/>
        <v>0.8165325813312494</v>
      </c>
      <c r="L86" s="137">
        <f t="shared" si="74"/>
        <v>0.94981524423790553</v>
      </c>
      <c r="M86" s="137">
        <f t="shared" si="74"/>
        <v>1.083764320459095</v>
      </c>
      <c r="N86" s="137">
        <f t="shared" si="74"/>
        <v>1.2183831420613904</v>
      </c>
      <c r="O86" s="137">
        <f t="shared" si="74"/>
        <v>1.3536750577716972</v>
      </c>
      <c r="P86" s="137">
        <f t="shared" si="74"/>
        <v>1.489643433060555</v>
      </c>
      <c r="Q86" s="138">
        <f t="shared" si="74"/>
        <v>1.6262916502258582</v>
      </c>
    </row>
    <row r="87" spans="2:17" x14ac:dyDescent="0.25">
      <c r="B87" s="59"/>
      <c r="C87" s="135"/>
      <c r="D87" s="135"/>
      <c r="E87" s="135"/>
      <c r="F87" s="135"/>
      <c r="G87" s="135"/>
      <c r="H87" s="136"/>
      <c r="I87" s="136"/>
      <c r="J87" s="136"/>
      <c r="K87" s="136"/>
      <c r="L87" s="136"/>
      <c r="M87" s="136"/>
      <c r="N87" s="136"/>
      <c r="O87" s="136"/>
      <c r="P87" s="136"/>
      <c r="Q87" s="145"/>
    </row>
    <row r="88" spans="2:17" x14ac:dyDescent="0.25">
      <c r="B88" s="64" t="s">
        <v>79</v>
      </c>
      <c r="C88" s="135"/>
      <c r="D88" s="135"/>
      <c r="E88" s="135"/>
      <c r="F88" s="135"/>
      <c r="G88" s="135"/>
      <c r="H88" s="136"/>
      <c r="I88" s="136"/>
      <c r="J88" s="136"/>
      <c r="K88" s="136"/>
      <c r="L88" s="136"/>
      <c r="M88" s="136"/>
      <c r="N88" s="136"/>
      <c r="O88" s="136"/>
      <c r="P88" s="136"/>
      <c r="Q88" s="145"/>
    </row>
    <row r="89" spans="2:17" x14ac:dyDescent="0.25">
      <c r="B89" s="59" t="s">
        <v>68</v>
      </c>
      <c r="C89" s="135">
        <v>2.48</v>
      </c>
      <c r="D89" s="135">
        <f>C92</f>
        <v>2.48</v>
      </c>
      <c r="E89" s="135">
        <f>D92</f>
        <v>0</v>
      </c>
      <c r="F89" s="135">
        <f>E92</f>
        <v>0</v>
      </c>
      <c r="G89" s="135">
        <f>F92</f>
        <v>0</v>
      </c>
      <c r="H89" s="136">
        <f>G92</f>
        <v>0</v>
      </c>
      <c r="I89" s="136">
        <f t="shared" ref="I89:Q89" si="75">H92</f>
        <v>0</v>
      </c>
      <c r="J89" s="136">
        <f t="shared" si="75"/>
        <v>0</v>
      </c>
      <c r="K89" s="136">
        <f t="shared" si="75"/>
        <v>0</v>
      </c>
      <c r="L89" s="136">
        <f t="shared" si="75"/>
        <v>0</v>
      </c>
      <c r="M89" s="136">
        <f t="shared" si="75"/>
        <v>0</v>
      </c>
      <c r="N89" s="136">
        <f t="shared" si="75"/>
        <v>0</v>
      </c>
      <c r="O89" s="136">
        <f t="shared" si="75"/>
        <v>0</v>
      </c>
      <c r="P89" s="136">
        <f t="shared" si="75"/>
        <v>0</v>
      </c>
      <c r="Q89" s="145">
        <f t="shared" si="75"/>
        <v>0</v>
      </c>
    </row>
    <row r="90" spans="2:17" x14ac:dyDescent="0.25">
      <c r="B90" s="59" t="s">
        <v>69</v>
      </c>
      <c r="C90" s="135">
        <v>0</v>
      </c>
      <c r="D90" s="135">
        <v>0</v>
      </c>
      <c r="E90" s="135">
        <v>0</v>
      </c>
      <c r="F90" s="135">
        <v>0</v>
      </c>
      <c r="G90" s="135">
        <v>0</v>
      </c>
      <c r="H90" s="136">
        <f>G90*(1+0.5%)</f>
        <v>0</v>
      </c>
      <c r="I90" s="136">
        <f t="shared" ref="I90:Q90" si="76">H90*(1+0.5%)</f>
        <v>0</v>
      </c>
      <c r="J90" s="136">
        <f t="shared" si="76"/>
        <v>0</v>
      </c>
      <c r="K90" s="136">
        <f t="shared" si="76"/>
        <v>0</v>
      </c>
      <c r="L90" s="136">
        <f t="shared" si="76"/>
        <v>0</v>
      </c>
      <c r="M90" s="136">
        <f t="shared" si="76"/>
        <v>0</v>
      </c>
      <c r="N90" s="136">
        <f t="shared" si="76"/>
        <v>0</v>
      </c>
      <c r="O90" s="136">
        <f t="shared" si="76"/>
        <v>0</v>
      </c>
      <c r="P90" s="136">
        <f t="shared" si="76"/>
        <v>0</v>
      </c>
      <c r="Q90" s="145">
        <f t="shared" si="76"/>
        <v>0</v>
      </c>
    </row>
    <row r="91" spans="2:17" x14ac:dyDescent="0.25">
      <c r="B91" s="59" t="s">
        <v>70</v>
      </c>
      <c r="C91" s="135">
        <v>0</v>
      </c>
      <c r="D91" s="135">
        <v>-2.48</v>
      </c>
      <c r="E91" s="135">
        <v>0</v>
      </c>
      <c r="F91" s="135">
        <v>0</v>
      </c>
      <c r="G91" s="135"/>
      <c r="H91" s="136">
        <f>G91*(1+0.5%)</f>
        <v>0</v>
      </c>
      <c r="I91" s="136">
        <f t="shared" ref="I91:Q91" si="77">H91*(1+0.5%)</f>
        <v>0</v>
      </c>
      <c r="J91" s="136">
        <f t="shared" si="77"/>
        <v>0</v>
      </c>
      <c r="K91" s="136">
        <f t="shared" si="77"/>
        <v>0</v>
      </c>
      <c r="L91" s="136">
        <f t="shared" si="77"/>
        <v>0</v>
      </c>
      <c r="M91" s="136">
        <f t="shared" si="77"/>
        <v>0</v>
      </c>
      <c r="N91" s="136">
        <f t="shared" si="77"/>
        <v>0</v>
      </c>
      <c r="O91" s="136">
        <f t="shared" si="77"/>
        <v>0</v>
      </c>
      <c r="P91" s="136">
        <f t="shared" si="77"/>
        <v>0</v>
      </c>
      <c r="Q91" s="145">
        <f t="shared" si="77"/>
        <v>0</v>
      </c>
    </row>
    <row r="92" spans="2:17" x14ac:dyDescent="0.25">
      <c r="B92" s="76" t="s">
        <v>71</v>
      </c>
      <c r="C92" s="137">
        <f t="shared" ref="C92:H92" si="78">SUM(C89:C91)</f>
        <v>2.48</v>
      </c>
      <c r="D92" s="137">
        <f t="shared" si="78"/>
        <v>0</v>
      </c>
      <c r="E92" s="137">
        <f t="shared" si="78"/>
        <v>0</v>
      </c>
      <c r="F92" s="137">
        <f t="shared" si="78"/>
        <v>0</v>
      </c>
      <c r="G92" s="137">
        <f t="shared" si="78"/>
        <v>0</v>
      </c>
      <c r="H92" s="137">
        <f t="shared" si="78"/>
        <v>0</v>
      </c>
      <c r="I92" s="137">
        <f t="shared" ref="I92:Q92" si="79">SUM(I89:I91)</f>
        <v>0</v>
      </c>
      <c r="J92" s="137">
        <f t="shared" si="79"/>
        <v>0</v>
      </c>
      <c r="K92" s="137">
        <f t="shared" si="79"/>
        <v>0</v>
      </c>
      <c r="L92" s="137">
        <f t="shared" si="79"/>
        <v>0</v>
      </c>
      <c r="M92" s="137">
        <f t="shared" si="79"/>
        <v>0</v>
      </c>
      <c r="N92" s="137">
        <f t="shared" si="79"/>
        <v>0</v>
      </c>
      <c r="O92" s="137">
        <f t="shared" si="79"/>
        <v>0</v>
      </c>
      <c r="P92" s="137">
        <f t="shared" si="79"/>
        <v>0</v>
      </c>
      <c r="Q92" s="138">
        <f t="shared" si="79"/>
        <v>0</v>
      </c>
    </row>
    <row r="93" spans="2:17" x14ac:dyDescent="0.25">
      <c r="B93" s="59" t="s">
        <v>73</v>
      </c>
      <c r="C93" s="135">
        <v>0.9</v>
      </c>
      <c r="D93" s="135">
        <f>SUM(C93:C95)</f>
        <v>1.34</v>
      </c>
      <c r="E93" s="135">
        <f>SUM(D93:D95)</f>
        <v>0</v>
      </c>
      <c r="F93" s="135">
        <f>SUM(E93:E95)</f>
        <v>0</v>
      </c>
      <c r="G93" s="135">
        <f>SUM(F93:F95)</f>
        <v>0</v>
      </c>
      <c r="H93" s="136">
        <f>SUM(G93:G95)</f>
        <v>0</v>
      </c>
      <c r="I93" s="136">
        <f t="shared" ref="I93:Q93" si="80">SUM(H93:H95)</f>
        <v>0</v>
      </c>
      <c r="J93" s="136">
        <f t="shared" si="80"/>
        <v>0</v>
      </c>
      <c r="K93" s="136">
        <f t="shared" si="80"/>
        <v>0</v>
      </c>
      <c r="L93" s="136">
        <f t="shared" si="80"/>
        <v>0</v>
      </c>
      <c r="M93" s="136">
        <f t="shared" si="80"/>
        <v>0</v>
      </c>
      <c r="N93" s="136">
        <f t="shared" si="80"/>
        <v>0</v>
      </c>
      <c r="O93" s="136">
        <f t="shared" si="80"/>
        <v>0</v>
      </c>
      <c r="P93" s="136">
        <f t="shared" si="80"/>
        <v>0</v>
      </c>
      <c r="Q93" s="145">
        <f t="shared" si="80"/>
        <v>0</v>
      </c>
    </row>
    <row r="94" spans="2:17" x14ac:dyDescent="0.25">
      <c r="B94" s="61" t="s">
        <v>74</v>
      </c>
      <c r="C94" s="135">
        <v>0.44</v>
      </c>
      <c r="D94" s="135">
        <v>0.36</v>
      </c>
      <c r="E94" s="135">
        <v>0</v>
      </c>
      <c r="F94" s="135">
        <v>0</v>
      </c>
      <c r="G94" s="135">
        <v>0</v>
      </c>
      <c r="H94" s="136">
        <f t="shared" ref="H94:Q94" si="81">G94*(1+0.5%)</f>
        <v>0</v>
      </c>
      <c r="I94" s="136">
        <f t="shared" si="81"/>
        <v>0</v>
      </c>
      <c r="J94" s="136">
        <f t="shared" si="81"/>
        <v>0</v>
      </c>
      <c r="K94" s="136">
        <f t="shared" si="81"/>
        <v>0</v>
      </c>
      <c r="L94" s="136">
        <f t="shared" si="81"/>
        <v>0</v>
      </c>
      <c r="M94" s="136">
        <f t="shared" si="81"/>
        <v>0</v>
      </c>
      <c r="N94" s="136">
        <f t="shared" si="81"/>
        <v>0</v>
      </c>
      <c r="O94" s="136">
        <f t="shared" si="81"/>
        <v>0</v>
      </c>
      <c r="P94" s="136">
        <f t="shared" si="81"/>
        <v>0</v>
      </c>
      <c r="Q94" s="145">
        <f t="shared" si="81"/>
        <v>0</v>
      </c>
    </row>
    <row r="95" spans="2:17" x14ac:dyDescent="0.25">
      <c r="B95" s="59" t="s">
        <v>70</v>
      </c>
      <c r="C95" s="135">
        <v>0</v>
      </c>
      <c r="D95" s="135">
        <v>-1.7</v>
      </c>
      <c r="E95" s="135">
        <v>0</v>
      </c>
      <c r="F95" s="135">
        <v>0</v>
      </c>
      <c r="G95" s="135">
        <v>0</v>
      </c>
      <c r="H95" s="136">
        <f t="shared" ref="H95:Q95" si="82">G95*(1+0.5%)</f>
        <v>0</v>
      </c>
      <c r="I95" s="136">
        <f t="shared" si="82"/>
        <v>0</v>
      </c>
      <c r="J95" s="136">
        <f t="shared" si="82"/>
        <v>0</v>
      </c>
      <c r="K95" s="136">
        <f t="shared" si="82"/>
        <v>0</v>
      </c>
      <c r="L95" s="136">
        <f t="shared" si="82"/>
        <v>0</v>
      </c>
      <c r="M95" s="136">
        <f t="shared" si="82"/>
        <v>0</v>
      </c>
      <c r="N95" s="136">
        <f t="shared" si="82"/>
        <v>0</v>
      </c>
      <c r="O95" s="136">
        <f t="shared" si="82"/>
        <v>0</v>
      </c>
      <c r="P95" s="136">
        <f t="shared" si="82"/>
        <v>0</v>
      </c>
      <c r="Q95" s="145">
        <f t="shared" si="82"/>
        <v>0</v>
      </c>
    </row>
    <row r="96" spans="2:17" x14ac:dyDescent="0.25">
      <c r="B96" s="76" t="s">
        <v>75</v>
      </c>
      <c r="C96" s="137">
        <f t="shared" ref="C96:H96" si="83">C92-SUM(C93:C95)</f>
        <v>1.1399999999999999</v>
      </c>
      <c r="D96" s="137">
        <f t="shared" si="83"/>
        <v>0</v>
      </c>
      <c r="E96" s="137">
        <f t="shared" si="83"/>
        <v>0</v>
      </c>
      <c r="F96" s="137">
        <f t="shared" si="83"/>
        <v>0</v>
      </c>
      <c r="G96" s="137">
        <f t="shared" si="83"/>
        <v>0</v>
      </c>
      <c r="H96" s="137">
        <f t="shared" si="83"/>
        <v>0</v>
      </c>
      <c r="I96" s="137">
        <f t="shared" ref="I96:Q96" si="84">I92-SUM(I93:I95)</f>
        <v>0</v>
      </c>
      <c r="J96" s="137">
        <f t="shared" si="84"/>
        <v>0</v>
      </c>
      <c r="K96" s="137">
        <f t="shared" si="84"/>
        <v>0</v>
      </c>
      <c r="L96" s="137">
        <f t="shared" si="84"/>
        <v>0</v>
      </c>
      <c r="M96" s="137">
        <f t="shared" si="84"/>
        <v>0</v>
      </c>
      <c r="N96" s="137">
        <f t="shared" si="84"/>
        <v>0</v>
      </c>
      <c r="O96" s="137">
        <f t="shared" si="84"/>
        <v>0</v>
      </c>
      <c r="P96" s="137">
        <f t="shared" si="84"/>
        <v>0</v>
      </c>
      <c r="Q96" s="138">
        <f t="shared" si="84"/>
        <v>0</v>
      </c>
    </row>
    <row r="97" spans="2:17" x14ac:dyDescent="0.25">
      <c r="B97" s="59"/>
      <c r="C97" s="135"/>
      <c r="D97" s="135"/>
      <c r="E97" s="135"/>
      <c r="F97" s="135"/>
      <c r="G97" s="135"/>
      <c r="H97" s="136"/>
      <c r="I97" s="136"/>
      <c r="J97" s="136"/>
      <c r="K97" s="136"/>
      <c r="L97" s="136"/>
      <c r="M97" s="136"/>
      <c r="N97" s="136"/>
      <c r="O97" s="136"/>
      <c r="P97" s="136"/>
      <c r="Q97" s="145"/>
    </row>
    <row r="98" spans="2:17" x14ac:dyDescent="0.25">
      <c r="B98" s="64" t="s">
        <v>94</v>
      </c>
      <c r="C98" s="135"/>
      <c r="D98" s="135"/>
      <c r="E98" s="135"/>
      <c r="F98" s="135"/>
      <c r="G98" s="135"/>
      <c r="H98" s="136"/>
      <c r="I98" s="136"/>
      <c r="J98" s="136"/>
      <c r="K98" s="136"/>
      <c r="L98" s="136"/>
      <c r="M98" s="136"/>
      <c r="N98" s="136"/>
      <c r="O98" s="136"/>
      <c r="P98" s="136"/>
      <c r="Q98" s="145"/>
    </row>
    <row r="99" spans="2:17" x14ac:dyDescent="0.25">
      <c r="B99" s="59" t="s">
        <v>68</v>
      </c>
      <c r="C99" s="135">
        <v>0</v>
      </c>
      <c r="D99" s="135">
        <v>0</v>
      </c>
      <c r="E99" s="135">
        <v>0</v>
      </c>
      <c r="F99" s="135">
        <f t="shared" ref="F99:Q99" si="85">E102</f>
        <v>19.899999999999999</v>
      </c>
      <c r="G99" s="135">
        <f t="shared" si="85"/>
        <v>20.059999999999999</v>
      </c>
      <c r="H99" s="136">
        <f t="shared" si="85"/>
        <v>20.45</v>
      </c>
      <c r="I99" s="136">
        <f t="shared" si="85"/>
        <v>20.841950000000001</v>
      </c>
      <c r="J99" s="136">
        <f t="shared" si="85"/>
        <v>21.235859749999999</v>
      </c>
      <c r="K99" s="136">
        <f t="shared" si="85"/>
        <v>21.631739048749999</v>
      </c>
      <c r="L99" s="136">
        <f t="shared" si="85"/>
        <v>22.029597743993747</v>
      </c>
      <c r="M99" s="136">
        <f t="shared" si="85"/>
        <v>22.429445732713717</v>
      </c>
      <c r="N99" s="136">
        <f t="shared" si="85"/>
        <v>22.831292961377287</v>
      </c>
      <c r="O99" s="136">
        <f t="shared" si="85"/>
        <v>23.235149426184172</v>
      </c>
      <c r="P99" s="136">
        <f t="shared" si="85"/>
        <v>23.641025173315093</v>
      </c>
      <c r="Q99" s="145">
        <f t="shared" si="85"/>
        <v>24.048930299181666</v>
      </c>
    </row>
    <row r="100" spans="2:17" x14ac:dyDescent="0.25">
      <c r="B100" s="59" t="s">
        <v>69</v>
      </c>
      <c r="C100" s="135">
        <v>0</v>
      </c>
      <c r="D100" s="135">
        <v>0</v>
      </c>
      <c r="E100" s="135">
        <v>19.899999999999999</v>
      </c>
      <c r="F100" s="135">
        <v>0.2</v>
      </c>
      <c r="G100" s="135">
        <v>0.39</v>
      </c>
      <c r="H100" s="136">
        <f t="shared" ref="H100:Q100" si="86">G100*(1+0.5%)</f>
        <v>0.39194999999999997</v>
      </c>
      <c r="I100" s="136">
        <f t="shared" si="86"/>
        <v>0.39390974999999995</v>
      </c>
      <c r="J100" s="136">
        <f t="shared" si="86"/>
        <v>0.39587929874999989</v>
      </c>
      <c r="K100" s="136">
        <f t="shared" si="86"/>
        <v>0.39785869524374984</v>
      </c>
      <c r="L100" s="136">
        <f t="shared" si="86"/>
        <v>0.39984798871996857</v>
      </c>
      <c r="M100" s="136">
        <f t="shared" si="86"/>
        <v>0.40184722866356837</v>
      </c>
      <c r="N100" s="136">
        <f t="shared" si="86"/>
        <v>0.40385646480688614</v>
      </c>
      <c r="O100" s="136">
        <f t="shared" si="86"/>
        <v>0.40587574713092051</v>
      </c>
      <c r="P100" s="136">
        <f t="shared" si="86"/>
        <v>0.40790512586657507</v>
      </c>
      <c r="Q100" s="145">
        <f t="shared" si="86"/>
        <v>0.40994465149590792</v>
      </c>
    </row>
    <row r="101" spans="2:17" x14ac:dyDescent="0.25">
      <c r="B101" s="59" t="s">
        <v>70</v>
      </c>
      <c r="C101" s="135">
        <v>0</v>
      </c>
      <c r="D101" s="135">
        <v>0</v>
      </c>
      <c r="E101" s="135">
        <v>0</v>
      </c>
      <c r="F101" s="135">
        <v>-0.04</v>
      </c>
      <c r="G101" s="135">
        <v>0</v>
      </c>
      <c r="H101" s="136">
        <f t="shared" ref="H101:Q101" si="87">G101*(1+0.5%)</f>
        <v>0</v>
      </c>
      <c r="I101" s="136">
        <f t="shared" si="87"/>
        <v>0</v>
      </c>
      <c r="J101" s="136">
        <f t="shared" si="87"/>
        <v>0</v>
      </c>
      <c r="K101" s="136">
        <f t="shared" si="87"/>
        <v>0</v>
      </c>
      <c r="L101" s="136">
        <f t="shared" si="87"/>
        <v>0</v>
      </c>
      <c r="M101" s="136">
        <f t="shared" si="87"/>
        <v>0</v>
      </c>
      <c r="N101" s="136">
        <f t="shared" si="87"/>
        <v>0</v>
      </c>
      <c r="O101" s="136">
        <f t="shared" si="87"/>
        <v>0</v>
      </c>
      <c r="P101" s="136">
        <f t="shared" si="87"/>
        <v>0</v>
      </c>
      <c r="Q101" s="145">
        <f t="shared" si="87"/>
        <v>0</v>
      </c>
    </row>
    <row r="102" spans="2:17" x14ac:dyDescent="0.25">
      <c r="B102" s="76" t="s">
        <v>71</v>
      </c>
      <c r="C102" s="137">
        <f t="shared" ref="C102:H102" si="88">SUM(C99:C101)</f>
        <v>0</v>
      </c>
      <c r="D102" s="137">
        <f t="shared" si="88"/>
        <v>0</v>
      </c>
      <c r="E102" s="137">
        <f t="shared" si="88"/>
        <v>19.899999999999999</v>
      </c>
      <c r="F102" s="137">
        <f t="shared" si="88"/>
        <v>20.059999999999999</v>
      </c>
      <c r="G102" s="137">
        <f t="shared" si="88"/>
        <v>20.45</v>
      </c>
      <c r="H102" s="137">
        <f t="shared" si="88"/>
        <v>20.841950000000001</v>
      </c>
      <c r="I102" s="137">
        <f t="shared" ref="I102:Q102" si="89">SUM(I99:I101)</f>
        <v>21.235859749999999</v>
      </c>
      <c r="J102" s="137">
        <f t="shared" si="89"/>
        <v>21.631739048749999</v>
      </c>
      <c r="K102" s="137">
        <f t="shared" si="89"/>
        <v>22.029597743993747</v>
      </c>
      <c r="L102" s="137">
        <f t="shared" si="89"/>
        <v>22.429445732713717</v>
      </c>
      <c r="M102" s="137">
        <f t="shared" si="89"/>
        <v>22.831292961377287</v>
      </c>
      <c r="N102" s="137">
        <f t="shared" si="89"/>
        <v>23.235149426184172</v>
      </c>
      <c r="O102" s="137">
        <f t="shared" si="89"/>
        <v>23.641025173315093</v>
      </c>
      <c r="P102" s="137">
        <f t="shared" si="89"/>
        <v>24.048930299181666</v>
      </c>
      <c r="Q102" s="138">
        <f t="shared" si="89"/>
        <v>24.458874950677576</v>
      </c>
    </row>
    <row r="103" spans="2:17" x14ac:dyDescent="0.25">
      <c r="B103" s="59" t="s">
        <v>73</v>
      </c>
      <c r="C103" s="135">
        <f t="shared" ref="C103:Q103" si="90">SUM(B103:B105)</f>
        <v>0</v>
      </c>
      <c r="D103" s="135">
        <f t="shared" si="90"/>
        <v>0</v>
      </c>
      <c r="E103" s="135">
        <f t="shared" si="90"/>
        <v>0</v>
      </c>
      <c r="F103" s="135">
        <f t="shared" si="90"/>
        <v>0.95</v>
      </c>
      <c r="G103" s="135">
        <f t="shared" si="90"/>
        <v>2.23</v>
      </c>
      <c r="H103" s="136">
        <f t="shared" si="90"/>
        <v>3.51</v>
      </c>
      <c r="I103" s="136">
        <f t="shared" si="90"/>
        <v>4.7964000000000002</v>
      </c>
      <c r="J103" s="136">
        <f t="shared" si="90"/>
        <v>6.089232</v>
      </c>
      <c r="K103" s="136">
        <f t="shared" si="90"/>
        <v>7.3885281599999999</v>
      </c>
      <c r="L103" s="136">
        <f t="shared" si="90"/>
        <v>8.6943208007999999</v>
      </c>
      <c r="M103" s="136">
        <f t="shared" si="90"/>
        <v>10.006642404803999</v>
      </c>
      <c r="N103" s="136">
        <f t="shared" si="90"/>
        <v>11.325525616828019</v>
      </c>
      <c r="O103" s="136">
        <f t="shared" si="90"/>
        <v>12.651003244912157</v>
      </c>
      <c r="P103" s="136">
        <f t="shared" si="90"/>
        <v>13.983108261136717</v>
      </c>
      <c r="Q103" s="145">
        <f t="shared" si="90"/>
        <v>15.321873802442401</v>
      </c>
    </row>
    <row r="104" spans="2:17" x14ac:dyDescent="0.25">
      <c r="B104" s="61" t="s">
        <v>74</v>
      </c>
      <c r="C104" s="135">
        <v>0</v>
      </c>
      <c r="D104" s="135">
        <v>0</v>
      </c>
      <c r="E104" s="135">
        <v>0.95</v>
      </c>
      <c r="F104" s="135">
        <v>1.28</v>
      </c>
      <c r="G104" s="135">
        <v>1.28</v>
      </c>
      <c r="H104" s="136">
        <f t="shared" ref="H104:Q104" si="91">G104*(1+0.5%)</f>
        <v>1.2864</v>
      </c>
      <c r="I104" s="136">
        <f t="shared" si="91"/>
        <v>1.2928319999999998</v>
      </c>
      <c r="J104" s="136">
        <f t="shared" si="91"/>
        <v>1.2992961599999997</v>
      </c>
      <c r="K104" s="136">
        <f t="shared" si="91"/>
        <v>1.3057926407999996</v>
      </c>
      <c r="L104" s="136">
        <f t="shared" si="91"/>
        <v>1.3123216040039993</v>
      </c>
      <c r="M104" s="136">
        <f t="shared" si="91"/>
        <v>1.3188832120240193</v>
      </c>
      <c r="N104" s="136">
        <f t="shared" si="91"/>
        <v>1.3254776280841392</v>
      </c>
      <c r="O104" s="136">
        <f t="shared" si="91"/>
        <v>1.3321050162245598</v>
      </c>
      <c r="P104" s="136">
        <f t="shared" si="91"/>
        <v>1.3387655413056825</v>
      </c>
      <c r="Q104" s="145">
        <f t="shared" si="91"/>
        <v>1.3454593690122107</v>
      </c>
    </row>
    <row r="105" spans="2:17" x14ac:dyDescent="0.25">
      <c r="B105" s="59" t="s">
        <v>70</v>
      </c>
      <c r="C105" s="135">
        <v>0</v>
      </c>
      <c r="D105" s="135">
        <v>0</v>
      </c>
      <c r="E105" s="135">
        <v>0</v>
      </c>
      <c r="F105" s="135">
        <v>0</v>
      </c>
      <c r="G105" s="135">
        <v>0</v>
      </c>
      <c r="H105" s="136">
        <f t="shared" ref="H105:Q105" si="92">G105*(1+0.5%)</f>
        <v>0</v>
      </c>
      <c r="I105" s="136">
        <f t="shared" si="92"/>
        <v>0</v>
      </c>
      <c r="J105" s="136">
        <f t="shared" si="92"/>
        <v>0</v>
      </c>
      <c r="K105" s="136">
        <f t="shared" si="92"/>
        <v>0</v>
      </c>
      <c r="L105" s="136">
        <f t="shared" si="92"/>
        <v>0</v>
      </c>
      <c r="M105" s="136">
        <f t="shared" si="92"/>
        <v>0</v>
      </c>
      <c r="N105" s="136">
        <f t="shared" si="92"/>
        <v>0</v>
      </c>
      <c r="O105" s="136">
        <f t="shared" si="92"/>
        <v>0</v>
      </c>
      <c r="P105" s="136">
        <f t="shared" si="92"/>
        <v>0</v>
      </c>
      <c r="Q105" s="145">
        <f t="shared" si="92"/>
        <v>0</v>
      </c>
    </row>
    <row r="106" spans="2:17" x14ac:dyDescent="0.25">
      <c r="B106" s="76" t="s">
        <v>75</v>
      </c>
      <c r="C106" s="137">
        <f>C102-SUM(C103:C105)</f>
        <v>0</v>
      </c>
      <c r="D106" s="137">
        <f>D102-SUM(D103:D105)</f>
        <v>0</v>
      </c>
      <c r="E106" s="137">
        <f>E102-SUM(E103:E105)</f>
        <v>18.95</v>
      </c>
      <c r="F106" s="137">
        <f>F102-SUM(F103:F105)</f>
        <v>17.829999999999998</v>
      </c>
      <c r="G106" s="137">
        <f>G102-SUM(G103:G105)</f>
        <v>16.939999999999998</v>
      </c>
      <c r="H106" s="137">
        <f t="shared" ref="H106:Q106" si="93">H102-SUM(H103:H105)</f>
        <v>16.045549999999999</v>
      </c>
      <c r="I106" s="137">
        <f t="shared" si="93"/>
        <v>15.14662775</v>
      </c>
      <c r="J106" s="137">
        <f t="shared" si="93"/>
        <v>14.243210888749999</v>
      </c>
      <c r="K106" s="137">
        <f t="shared" si="93"/>
        <v>13.335276943193747</v>
      </c>
      <c r="L106" s="137">
        <f t="shared" si="93"/>
        <v>12.422803327909717</v>
      </c>
      <c r="M106" s="137">
        <f t="shared" si="93"/>
        <v>11.505767344549268</v>
      </c>
      <c r="N106" s="137">
        <f t="shared" si="93"/>
        <v>10.584146181272015</v>
      </c>
      <c r="O106" s="137">
        <f t="shared" si="93"/>
        <v>9.6579169121783757</v>
      </c>
      <c r="P106" s="137">
        <f t="shared" si="93"/>
        <v>8.7270564967392659</v>
      </c>
      <c r="Q106" s="138">
        <f t="shared" si="93"/>
        <v>7.791541779222964</v>
      </c>
    </row>
    <row r="107" spans="2:17" x14ac:dyDescent="0.25">
      <c r="B107" s="59"/>
      <c r="C107" s="135"/>
      <c r="D107" s="135"/>
      <c r="E107" s="135"/>
      <c r="F107" s="135"/>
      <c r="G107" s="135"/>
      <c r="H107" s="136"/>
      <c r="I107" s="136"/>
      <c r="J107" s="136"/>
      <c r="K107" s="136"/>
      <c r="L107" s="136"/>
      <c r="M107" s="136"/>
      <c r="N107" s="136"/>
      <c r="O107" s="136"/>
      <c r="P107" s="136"/>
      <c r="Q107" s="145"/>
    </row>
    <row r="108" spans="2:17" x14ac:dyDescent="0.25">
      <c r="B108" s="59"/>
      <c r="C108" s="135"/>
      <c r="D108" s="135"/>
      <c r="E108" s="135"/>
      <c r="F108" s="135"/>
      <c r="G108" s="135"/>
      <c r="H108" s="136"/>
      <c r="I108" s="136"/>
      <c r="J108" s="136"/>
      <c r="K108" s="136"/>
      <c r="L108" s="136"/>
      <c r="M108" s="136"/>
      <c r="N108" s="136"/>
      <c r="O108" s="136"/>
      <c r="P108" s="136"/>
      <c r="Q108" s="145"/>
    </row>
    <row r="109" spans="2:17" x14ac:dyDescent="0.25">
      <c r="B109" s="59"/>
      <c r="C109" s="135"/>
      <c r="D109" s="135"/>
      <c r="E109" s="135"/>
      <c r="F109" s="135"/>
      <c r="G109" s="135"/>
      <c r="H109" s="136"/>
      <c r="I109" s="136"/>
      <c r="J109" s="136"/>
      <c r="K109" s="136"/>
      <c r="L109" s="136"/>
      <c r="M109" s="136"/>
      <c r="N109" s="136"/>
      <c r="O109" s="136"/>
      <c r="P109" s="136"/>
      <c r="Q109" s="145"/>
    </row>
    <row r="110" spans="2:17" x14ac:dyDescent="0.25">
      <c r="B110" s="144" t="s">
        <v>81</v>
      </c>
      <c r="C110" s="139">
        <f>SUM(C13,C23,C34,C44,C55,C66,C76,C86,C96,C106)</f>
        <v>156.97</v>
      </c>
      <c r="D110" s="139">
        <f t="shared" ref="D110:Q110" si="94">SUM(D13,D23,D34,D44,D55,D66,D76,D86,D96,D106)</f>
        <v>260.7</v>
      </c>
      <c r="E110" s="139">
        <f t="shared" si="94"/>
        <v>624.04000000000008</v>
      </c>
      <c r="F110" s="139">
        <f t="shared" si="94"/>
        <v>639.16999999999996</v>
      </c>
      <c r="G110" s="139">
        <f t="shared" si="94"/>
        <v>630.98999999999978</v>
      </c>
      <c r="H110" s="139">
        <f t="shared" si="94"/>
        <v>622.76910000000009</v>
      </c>
      <c r="I110" s="139">
        <f t="shared" si="94"/>
        <v>614.50709549999999</v>
      </c>
      <c r="J110" s="139">
        <f t="shared" si="94"/>
        <v>606.20378097749995</v>
      </c>
      <c r="K110" s="139">
        <f t="shared" si="94"/>
        <v>597.85894988238738</v>
      </c>
      <c r="L110" s="139">
        <f t="shared" si="94"/>
        <v>589.47239463179938</v>
      </c>
      <c r="M110" s="139">
        <f t="shared" si="94"/>
        <v>581.04390660495824</v>
      </c>
      <c r="N110" s="139">
        <f t="shared" si="94"/>
        <v>572.57327613798316</v>
      </c>
      <c r="O110" s="139">
        <f t="shared" si="94"/>
        <v>564.06029251867312</v>
      </c>
      <c r="P110" s="139">
        <f t="shared" si="94"/>
        <v>555.50474398126653</v>
      </c>
      <c r="Q110" s="140">
        <f t="shared" si="94"/>
        <v>546.90641770117281</v>
      </c>
    </row>
    <row r="111" spans="2:17" x14ac:dyDescent="0.25">
      <c r="B111" s="87" t="s">
        <v>82</v>
      </c>
      <c r="C111" s="141">
        <f>SUM(C21,C32,C42,C53,C64,C74,C84,C94,C104)</f>
        <v>8.4799999999999986</v>
      </c>
      <c r="D111" s="141">
        <f t="shared" ref="D111:Q111" si="95">SUM(D21,D32,D42,D53,D64,D74,D84,D94,D104)</f>
        <v>8.1199999999999992</v>
      </c>
      <c r="E111" s="141">
        <f t="shared" si="95"/>
        <v>15.349999999999996</v>
      </c>
      <c r="F111" s="141">
        <f t="shared" si="95"/>
        <v>21.599999999999998</v>
      </c>
      <c r="G111" s="141">
        <f t="shared" si="95"/>
        <v>22.87</v>
      </c>
      <c r="H111" s="141">
        <f t="shared" si="95"/>
        <v>22.984349999999999</v>
      </c>
      <c r="I111" s="141">
        <f t="shared" si="95"/>
        <v>23.099271749999993</v>
      </c>
      <c r="J111" s="141">
        <f t="shared" si="95"/>
        <v>23.214768108749997</v>
      </c>
      <c r="K111" s="141">
        <f t="shared" si="95"/>
        <v>23.330841949293738</v>
      </c>
      <c r="L111" s="141">
        <f t="shared" si="95"/>
        <v>23.447496159040202</v>
      </c>
      <c r="M111" s="141">
        <f t="shared" si="95"/>
        <v>23.564733639835406</v>
      </c>
      <c r="N111" s="141">
        <f t="shared" si="95"/>
        <v>23.682557308034582</v>
      </c>
      <c r="O111" s="141">
        <f t="shared" si="95"/>
        <v>23.800970094574748</v>
      </c>
      <c r="P111" s="141">
        <f t="shared" si="95"/>
        <v>23.91997494504762</v>
      </c>
      <c r="Q111" s="142">
        <f t="shared" si="95"/>
        <v>24.039574819772852</v>
      </c>
    </row>
    <row r="112" spans="2:17" x14ac:dyDescent="0.25">
      <c r="B112" s="59"/>
      <c r="C112" s="135"/>
      <c r="D112" s="135"/>
      <c r="E112" s="135"/>
      <c r="F112" s="135"/>
      <c r="G112" s="135"/>
      <c r="H112" s="136"/>
      <c r="I112" s="136"/>
      <c r="J112" s="136"/>
      <c r="K112" s="136"/>
      <c r="L112" s="136"/>
      <c r="M112" s="136"/>
      <c r="N112" s="136"/>
      <c r="O112" s="136"/>
      <c r="P112" s="136"/>
      <c r="Q112" s="145"/>
    </row>
    <row r="113" spans="2:17" ht="18" x14ac:dyDescent="0.25">
      <c r="B113" s="307" t="s">
        <v>34</v>
      </c>
      <c r="C113" s="308"/>
      <c r="D113" s="308"/>
      <c r="E113" s="308"/>
      <c r="F113" s="308"/>
      <c r="G113" s="308"/>
      <c r="H113" s="308"/>
      <c r="I113" s="308"/>
      <c r="J113" s="308"/>
      <c r="K113" s="308"/>
      <c r="L113" s="308"/>
      <c r="M113" s="308"/>
      <c r="N113" s="308"/>
      <c r="O113" s="308"/>
      <c r="P113" s="308"/>
      <c r="Q113" s="308"/>
    </row>
    <row r="114" spans="2:17" x14ac:dyDescent="0.25">
      <c r="B114" s="59"/>
      <c r="C114" s="135"/>
      <c r="D114" s="135"/>
      <c r="E114" s="135"/>
      <c r="F114" s="135"/>
      <c r="G114" s="135"/>
      <c r="H114" s="136"/>
      <c r="I114" s="136"/>
      <c r="J114" s="136"/>
      <c r="K114" s="136"/>
      <c r="L114" s="136"/>
      <c r="M114" s="136"/>
      <c r="N114" s="136"/>
      <c r="O114" s="136"/>
      <c r="P114" s="136"/>
      <c r="Q114" s="145"/>
    </row>
    <row r="115" spans="2:17" x14ac:dyDescent="0.25">
      <c r="B115" s="64" t="s">
        <v>80</v>
      </c>
      <c r="C115" s="135"/>
      <c r="D115" s="135"/>
      <c r="E115" s="135"/>
      <c r="F115" s="135"/>
      <c r="G115" s="135"/>
      <c r="H115" s="136"/>
      <c r="I115" s="136"/>
      <c r="J115" s="136"/>
      <c r="K115" s="136"/>
      <c r="L115" s="136"/>
      <c r="M115" s="136"/>
      <c r="N115" s="136"/>
      <c r="O115" s="136"/>
      <c r="P115" s="136"/>
      <c r="Q115" s="145"/>
    </row>
    <row r="116" spans="2:17" x14ac:dyDescent="0.25">
      <c r="B116" s="59" t="s">
        <v>68</v>
      </c>
      <c r="C116" s="135">
        <v>1.59</v>
      </c>
      <c r="D116" s="135">
        <f>C119</f>
        <v>0.77000000000000013</v>
      </c>
      <c r="E116" s="135">
        <f>D119</f>
        <v>0.77000000000000013</v>
      </c>
      <c r="F116" s="135">
        <f>E119</f>
        <v>0</v>
      </c>
      <c r="G116" s="135">
        <f>F119</f>
        <v>0</v>
      </c>
      <c r="H116" s="136">
        <f>G119</f>
        <v>0</v>
      </c>
      <c r="I116" s="136">
        <f t="shared" ref="I116:Q116" si="96">H119</f>
        <v>0</v>
      </c>
      <c r="J116" s="136">
        <f t="shared" si="96"/>
        <v>0</v>
      </c>
      <c r="K116" s="136">
        <f t="shared" si="96"/>
        <v>0</v>
      </c>
      <c r="L116" s="136">
        <f t="shared" si="96"/>
        <v>0</v>
      </c>
      <c r="M116" s="136">
        <f t="shared" si="96"/>
        <v>0</v>
      </c>
      <c r="N116" s="136">
        <f t="shared" si="96"/>
        <v>0</v>
      </c>
      <c r="O116" s="136">
        <f t="shared" si="96"/>
        <v>0</v>
      </c>
      <c r="P116" s="136">
        <f t="shared" si="96"/>
        <v>0</v>
      </c>
      <c r="Q116" s="145">
        <f t="shared" si="96"/>
        <v>0</v>
      </c>
    </row>
    <row r="117" spans="2:17" x14ac:dyDescent="0.25">
      <c r="B117" s="59" t="s">
        <v>69</v>
      </c>
      <c r="C117" s="135">
        <v>0</v>
      </c>
      <c r="D117" s="135">
        <v>0</v>
      </c>
      <c r="E117" s="135">
        <v>0</v>
      </c>
      <c r="F117" s="135">
        <v>0</v>
      </c>
      <c r="G117" s="135">
        <v>0</v>
      </c>
      <c r="H117" s="136">
        <f>G117*(1+0.5%)</f>
        <v>0</v>
      </c>
      <c r="I117" s="136">
        <f t="shared" ref="I117:Q117" si="97">H117*(1+0.5%)</f>
        <v>0</v>
      </c>
      <c r="J117" s="136">
        <f t="shared" si="97"/>
        <v>0</v>
      </c>
      <c r="K117" s="136">
        <f t="shared" si="97"/>
        <v>0</v>
      </c>
      <c r="L117" s="136">
        <f t="shared" si="97"/>
        <v>0</v>
      </c>
      <c r="M117" s="136">
        <f t="shared" si="97"/>
        <v>0</v>
      </c>
      <c r="N117" s="136">
        <f t="shared" si="97"/>
        <v>0</v>
      </c>
      <c r="O117" s="136">
        <f t="shared" si="97"/>
        <v>0</v>
      </c>
      <c r="P117" s="136">
        <f t="shared" si="97"/>
        <v>0</v>
      </c>
      <c r="Q117" s="145">
        <f t="shared" si="97"/>
        <v>0</v>
      </c>
    </row>
    <row r="118" spans="2:17" x14ac:dyDescent="0.25">
      <c r="B118" s="59" t="s">
        <v>70</v>
      </c>
      <c r="C118" s="135">
        <v>-0.82</v>
      </c>
      <c r="D118" s="135">
        <v>0</v>
      </c>
      <c r="E118" s="135">
        <v>-0.77</v>
      </c>
      <c r="F118" s="135">
        <v>0</v>
      </c>
      <c r="G118" s="135">
        <v>0</v>
      </c>
      <c r="H118" s="136">
        <f>G118*(1+0.5%)</f>
        <v>0</v>
      </c>
      <c r="I118" s="136">
        <f t="shared" ref="I118:Q118" si="98">H118*(1+0.5%)</f>
        <v>0</v>
      </c>
      <c r="J118" s="136">
        <f t="shared" si="98"/>
        <v>0</v>
      </c>
      <c r="K118" s="136">
        <f t="shared" si="98"/>
        <v>0</v>
      </c>
      <c r="L118" s="136">
        <f t="shared" si="98"/>
        <v>0</v>
      </c>
      <c r="M118" s="136">
        <f t="shared" si="98"/>
        <v>0</v>
      </c>
      <c r="N118" s="136">
        <f t="shared" si="98"/>
        <v>0</v>
      </c>
      <c r="O118" s="136">
        <f t="shared" si="98"/>
        <v>0</v>
      </c>
      <c r="P118" s="136">
        <f t="shared" si="98"/>
        <v>0</v>
      </c>
      <c r="Q118" s="145">
        <f t="shared" si="98"/>
        <v>0</v>
      </c>
    </row>
    <row r="119" spans="2:17" x14ac:dyDescent="0.25">
      <c r="B119" s="76" t="s">
        <v>71</v>
      </c>
      <c r="C119" s="137">
        <f t="shared" ref="C119:H119" si="99">SUM(C116:C118)</f>
        <v>0.77000000000000013</v>
      </c>
      <c r="D119" s="137">
        <f t="shared" si="99"/>
        <v>0.77000000000000013</v>
      </c>
      <c r="E119" s="137">
        <f t="shared" si="99"/>
        <v>0</v>
      </c>
      <c r="F119" s="137">
        <f t="shared" si="99"/>
        <v>0</v>
      </c>
      <c r="G119" s="137">
        <f t="shared" si="99"/>
        <v>0</v>
      </c>
      <c r="H119" s="137">
        <f t="shared" si="99"/>
        <v>0</v>
      </c>
      <c r="I119" s="137">
        <f t="shared" ref="I119:Q119" si="100">SUM(I116:I118)</f>
        <v>0</v>
      </c>
      <c r="J119" s="137">
        <f t="shared" si="100"/>
        <v>0</v>
      </c>
      <c r="K119" s="137">
        <f t="shared" si="100"/>
        <v>0</v>
      </c>
      <c r="L119" s="137">
        <f t="shared" si="100"/>
        <v>0</v>
      </c>
      <c r="M119" s="137">
        <f t="shared" si="100"/>
        <v>0</v>
      </c>
      <c r="N119" s="137">
        <f t="shared" si="100"/>
        <v>0</v>
      </c>
      <c r="O119" s="137">
        <f t="shared" si="100"/>
        <v>0</v>
      </c>
      <c r="P119" s="137">
        <f t="shared" si="100"/>
        <v>0</v>
      </c>
      <c r="Q119" s="138">
        <f t="shared" si="100"/>
        <v>0</v>
      </c>
    </row>
    <row r="120" spans="2:17" x14ac:dyDescent="0.25">
      <c r="B120" s="59" t="s">
        <v>73</v>
      </c>
      <c r="C120" s="135">
        <v>0</v>
      </c>
      <c r="D120" s="135">
        <f>SUM(C120:C122)</f>
        <v>0</v>
      </c>
      <c r="E120" s="135">
        <f>SUM(D120:D122)</f>
        <v>0</v>
      </c>
      <c r="F120" s="135">
        <f>SUM(E120:E122)</f>
        <v>0</v>
      </c>
      <c r="G120" s="135">
        <f>SUM(F120:F122)</f>
        <v>0</v>
      </c>
      <c r="H120" s="136">
        <f>SUM(G120:G122)</f>
        <v>0</v>
      </c>
      <c r="I120" s="136">
        <f t="shared" ref="I120:Q120" si="101">SUM(H120:H122)</f>
        <v>0</v>
      </c>
      <c r="J120" s="136">
        <f t="shared" si="101"/>
        <v>0</v>
      </c>
      <c r="K120" s="136">
        <f t="shared" si="101"/>
        <v>0</v>
      </c>
      <c r="L120" s="136">
        <f t="shared" si="101"/>
        <v>0</v>
      </c>
      <c r="M120" s="136">
        <f t="shared" si="101"/>
        <v>0</v>
      </c>
      <c r="N120" s="136">
        <f t="shared" si="101"/>
        <v>0</v>
      </c>
      <c r="O120" s="136">
        <f t="shared" si="101"/>
        <v>0</v>
      </c>
      <c r="P120" s="136">
        <f t="shared" si="101"/>
        <v>0</v>
      </c>
      <c r="Q120" s="145">
        <f t="shared" si="101"/>
        <v>0</v>
      </c>
    </row>
    <row r="121" spans="2:17" x14ac:dyDescent="0.25">
      <c r="B121" s="61" t="s">
        <v>74</v>
      </c>
      <c r="C121" s="135">
        <v>0</v>
      </c>
      <c r="D121" s="135">
        <v>0</v>
      </c>
      <c r="E121" s="135">
        <v>0</v>
      </c>
      <c r="F121" s="135">
        <v>0</v>
      </c>
      <c r="G121" s="135">
        <v>0</v>
      </c>
      <c r="H121" s="136">
        <f t="shared" ref="H121:Q121" si="102">G121*(1+0.5%)</f>
        <v>0</v>
      </c>
      <c r="I121" s="136">
        <f t="shared" si="102"/>
        <v>0</v>
      </c>
      <c r="J121" s="136">
        <f t="shared" si="102"/>
        <v>0</v>
      </c>
      <c r="K121" s="136">
        <f t="shared" si="102"/>
        <v>0</v>
      </c>
      <c r="L121" s="136">
        <f t="shared" si="102"/>
        <v>0</v>
      </c>
      <c r="M121" s="136">
        <f t="shared" si="102"/>
        <v>0</v>
      </c>
      <c r="N121" s="136">
        <f t="shared" si="102"/>
        <v>0</v>
      </c>
      <c r="O121" s="136">
        <f t="shared" si="102"/>
        <v>0</v>
      </c>
      <c r="P121" s="136">
        <f t="shared" si="102"/>
        <v>0</v>
      </c>
      <c r="Q121" s="145">
        <f t="shared" si="102"/>
        <v>0</v>
      </c>
    </row>
    <row r="122" spans="2:17" x14ac:dyDescent="0.25">
      <c r="B122" s="59" t="s">
        <v>70</v>
      </c>
      <c r="C122" s="135">
        <v>0</v>
      </c>
      <c r="D122" s="135">
        <v>0</v>
      </c>
      <c r="E122" s="135">
        <v>0</v>
      </c>
      <c r="F122" s="135">
        <v>0</v>
      </c>
      <c r="G122" s="135">
        <v>0</v>
      </c>
      <c r="H122" s="136">
        <f t="shared" ref="H122:Q122" si="103">G122*(1+0.5%)</f>
        <v>0</v>
      </c>
      <c r="I122" s="136">
        <f t="shared" si="103"/>
        <v>0</v>
      </c>
      <c r="J122" s="136">
        <f t="shared" si="103"/>
        <v>0</v>
      </c>
      <c r="K122" s="136">
        <f t="shared" si="103"/>
        <v>0</v>
      </c>
      <c r="L122" s="136">
        <f t="shared" si="103"/>
        <v>0</v>
      </c>
      <c r="M122" s="136">
        <f t="shared" si="103"/>
        <v>0</v>
      </c>
      <c r="N122" s="136">
        <f t="shared" si="103"/>
        <v>0</v>
      </c>
      <c r="O122" s="136">
        <f t="shared" si="103"/>
        <v>0</v>
      </c>
      <c r="P122" s="136">
        <f t="shared" si="103"/>
        <v>0</v>
      </c>
      <c r="Q122" s="145">
        <f t="shared" si="103"/>
        <v>0</v>
      </c>
    </row>
    <row r="123" spans="2:17" x14ac:dyDescent="0.25">
      <c r="B123" s="76" t="s">
        <v>75</v>
      </c>
      <c r="C123" s="137">
        <f t="shared" ref="C123:H123" si="104">C119-SUM(C120:C122)</f>
        <v>0.77000000000000013</v>
      </c>
      <c r="D123" s="137">
        <f t="shared" si="104"/>
        <v>0.77000000000000013</v>
      </c>
      <c r="E123" s="137">
        <f t="shared" si="104"/>
        <v>0</v>
      </c>
      <c r="F123" s="137">
        <f t="shared" si="104"/>
        <v>0</v>
      </c>
      <c r="G123" s="137">
        <f t="shared" si="104"/>
        <v>0</v>
      </c>
      <c r="H123" s="137">
        <f t="shared" si="104"/>
        <v>0</v>
      </c>
      <c r="I123" s="137">
        <f t="shared" ref="I123:Q123" si="105">I119-SUM(I120:I122)</f>
        <v>0</v>
      </c>
      <c r="J123" s="137">
        <f t="shared" si="105"/>
        <v>0</v>
      </c>
      <c r="K123" s="137">
        <f t="shared" si="105"/>
        <v>0</v>
      </c>
      <c r="L123" s="137">
        <f t="shared" si="105"/>
        <v>0</v>
      </c>
      <c r="M123" s="137">
        <f t="shared" si="105"/>
        <v>0</v>
      </c>
      <c r="N123" s="137">
        <f t="shared" si="105"/>
        <v>0</v>
      </c>
      <c r="O123" s="137">
        <f t="shared" si="105"/>
        <v>0</v>
      </c>
      <c r="P123" s="137">
        <f t="shared" si="105"/>
        <v>0</v>
      </c>
      <c r="Q123" s="138">
        <f t="shared" si="105"/>
        <v>0</v>
      </c>
    </row>
    <row r="124" spans="2:17" x14ac:dyDescent="0.25">
      <c r="B124" s="59"/>
      <c r="C124" s="135"/>
      <c r="D124" s="135"/>
      <c r="E124" s="135"/>
      <c r="F124" s="135"/>
      <c r="G124" s="135"/>
      <c r="H124" s="136"/>
      <c r="I124" s="136"/>
      <c r="J124" s="136"/>
      <c r="K124" s="136"/>
      <c r="L124" s="136"/>
      <c r="M124" s="136"/>
      <c r="N124" s="136"/>
      <c r="O124" s="136"/>
      <c r="P124" s="136"/>
      <c r="Q124" s="145"/>
    </row>
    <row r="125" spans="2:17" x14ac:dyDescent="0.25">
      <c r="B125" s="64" t="s">
        <v>35</v>
      </c>
      <c r="C125" s="135"/>
      <c r="D125" s="135"/>
      <c r="E125" s="135"/>
      <c r="F125" s="135"/>
      <c r="G125" s="135"/>
      <c r="H125" s="136"/>
      <c r="I125" s="136"/>
      <c r="J125" s="136"/>
      <c r="K125" s="136"/>
      <c r="L125" s="136"/>
      <c r="M125" s="136"/>
      <c r="N125" s="136"/>
      <c r="O125" s="136"/>
      <c r="P125" s="136"/>
      <c r="Q125" s="145"/>
    </row>
    <row r="126" spans="2:17" x14ac:dyDescent="0.25">
      <c r="B126" s="59" t="s">
        <v>68</v>
      </c>
      <c r="C126" s="135">
        <v>17.38</v>
      </c>
      <c r="D126" s="135">
        <f>C129</f>
        <v>13.739999999999998</v>
      </c>
      <c r="E126" s="135">
        <f>D129</f>
        <v>13.799999999999999</v>
      </c>
      <c r="F126" s="135">
        <f>E129</f>
        <v>14.809999999999999</v>
      </c>
      <c r="G126" s="135">
        <f>F129</f>
        <v>14.719999999999999</v>
      </c>
      <c r="H126" s="136">
        <f>G129</f>
        <v>14.709999999999999</v>
      </c>
      <c r="I126" s="136">
        <f t="shared" ref="I126:Q126" si="106">H129</f>
        <v>14.699949999999999</v>
      </c>
      <c r="J126" s="136">
        <f t="shared" si="106"/>
        <v>14.689849749999999</v>
      </c>
      <c r="K126" s="136">
        <f t="shared" si="106"/>
        <v>14.679698998749998</v>
      </c>
      <c r="L126" s="136">
        <f t="shared" si="106"/>
        <v>14.669497493743748</v>
      </c>
      <c r="M126" s="136">
        <f t="shared" si="106"/>
        <v>14.659244981212467</v>
      </c>
      <c r="N126" s="136">
        <f t="shared" si="106"/>
        <v>14.648941206118529</v>
      </c>
      <c r="O126" s="136">
        <f t="shared" si="106"/>
        <v>14.638585912149122</v>
      </c>
      <c r="P126" s="136">
        <f t="shared" si="106"/>
        <v>14.628178841709866</v>
      </c>
      <c r="Q126" s="145">
        <f t="shared" si="106"/>
        <v>14.617719735918415</v>
      </c>
    </row>
    <row r="127" spans="2:17" x14ac:dyDescent="0.25">
      <c r="B127" s="59" t="s">
        <v>69</v>
      </c>
      <c r="C127" s="135">
        <v>3.57</v>
      </c>
      <c r="D127" s="135">
        <v>7.0000000000000007E-2</v>
      </c>
      <c r="E127" s="135">
        <v>1.02</v>
      </c>
      <c r="F127" s="135">
        <v>0.01</v>
      </c>
      <c r="G127" s="135">
        <v>0</v>
      </c>
      <c r="H127" s="136">
        <f>G127*(1+0.5%)</f>
        <v>0</v>
      </c>
      <c r="I127" s="136">
        <f t="shared" ref="I127:Q127" si="107">H127*(1+0.5%)</f>
        <v>0</v>
      </c>
      <c r="J127" s="136">
        <f t="shared" si="107"/>
        <v>0</v>
      </c>
      <c r="K127" s="136">
        <f t="shared" si="107"/>
        <v>0</v>
      </c>
      <c r="L127" s="136">
        <f t="shared" si="107"/>
        <v>0</v>
      </c>
      <c r="M127" s="136">
        <f t="shared" si="107"/>
        <v>0</v>
      </c>
      <c r="N127" s="136">
        <f t="shared" si="107"/>
        <v>0</v>
      </c>
      <c r="O127" s="136">
        <f t="shared" si="107"/>
        <v>0</v>
      </c>
      <c r="P127" s="136">
        <f t="shared" si="107"/>
        <v>0</v>
      </c>
      <c r="Q127" s="145">
        <f t="shared" si="107"/>
        <v>0</v>
      </c>
    </row>
    <row r="128" spans="2:17" x14ac:dyDescent="0.25">
      <c r="B128" s="59" t="s">
        <v>70</v>
      </c>
      <c r="C128" s="135">
        <v>-7.21</v>
      </c>
      <c r="D128" s="135">
        <v>-0.01</v>
      </c>
      <c r="E128" s="135">
        <v>-0.01</v>
      </c>
      <c r="F128" s="135">
        <v>-0.1</v>
      </c>
      <c r="G128" s="135">
        <v>-0.01</v>
      </c>
      <c r="H128" s="136">
        <f>G128*(1+0.5%)</f>
        <v>-1.005E-2</v>
      </c>
      <c r="I128" s="136">
        <f t="shared" ref="I128:Q128" si="108">H128*(1+0.5%)</f>
        <v>-1.0100249999999998E-2</v>
      </c>
      <c r="J128" s="136">
        <f t="shared" si="108"/>
        <v>-1.0150751249999998E-2</v>
      </c>
      <c r="K128" s="136">
        <f t="shared" si="108"/>
        <v>-1.0201505006249997E-2</v>
      </c>
      <c r="L128" s="136">
        <f t="shared" si="108"/>
        <v>-1.0252512531281245E-2</v>
      </c>
      <c r="M128" s="136">
        <f t="shared" si="108"/>
        <v>-1.030377509393765E-2</v>
      </c>
      <c r="N128" s="136">
        <f t="shared" si="108"/>
        <v>-1.0355293969407337E-2</v>
      </c>
      <c r="O128" s="136">
        <f t="shared" si="108"/>
        <v>-1.0407070439254373E-2</v>
      </c>
      <c r="P128" s="136">
        <f t="shared" si="108"/>
        <v>-1.0459105791450644E-2</v>
      </c>
      <c r="Q128" s="145">
        <f t="shared" si="108"/>
        <v>-1.0511401320407896E-2</v>
      </c>
    </row>
    <row r="129" spans="2:17" x14ac:dyDescent="0.25">
      <c r="B129" s="76" t="s">
        <v>71</v>
      </c>
      <c r="C129" s="137">
        <f t="shared" ref="C129:H129" si="109">SUM(C126:C128)</f>
        <v>13.739999999999998</v>
      </c>
      <c r="D129" s="137">
        <f t="shared" si="109"/>
        <v>13.799999999999999</v>
      </c>
      <c r="E129" s="137">
        <f t="shared" si="109"/>
        <v>14.809999999999999</v>
      </c>
      <c r="F129" s="137">
        <f t="shared" si="109"/>
        <v>14.719999999999999</v>
      </c>
      <c r="G129" s="137">
        <f t="shared" si="109"/>
        <v>14.709999999999999</v>
      </c>
      <c r="H129" s="137">
        <f t="shared" si="109"/>
        <v>14.699949999999999</v>
      </c>
      <c r="I129" s="137">
        <f t="shared" ref="I129:Q129" si="110">SUM(I126:I128)</f>
        <v>14.689849749999999</v>
      </c>
      <c r="J129" s="137">
        <f t="shared" si="110"/>
        <v>14.679698998749998</v>
      </c>
      <c r="K129" s="137">
        <f t="shared" si="110"/>
        <v>14.669497493743748</v>
      </c>
      <c r="L129" s="137">
        <f t="shared" si="110"/>
        <v>14.659244981212467</v>
      </c>
      <c r="M129" s="137">
        <f t="shared" si="110"/>
        <v>14.648941206118529</v>
      </c>
      <c r="N129" s="137">
        <f t="shared" si="110"/>
        <v>14.638585912149122</v>
      </c>
      <c r="O129" s="137">
        <f t="shared" si="110"/>
        <v>14.628178841709866</v>
      </c>
      <c r="P129" s="137">
        <f t="shared" si="110"/>
        <v>14.617719735918415</v>
      </c>
      <c r="Q129" s="138">
        <f t="shared" si="110"/>
        <v>14.607208334598008</v>
      </c>
    </row>
    <row r="130" spans="2:17" x14ac:dyDescent="0.25">
      <c r="B130" s="59" t="s">
        <v>73</v>
      </c>
      <c r="C130" s="135">
        <v>8.83</v>
      </c>
      <c r="D130" s="135">
        <f>SUM(C130:C132)</f>
        <v>4.919999999999999</v>
      </c>
      <c r="E130" s="135">
        <f>SUM(D130:D132)</f>
        <v>7.6499999999999995</v>
      </c>
      <c r="F130" s="135">
        <f>SUM(E130:E132)</f>
        <v>10.53</v>
      </c>
      <c r="G130" s="135">
        <f>SUM(F130:F132)</f>
        <v>13.09</v>
      </c>
      <c r="H130" s="136">
        <f>SUM(G130:G132)</f>
        <v>14.19</v>
      </c>
      <c r="I130" s="136">
        <f t="shared" ref="I130:Q130" si="111">SUM(H130:H132)</f>
        <v>15.295500000000001</v>
      </c>
      <c r="J130" s="136">
        <f t="shared" si="111"/>
        <v>16.406527499999999</v>
      </c>
      <c r="K130" s="136">
        <f t="shared" si="111"/>
        <v>17.523110137500002</v>
      </c>
      <c r="L130" s="136">
        <f t="shared" si="111"/>
        <v>18.6452756881875</v>
      </c>
      <c r="M130" s="136">
        <f t="shared" si="111"/>
        <v>19.773052066628438</v>
      </c>
      <c r="N130" s="136">
        <f t="shared" si="111"/>
        <v>20.906467326961579</v>
      </c>
      <c r="O130" s="136">
        <f t="shared" si="111"/>
        <v>22.045549663596386</v>
      </c>
      <c r="P130" s="136">
        <f t="shared" si="111"/>
        <v>23.190327411914367</v>
      </c>
      <c r="Q130" s="145">
        <f t="shared" si="111"/>
        <v>24.340829048973937</v>
      </c>
    </row>
    <row r="131" spans="2:17" x14ac:dyDescent="0.25">
      <c r="B131" s="61" t="s">
        <v>74</v>
      </c>
      <c r="C131" s="135">
        <v>3.3</v>
      </c>
      <c r="D131" s="135">
        <v>2.74</v>
      </c>
      <c r="E131" s="135">
        <v>2.89</v>
      </c>
      <c r="F131" s="135">
        <v>2.66</v>
      </c>
      <c r="G131" s="135">
        <v>1.1100000000000001</v>
      </c>
      <c r="H131" s="136">
        <f t="shared" ref="H131:Q131" si="112">G131*(1+0.5%)</f>
        <v>1.11555</v>
      </c>
      <c r="I131" s="136">
        <f t="shared" si="112"/>
        <v>1.1211277499999999</v>
      </c>
      <c r="J131" s="136">
        <f t="shared" si="112"/>
        <v>1.1267333887499997</v>
      </c>
      <c r="K131" s="136">
        <f t="shared" si="112"/>
        <v>1.1323670556937495</v>
      </c>
      <c r="L131" s="136">
        <f t="shared" si="112"/>
        <v>1.138028890972218</v>
      </c>
      <c r="M131" s="136">
        <f t="shared" si="112"/>
        <v>1.143719035427079</v>
      </c>
      <c r="N131" s="136">
        <f t="shared" si="112"/>
        <v>1.1494376306042142</v>
      </c>
      <c r="O131" s="136">
        <f t="shared" si="112"/>
        <v>1.1551848187572351</v>
      </c>
      <c r="P131" s="136">
        <f t="shared" si="112"/>
        <v>1.1609607428510211</v>
      </c>
      <c r="Q131" s="145">
        <f t="shared" si="112"/>
        <v>1.1667655465652762</v>
      </c>
    </row>
    <row r="132" spans="2:17" x14ac:dyDescent="0.25">
      <c r="B132" s="59" t="s">
        <v>70</v>
      </c>
      <c r="C132" s="135">
        <v>-7.21</v>
      </c>
      <c r="D132" s="135">
        <v>-0.01</v>
      </c>
      <c r="E132" s="135">
        <v>-0.01</v>
      </c>
      <c r="F132" s="135">
        <v>-0.1</v>
      </c>
      <c r="G132" s="135">
        <v>-0.01</v>
      </c>
      <c r="H132" s="136">
        <f t="shared" ref="H132:Q132" si="113">G132*(1+0.5%)</f>
        <v>-1.005E-2</v>
      </c>
      <c r="I132" s="136">
        <f t="shared" si="113"/>
        <v>-1.0100249999999998E-2</v>
      </c>
      <c r="J132" s="136">
        <f t="shared" si="113"/>
        <v>-1.0150751249999998E-2</v>
      </c>
      <c r="K132" s="136">
        <f t="shared" si="113"/>
        <v>-1.0201505006249997E-2</v>
      </c>
      <c r="L132" s="136">
        <f t="shared" si="113"/>
        <v>-1.0252512531281245E-2</v>
      </c>
      <c r="M132" s="136">
        <f t="shared" si="113"/>
        <v>-1.030377509393765E-2</v>
      </c>
      <c r="N132" s="136">
        <f t="shared" si="113"/>
        <v>-1.0355293969407337E-2</v>
      </c>
      <c r="O132" s="136">
        <f t="shared" si="113"/>
        <v>-1.0407070439254373E-2</v>
      </c>
      <c r="P132" s="136">
        <f t="shared" si="113"/>
        <v>-1.0459105791450644E-2</v>
      </c>
      <c r="Q132" s="145">
        <f t="shared" si="113"/>
        <v>-1.0511401320407896E-2</v>
      </c>
    </row>
    <row r="133" spans="2:17" x14ac:dyDescent="0.25">
      <c r="B133" s="76" t="s">
        <v>75</v>
      </c>
      <c r="C133" s="137">
        <f t="shared" ref="C133:H133" si="114">C129-SUM(C130:C132)</f>
        <v>8.82</v>
      </c>
      <c r="D133" s="137">
        <f t="shared" si="114"/>
        <v>6.1499999999999995</v>
      </c>
      <c r="E133" s="137">
        <f t="shared" si="114"/>
        <v>4.2799999999999994</v>
      </c>
      <c r="F133" s="137">
        <f t="shared" si="114"/>
        <v>1.629999999999999</v>
      </c>
      <c r="G133" s="137">
        <f t="shared" si="114"/>
        <v>0.51999999999999957</v>
      </c>
      <c r="H133" s="137">
        <f t="shared" si="114"/>
        <v>-0.59555000000000113</v>
      </c>
      <c r="I133" s="137">
        <f t="shared" ref="I133:Q133" si="115">I129-SUM(I130:I132)</f>
        <v>-1.7166777500000006</v>
      </c>
      <c r="J133" s="137">
        <f t="shared" si="115"/>
        <v>-2.8434111387500032</v>
      </c>
      <c r="K133" s="137">
        <f t="shared" si="115"/>
        <v>-3.9757781944437518</v>
      </c>
      <c r="L133" s="137">
        <f t="shared" si="115"/>
        <v>-5.1138070854159707</v>
      </c>
      <c r="M133" s="137">
        <f t="shared" si="115"/>
        <v>-6.2575261208430497</v>
      </c>
      <c r="N133" s="137">
        <f t="shared" si="115"/>
        <v>-7.4069637514472646</v>
      </c>
      <c r="O133" s="137">
        <f t="shared" si="115"/>
        <v>-8.562148570204501</v>
      </c>
      <c r="P133" s="137">
        <f t="shared" si="115"/>
        <v>-9.723109313055522</v>
      </c>
      <c r="Q133" s="138">
        <f t="shared" si="115"/>
        <v>-10.889874859620798</v>
      </c>
    </row>
    <row r="134" spans="2:17" x14ac:dyDescent="0.25">
      <c r="B134" s="59"/>
      <c r="C134" s="135"/>
      <c r="D134" s="135"/>
      <c r="E134" s="135"/>
      <c r="F134" s="135"/>
      <c r="G134" s="135"/>
      <c r="H134" s="136"/>
      <c r="I134" s="136"/>
      <c r="J134" s="136"/>
      <c r="K134" s="136"/>
      <c r="L134" s="136"/>
      <c r="M134" s="136"/>
      <c r="N134" s="136"/>
      <c r="O134" s="136"/>
      <c r="P134" s="136"/>
      <c r="Q134" s="145"/>
    </row>
    <row r="135" spans="2:17" x14ac:dyDescent="0.25">
      <c r="B135" s="144" t="s">
        <v>81</v>
      </c>
      <c r="C135" s="139">
        <f>SUM(C123,C133)</f>
        <v>9.59</v>
      </c>
      <c r="D135" s="139">
        <f t="shared" ref="D135:Q135" si="116">SUM(D123,D133)</f>
        <v>6.92</v>
      </c>
      <c r="E135" s="139">
        <f t="shared" si="116"/>
        <v>4.2799999999999994</v>
      </c>
      <c r="F135" s="139">
        <f t="shared" si="116"/>
        <v>1.629999999999999</v>
      </c>
      <c r="G135" s="139">
        <f t="shared" si="116"/>
        <v>0.51999999999999957</v>
      </c>
      <c r="H135" s="139">
        <f t="shared" si="116"/>
        <v>-0.59555000000000113</v>
      </c>
      <c r="I135" s="139">
        <f t="shared" si="116"/>
        <v>-1.7166777500000006</v>
      </c>
      <c r="J135" s="139">
        <f t="shared" si="116"/>
        <v>-2.8434111387500032</v>
      </c>
      <c r="K135" s="139">
        <f t="shared" si="116"/>
        <v>-3.9757781944437518</v>
      </c>
      <c r="L135" s="139">
        <f t="shared" si="116"/>
        <v>-5.1138070854159707</v>
      </c>
      <c r="M135" s="139">
        <f t="shared" si="116"/>
        <v>-6.2575261208430497</v>
      </c>
      <c r="N135" s="139">
        <f t="shared" si="116"/>
        <v>-7.4069637514472646</v>
      </c>
      <c r="O135" s="139">
        <f t="shared" si="116"/>
        <v>-8.562148570204501</v>
      </c>
      <c r="P135" s="139">
        <f t="shared" si="116"/>
        <v>-9.723109313055522</v>
      </c>
      <c r="Q135" s="140">
        <f t="shared" si="116"/>
        <v>-10.889874859620798</v>
      </c>
    </row>
    <row r="136" spans="2:17" x14ac:dyDescent="0.25">
      <c r="B136" s="87" t="s">
        <v>82</v>
      </c>
      <c r="C136" s="141">
        <f>SUM(C121,C131)</f>
        <v>3.3</v>
      </c>
      <c r="D136" s="141">
        <f t="shared" ref="D136:Q136" si="117">SUM(D121,D131)</f>
        <v>2.74</v>
      </c>
      <c r="E136" s="141">
        <f t="shared" si="117"/>
        <v>2.89</v>
      </c>
      <c r="F136" s="141">
        <f t="shared" si="117"/>
        <v>2.66</v>
      </c>
      <c r="G136" s="141">
        <f t="shared" si="117"/>
        <v>1.1100000000000001</v>
      </c>
      <c r="H136" s="141">
        <f t="shared" si="117"/>
        <v>1.11555</v>
      </c>
      <c r="I136" s="141">
        <f t="shared" si="117"/>
        <v>1.1211277499999999</v>
      </c>
      <c r="J136" s="141">
        <f t="shared" si="117"/>
        <v>1.1267333887499997</v>
      </c>
      <c r="K136" s="141">
        <f t="shared" si="117"/>
        <v>1.1323670556937495</v>
      </c>
      <c r="L136" s="141">
        <f t="shared" si="117"/>
        <v>1.138028890972218</v>
      </c>
      <c r="M136" s="141">
        <f t="shared" si="117"/>
        <v>1.143719035427079</v>
      </c>
      <c r="N136" s="141">
        <f t="shared" si="117"/>
        <v>1.1494376306042142</v>
      </c>
      <c r="O136" s="141">
        <f t="shared" si="117"/>
        <v>1.1551848187572351</v>
      </c>
      <c r="P136" s="141">
        <f t="shared" si="117"/>
        <v>1.1609607428510211</v>
      </c>
      <c r="Q136" s="142">
        <f t="shared" si="117"/>
        <v>1.1667655465652762</v>
      </c>
    </row>
    <row r="137" spans="2:17" x14ac:dyDescent="0.25">
      <c r="B137" s="59"/>
      <c r="C137" s="135"/>
      <c r="D137" s="135"/>
      <c r="E137" s="135"/>
      <c r="F137" s="135"/>
      <c r="G137" s="135"/>
      <c r="H137" s="136"/>
      <c r="I137" s="136"/>
      <c r="J137" s="136"/>
      <c r="K137" s="136"/>
      <c r="L137" s="136"/>
      <c r="M137" s="136"/>
      <c r="N137" s="136"/>
      <c r="O137" s="136"/>
      <c r="P137" s="136"/>
      <c r="Q137" s="145"/>
    </row>
    <row r="138" spans="2:17" x14ac:dyDescent="0.25">
      <c r="B138" s="59"/>
      <c r="C138" s="135"/>
      <c r="D138" s="135"/>
      <c r="E138" s="135"/>
      <c r="F138" s="135"/>
      <c r="G138" s="135"/>
      <c r="H138" s="136"/>
      <c r="I138" s="136"/>
      <c r="J138" s="136"/>
      <c r="K138" s="136"/>
      <c r="L138" s="136"/>
      <c r="M138" s="136"/>
      <c r="N138" s="136"/>
      <c r="O138" s="136"/>
      <c r="P138" s="136"/>
      <c r="Q138" s="145"/>
    </row>
    <row r="139" spans="2:17" x14ac:dyDescent="0.25">
      <c r="B139" s="76" t="s">
        <v>83</v>
      </c>
      <c r="C139" s="137">
        <f t="shared" ref="C139:Q139" si="118">SUM(C110,C135)</f>
        <v>166.56</v>
      </c>
      <c r="D139" s="137">
        <f t="shared" si="118"/>
        <v>267.62</v>
      </c>
      <c r="E139" s="137">
        <f t="shared" si="118"/>
        <v>628.32000000000005</v>
      </c>
      <c r="F139" s="137">
        <f t="shared" si="118"/>
        <v>640.79999999999995</v>
      </c>
      <c r="G139" s="137">
        <f t="shared" si="118"/>
        <v>631.50999999999976</v>
      </c>
      <c r="H139" s="137">
        <f t="shared" si="118"/>
        <v>622.17355000000009</v>
      </c>
      <c r="I139" s="137">
        <f t="shared" si="118"/>
        <v>612.79041774999996</v>
      </c>
      <c r="J139" s="137">
        <f t="shared" si="118"/>
        <v>603.36036983874999</v>
      </c>
      <c r="K139" s="137">
        <f t="shared" si="118"/>
        <v>593.88317168794367</v>
      </c>
      <c r="L139" s="137">
        <f t="shared" si="118"/>
        <v>584.35858754638343</v>
      </c>
      <c r="M139" s="137">
        <f t="shared" si="118"/>
        <v>574.78638048411517</v>
      </c>
      <c r="N139" s="137">
        <f t="shared" si="118"/>
        <v>565.16631238653588</v>
      </c>
      <c r="O139" s="137">
        <f t="shared" si="118"/>
        <v>555.49814394846862</v>
      </c>
      <c r="P139" s="137">
        <f t="shared" si="118"/>
        <v>545.78163466821104</v>
      </c>
      <c r="Q139" s="138">
        <f t="shared" si="118"/>
        <v>536.016542841552</v>
      </c>
    </row>
    <row r="140" spans="2:17" x14ac:dyDescent="0.25">
      <c r="B140" s="59"/>
      <c r="C140" s="135"/>
      <c r="D140" s="135"/>
      <c r="E140" s="135"/>
      <c r="F140" s="135"/>
      <c r="G140" s="135"/>
      <c r="H140" s="136"/>
      <c r="I140" s="136"/>
      <c r="J140" s="136"/>
      <c r="K140" s="136"/>
      <c r="L140" s="136"/>
      <c r="M140" s="136"/>
      <c r="N140" s="136"/>
      <c r="O140" s="136"/>
      <c r="P140" s="136"/>
      <c r="Q140" s="145"/>
    </row>
    <row r="141" spans="2:17" x14ac:dyDescent="0.25">
      <c r="B141" s="59"/>
      <c r="C141" s="135"/>
      <c r="D141" s="135"/>
      <c r="E141" s="135"/>
      <c r="F141" s="135"/>
      <c r="G141" s="135"/>
      <c r="H141" s="136"/>
      <c r="I141" s="136"/>
      <c r="J141" s="136"/>
      <c r="K141" s="136"/>
      <c r="L141" s="136"/>
      <c r="M141" s="136"/>
      <c r="N141" s="136"/>
      <c r="O141" s="136"/>
      <c r="P141" s="136"/>
      <c r="Q141" s="145"/>
    </row>
    <row r="142" spans="2:17" x14ac:dyDescent="0.25">
      <c r="B142" s="76" t="s">
        <v>74</v>
      </c>
      <c r="C142" s="137">
        <f t="shared" ref="C142:Q142" si="119">SUM(C111,C136)</f>
        <v>11.779999999999998</v>
      </c>
      <c r="D142" s="137">
        <f t="shared" si="119"/>
        <v>10.86</v>
      </c>
      <c r="E142" s="137">
        <f t="shared" si="119"/>
        <v>18.239999999999995</v>
      </c>
      <c r="F142" s="137">
        <f t="shared" si="119"/>
        <v>24.259999999999998</v>
      </c>
      <c r="G142" s="137">
        <f t="shared" si="119"/>
        <v>23.98</v>
      </c>
      <c r="H142" s="137">
        <f t="shared" si="119"/>
        <v>24.099899999999998</v>
      </c>
      <c r="I142" s="137">
        <f t="shared" si="119"/>
        <v>24.220399499999992</v>
      </c>
      <c r="J142" s="137">
        <f t="shared" si="119"/>
        <v>24.341501497499998</v>
      </c>
      <c r="K142" s="137">
        <f t="shared" si="119"/>
        <v>24.463209004987487</v>
      </c>
      <c r="L142" s="137">
        <f t="shared" si="119"/>
        <v>24.585525050012421</v>
      </c>
      <c r="M142" s="137">
        <f t="shared" si="119"/>
        <v>24.708452675262485</v>
      </c>
      <c r="N142" s="137">
        <f t="shared" si="119"/>
        <v>24.831994938638797</v>
      </c>
      <c r="O142" s="137">
        <f t="shared" si="119"/>
        <v>24.956154913331982</v>
      </c>
      <c r="P142" s="137">
        <f t="shared" si="119"/>
        <v>25.080935687898641</v>
      </c>
      <c r="Q142" s="138">
        <f t="shared" si="119"/>
        <v>25.206340366338129</v>
      </c>
    </row>
    <row r="143" spans="2:17" x14ac:dyDescent="0.25">
      <c r="B143" s="59"/>
      <c r="C143" s="135"/>
      <c r="D143" s="135"/>
      <c r="E143" s="135"/>
      <c r="F143" s="135"/>
      <c r="G143" s="135"/>
      <c r="H143" s="136"/>
      <c r="I143" s="136"/>
      <c r="J143" s="136"/>
      <c r="K143" s="136"/>
      <c r="L143" s="136"/>
      <c r="M143" s="136"/>
      <c r="N143" s="136"/>
      <c r="O143" s="136"/>
      <c r="P143" s="136"/>
      <c r="Q143" s="145"/>
    </row>
    <row r="144" spans="2:17" x14ac:dyDescent="0.25">
      <c r="B144" s="76" t="s">
        <v>84</v>
      </c>
      <c r="C144" s="137"/>
      <c r="D144" s="137">
        <f>D139+D142-C139</f>
        <v>111.92000000000002</v>
      </c>
      <c r="E144" s="137">
        <f t="shared" ref="E144:Q144" si="120">E139+E142-D139</f>
        <v>378.94000000000005</v>
      </c>
      <c r="F144" s="137">
        <f t="shared" si="120"/>
        <v>36.739999999999895</v>
      </c>
      <c r="G144" s="137">
        <f t="shared" si="120"/>
        <v>14.689999999999827</v>
      </c>
      <c r="H144" s="137">
        <f t="shared" si="120"/>
        <v>14.763450000000375</v>
      </c>
      <c r="I144" s="137">
        <f t="shared" si="120"/>
        <v>14.837267249999854</v>
      </c>
      <c r="J144" s="137">
        <f t="shared" si="120"/>
        <v>14.911453586249991</v>
      </c>
      <c r="K144" s="137">
        <f t="shared" si="120"/>
        <v>14.986010854181131</v>
      </c>
      <c r="L144" s="137">
        <f t="shared" si="120"/>
        <v>15.060940908452153</v>
      </c>
      <c r="M144" s="137">
        <f t="shared" si="120"/>
        <v>15.13624561299423</v>
      </c>
      <c r="N144" s="137">
        <f t="shared" si="120"/>
        <v>15.211926841059494</v>
      </c>
      <c r="O144" s="137">
        <f t="shared" si="120"/>
        <v>15.287986475264688</v>
      </c>
      <c r="P144" s="137">
        <f t="shared" si="120"/>
        <v>15.364426407641076</v>
      </c>
      <c r="Q144" s="138">
        <f t="shared" si="120"/>
        <v>15.441248539679123</v>
      </c>
    </row>
    <row r="145" spans="2:17" x14ac:dyDescent="0.25">
      <c r="B145" s="59"/>
      <c r="C145" s="135"/>
      <c r="D145" s="135"/>
      <c r="E145" s="135"/>
      <c r="F145" s="135"/>
      <c r="G145" s="135"/>
      <c r="H145" s="136"/>
      <c r="I145" s="136"/>
      <c r="J145" s="136"/>
      <c r="K145" s="136"/>
      <c r="L145" s="136"/>
      <c r="M145" s="136"/>
      <c r="N145" s="136"/>
      <c r="O145" s="136"/>
      <c r="P145" s="136"/>
      <c r="Q145" s="145"/>
    </row>
    <row r="146" spans="2:17" x14ac:dyDescent="0.25">
      <c r="B146" s="76" t="s">
        <v>85</v>
      </c>
      <c r="C146" s="137">
        <f>'BS Input'!C15</f>
        <v>287.62</v>
      </c>
      <c r="D146" s="137">
        <f>'BS Input'!D15</f>
        <v>335.67</v>
      </c>
      <c r="E146" s="137">
        <f>'BS Input'!E15</f>
        <v>6.07</v>
      </c>
      <c r="F146" s="137">
        <f>'BS Input'!F15</f>
        <v>2.72</v>
      </c>
      <c r="G146" s="137">
        <f>'BS Input'!G15</f>
        <v>23.59</v>
      </c>
      <c r="H146" s="137">
        <f>G146+H147</f>
        <v>44.564349999999997</v>
      </c>
      <c r="I146" s="137">
        <f t="shared" ref="I146:Q146" si="121">H146+I147</f>
        <v>65.643571749999992</v>
      </c>
      <c r="J146" s="137">
        <f t="shared" si="121"/>
        <v>86.82818960874998</v>
      </c>
      <c r="K146" s="137">
        <f t="shared" si="121"/>
        <v>108.11873055679372</v>
      </c>
      <c r="L146" s="137">
        <f t="shared" si="121"/>
        <v>129.51572420957768</v>
      </c>
      <c r="M146" s="137">
        <f t="shared" si="121"/>
        <v>151.01970283062556</v>
      </c>
      <c r="N146" s="137">
        <f t="shared" si="121"/>
        <v>172.63120134477867</v>
      </c>
      <c r="O146" s="137">
        <f t="shared" si="121"/>
        <v>194.35075735150255</v>
      </c>
      <c r="P146" s="137">
        <f t="shared" si="121"/>
        <v>216.17891113826005</v>
      </c>
      <c r="Q146" s="138">
        <f t="shared" si="121"/>
        <v>238.11620569395131</v>
      </c>
    </row>
    <row r="147" spans="2:17" x14ac:dyDescent="0.25">
      <c r="B147" s="59" t="s">
        <v>86</v>
      </c>
      <c r="C147" s="135"/>
      <c r="D147" s="146">
        <f>D146-C146</f>
        <v>48.050000000000011</v>
      </c>
      <c r="E147" s="146">
        <f>E146-D146</f>
        <v>-329.6</v>
      </c>
      <c r="F147" s="146">
        <f>F146-E146</f>
        <v>-3.35</v>
      </c>
      <c r="G147" s="146">
        <f>G146-F146</f>
        <v>20.87</v>
      </c>
      <c r="H147" s="136">
        <f>G147*(1+0.5%)</f>
        <v>20.974349999999998</v>
      </c>
      <c r="I147" s="136">
        <f t="shared" ref="I147:Q147" si="122">H147*(1+0.5%)</f>
        <v>21.079221749999995</v>
      </c>
      <c r="J147" s="136">
        <f t="shared" si="122"/>
        <v>21.184617858749991</v>
      </c>
      <c r="K147" s="136">
        <f t="shared" si="122"/>
        <v>21.290540948043738</v>
      </c>
      <c r="L147" s="136">
        <f t="shared" si="122"/>
        <v>21.396993652783955</v>
      </c>
      <c r="M147" s="136">
        <f t="shared" si="122"/>
        <v>21.503978621047871</v>
      </c>
      <c r="N147" s="136">
        <f t="shared" si="122"/>
        <v>21.611498514153109</v>
      </c>
      <c r="O147" s="136">
        <f t="shared" si="122"/>
        <v>21.71955600672387</v>
      </c>
      <c r="P147" s="136">
        <f t="shared" si="122"/>
        <v>21.828153786757486</v>
      </c>
      <c r="Q147" s="145">
        <f t="shared" si="122"/>
        <v>21.93729455569127</v>
      </c>
    </row>
    <row r="148" spans="2:17" x14ac:dyDescent="0.25">
      <c r="B148" s="59"/>
      <c r="C148" s="135"/>
      <c r="D148" s="135"/>
      <c r="E148" s="135"/>
      <c r="F148" s="135"/>
      <c r="G148" s="135"/>
      <c r="H148" s="136"/>
      <c r="I148" s="136"/>
      <c r="J148" s="136"/>
      <c r="K148" s="136"/>
      <c r="L148" s="136"/>
      <c r="M148" s="136"/>
      <c r="N148" s="136"/>
      <c r="O148" s="136"/>
      <c r="P148" s="136"/>
      <c r="Q148" s="145"/>
    </row>
    <row r="149" spans="2:17" x14ac:dyDescent="0.25">
      <c r="B149" s="76" t="s">
        <v>87</v>
      </c>
      <c r="C149" s="137"/>
      <c r="D149" s="137">
        <f>D144+D147</f>
        <v>159.97000000000003</v>
      </c>
      <c r="E149" s="137">
        <f t="shared" ref="E149:Q149" si="123">E144+E147</f>
        <v>49.340000000000032</v>
      </c>
      <c r="F149" s="137">
        <f t="shared" si="123"/>
        <v>33.389999999999894</v>
      </c>
      <c r="G149" s="137">
        <f t="shared" si="123"/>
        <v>35.559999999999832</v>
      </c>
      <c r="H149" s="137">
        <f t="shared" si="123"/>
        <v>35.737800000000377</v>
      </c>
      <c r="I149" s="137">
        <f t="shared" si="123"/>
        <v>35.916488999999849</v>
      </c>
      <c r="J149" s="137">
        <f t="shared" si="123"/>
        <v>36.096071444999978</v>
      </c>
      <c r="K149" s="137">
        <f t="shared" si="123"/>
        <v>36.276551802224873</v>
      </c>
      <c r="L149" s="137">
        <f t="shared" si="123"/>
        <v>36.457934561236108</v>
      </c>
      <c r="M149" s="137">
        <f t="shared" si="123"/>
        <v>36.640224234042101</v>
      </c>
      <c r="N149" s="137">
        <f t="shared" si="123"/>
        <v>36.823425355212606</v>
      </c>
      <c r="O149" s="137">
        <f t="shared" si="123"/>
        <v>37.007542481988558</v>
      </c>
      <c r="P149" s="137">
        <f t="shared" si="123"/>
        <v>37.192580194398559</v>
      </c>
      <c r="Q149" s="138">
        <f t="shared" si="123"/>
        <v>37.378543095370389</v>
      </c>
    </row>
    <row r="150" spans="2:17" x14ac:dyDescent="0.25">
      <c r="D150" s="6"/>
      <c r="E150" s="6"/>
      <c r="F150" s="6"/>
      <c r="G150" s="6"/>
      <c r="H150" s="6"/>
      <c r="I150" s="6"/>
      <c r="J150" s="6"/>
      <c r="K150" s="6"/>
      <c r="L150" s="6"/>
      <c r="M150" s="6"/>
      <c r="N150" s="6"/>
      <c r="O150" s="6"/>
      <c r="P150" s="6"/>
      <c r="Q150" s="6"/>
    </row>
    <row r="151" spans="2:17" x14ac:dyDescent="0.25">
      <c r="B151" s="39"/>
      <c r="C151" s="39"/>
      <c r="D151" s="134"/>
      <c r="E151" s="134"/>
      <c r="F151" s="134"/>
      <c r="G151" s="134"/>
      <c r="H151" s="39"/>
      <c r="I151" s="134"/>
      <c r="J151" s="134"/>
      <c r="K151" s="134"/>
      <c r="L151" s="134"/>
      <c r="M151" s="134"/>
      <c r="N151" s="134"/>
      <c r="O151" s="134"/>
      <c r="P151" s="134"/>
      <c r="Q151" s="134"/>
    </row>
    <row r="152" spans="2:17" x14ac:dyDescent="0.25">
      <c r="D152" s="6"/>
      <c r="E152" s="6"/>
      <c r="F152" s="6"/>
      <c r="G152" s="6"/>
      <c r="H152" s="6"/>
      <c r="I152" s="6"/>
      <c r="J152" s="6"/>
      <c r="K152" s="6"/>
      <c r="L152" s="6"/>
      <c r="M152" s="6"/>
      <c r="N152" s="6"/>
      <c r="O152" s="6"/>
      <c r="P152" s="6"/>
      <c r="Q152" s="6"/>
    </row>
    <row r="153" spans="2:17" x14ac:dyDescent="0.25">
      <c r="E153" s="6"/>
      <c r="F153" s="6"/>
      <c r="G153" s="6"/>
      <c r="H153" s="6"/>
      <c r="I153" s="6"/>
      <c r="J153" s="6"/>
      <c r="K153" s="6"/>
      <c r="L153" s="6"/>
      <c r="M153" s="6"/>
      <c r="N153" s="6"/>
      <c r="O153" s="6"/>
      <c r="P153" s="6"/>
      <c r="Q153" s="6"/>
    </row>
  </sheetData>
  <mergeCells count="3">
    <mergeCell ref="B7:B8"/>
    <mergeCell ref="B113:Q113"/>
    <mergeCell ref="B6:Q6"/>
  </mergeCells>
  <pageMargins left="0.7" right="0.7" top="0.75" bottom="0.75" header="0.3" footer="0.3"/>
  <pageSetup orientation="portrait" horizontalDpi="300" verticalDpi="0" copies="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59A4-4DE5-42EA-8AD6-F30C6946875C}">
  <dimension ref="B5:Q26"/>
  <sheetViews>
    <sheetView showGridLines="0" topLeftCell="C1" workbookViewId="0">
      <selection activeCell="S19" sqref="S19"/>
    </sheetView>
  </sheetViews>
  <sheetFormatPr defaultRowHeight="15" x14ac:dyDescent="0.25"/>
  <cols>
    <col min="1" max="1" width="0.85546875" customWidth="1"/>
    <col min="2" max="2" width="34" customWidth="1"/>
    <col min="3" max="13" width="10.7109375" bestFit="1" customWidth="1"/>
    <col min="14" max="16" width="11.85546875" bestFit="1" customWidth="1"/>
    <col min="17" max="17" width="14" bestFit="1" customWidth="1"/>
  </cols>
  <sheetData>
    <row r="5" spans="2:17" x14ac:dyDescent="0.25">
      <c r="Q5" t="s">
        <v>259</v>
      </c>
    </row>
    <row r="6" spans="2:17" ht="18" x14ac:dyDescent="0.25">
      <c r="B6" s="303" t="s">
        <v>227</v>
      </c>
      <c r="C6" s="303"/>
      <c r="D6" s="303"/>
      <c r="E6" s="303"/>
      <c r="F6" s="303"/>
      <c r="G6" s="303"/>
      <c r="H6" s="303"/>
      <c r="I6" s="303"/>
      <c r="J6" s="303"/>
      <c r="K6" s="303"/>
      <c r="L6" s="303"/>
      <c r="M6" s="303"/>
      <c r="N6" s="303"/>
      <c r="O6" s="303"/>
      <c r="P6" s="303"/>
      <c r="Q6" s="303"/>
    </row>
    <row r="7" spans="2:17" x14ac:dyDescent="0.25">
      <c r="B7" s="304" t="s">
        <v>63</v>
      </c>
      <c r="C7" s="14">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24">
        <f t="shared" si="0"/>
        <v>2034</v>
      </c>
    </row>
    <row r="8" spans="2:17" x14ac:dyDescent="0.25">
      <c r="B8" s="305"/>
      <c r="C8" s="3"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7" x14ac:dyDescent="0.25">
      <c r="B9" s="59"/>
      <c r="Q9" s="17"/>
    </row>
    <row r="10" spans="2:17" x14ac:dyDescent="0.25">
      <c r="B10" s="59"/>
      <c r="Q10" s="17"/>
    </row>
    <row r="11" spans="2:17" x14ac:dyDescent="0.25">
      <c r="B11" s="59" t="s">
        <v>88</v>
      </c>
      <c r="C11" s="62">
        <f>'BS Input'!C27</f>
        <v>110.72</v>
      </c>
      <c r="D11" s="62">
        <f>'BS Input'!D27</f>
        <v>140.07</v>
      </c>
      <c r="E11" s="62">
        <f>'BS Input'!E27</f>
        <v>94.55</v>
      </c>
      <c r="F11" s="62">
        <f>'BS Input'!F27</f>
        <v>113</v>
      </c>
      <c r="G11" s="62">
        <f>'BS Input'!G27</f>
        <v>153.82</v>
      </c>
      <c r="H11" s="92">
        <f>H12*'Revenue Bulid Up'!H21</f>
        <v>165.19200935729805</v>
      </c>
      <c r="I11" s="92">
        <f>I12*'Revenue Bulid Up'!I21</f>
        <v>185.11745479343517</v>
      </c>
      <c r="J11" s="92">
        <f>J12*'Revenue Bulid Up'!J21</f>
        <v>207.44630568104145</v>
      </c>
      <c r="K11" s="92">
        <f>K12*'Revenue Bulid Up'!K21</f>
        <v>232.46846057132703</v>
      </c>
      <c r="L11" s="92">
        <f>L12*'Revenue Bulid Up'!L21</f>
        <v>260.50878555289444</v>
      </c>
      <c r="M11" s="92">
        <f>M12*'Revenue Bulid Up'!M21</f>
        <v>291.93133203298072</v>
      </c>
      <c r="N11" s="92">
        <f>N12*'Revenue Bulid Up'!N21</f>
        <v>327.14406326709593</v>
      </c>
      <c r="O11" s="92">
        <f>O12*'Revenue Bulid Up'!O21</f>
        <v>366.60415100224594</v>
      </c>
      <c r="P11" s="92">
        <f>P12*'Revenue Bulid Up'!P21</f>
        <v>410.82391100078803</v>
      </c>
      <c r="Q11" s="107">
        <f>Q12*'Revenue Bulid Up'!Q21</f>
        <v>460.37745450664414</v>
      </c>
    </row>
    <row r="12" spans="2:17" x14ac:dyDescent="0.25">
      <c r="B12" s="59"/>
      <c r="C12" s="251">
        <f>C11/'Revenue Bulid Up'!C21</f>
        <v>3.6993255546816585E-3</v>
      </c>
      <c r="D12" s="251">
        <f>D11/'Revenue Bulid Up'!D21</f>
        <v>3.9397873803043819E-3</v>
      </c>
      <c r="E12" s="251">
        <f>E11/'Revenue Bulid Up'!E21</f>
        <v>2.4077485959044082E-3</v>
      </c>
      <c r="F12" s="251">
        <f>F11/'Revenue Bulid Up'!F21</f>
        <v>2.8623348648091382E-3</v>
      </c>
      <c r="G12" s="251">
        <f>G11/'Revenue Bulid Up'!G21</f>
        <v>3.2379919902746565E-3</v>
      </c>
      <c r="H12" s="252">
        <f>AVERAGE(D12:G12)</f>
        <v>3.1119657078231464E-3</v>
      </c>
      <c r="I12" s="252">
        <f>H12</f>
        <v>3.1119657078231464E-3</v>
      </c>
      <c r="J12" s="252">
        <f t="shared" ref="J12:Q12" si="1">I12</f>
        <v>3.1119657078231464E-3</v>
      </c>
      <c r="K12" s="252">
        <f t="shared" si="1"/>
        <v>3.1119657078231464E-3</v>
      </c>
      <c r="L12" s="252">
        <f t="shared" si="1"/>
        <v>3.1119657078231464E-3</v>
      </c>
      <c r="M12" s="252">
        <f t="shared" si="1"/>
        <v>3.1119657078231464E-3</v>
      </c>
      <c r="N12" s="252">
        <f t="shared" si="1"/>
        <v>3.1119657078231464E-3</v>
      </c>
      <c r="O12" s="252">
        <f t="shared" si="1"/>
        <v>3.1119657078231464E-3</v>
      </c>
      <c r="P12" s="252">
        <f t="shared" si="1"/>
        <v>3.1119657078231464E-3</v>
      </c>
      <c r="Q12" s="271">
        <f t="shared" si="1"/>
        <v>3.1119657078231464E-3</v>
      </c>
    </row>
    <row r="13" spans="2:17" x14ac:dyDescent="0.25">
      <c r="B13" s="59" t="s">
        <v>89</v>
      </c>
      <c r="C13" s="62">
        <f>'BS Input'!C26</f>
        <v>0</v>
      </c>
      <c r="D13" s="62">
        <f>'BS Input'!D26</f>
        <v>0</v>
      </c>
      <c r="E13" s="62">
        <f>'BS Input'!E26</f>
        <v>0</v>
      </c>
      <c r="F13" s="62">
        <f>'BS Input'!F26</f>
        <v>0</v>
      </c>
      <c r="G13" s="62">
        <f>'BS Input'!G26</f>
        <v>0</v>
      </c>
      <c r="H13" s="92">
        <v>0</v>
      </c>
      <c r="I13" s="92">
        <v>0</v>
      </c>
      <c r="J13" s="92">
        <v>0</v>
      </c>
      <c r="K13" s="92">
        <v>0</v>
      </c>
      <c r="L13" s="92">
        <v>0</v>
      </c>
      <c r="M13" s="92">
        <v>0</v>
      </c>
      <c r="N13" s="92">
        <v>0</v>
      </c>
      <c r="O13" s="92">
        <v>0</v>
      </c>
      <c r="P13" s="92">
        <v>0</v>
      </c>
      <c r="Q13" s="107">
        <v>0</v>
      </c>
    </row>
    <row r="14" spans="2:17" x14ac:dyDescent="0.25">
      <c r="B14" s="59"/>
      <c r="C14" s="62"/>
      <c r="D14" s="62"/>
      <c r="E14" s="62"/>
      <c r="F14" s="62"/>
      <c r="G14" s="62"/>
      <c r="H14" s="92"/>
      <c r="I14" s="92"/>
      <c r="J14" s="92"/>
      <c r="K14" s="92"/>
      <c r="L14" s="92"/>
      <c r="M14" s="92"/>
      <c r="N14" s="92"/>
      <c r="O14" s="92"/>
      <c r="P14" s="92"/>
      <c r="Q14" s="107"/>
    </row>
    <row r="15" spans="2:17" x14ac:dyDescent="0.25">
      <c r="B15" s="59" t="s">
        <v>44</v>
      </c>
      <c r="C15" s="62">
        <f>'BS Input'!C56</f>
        <v>46.15</v>
      </c>
      <c r="D15" s="62">
        <f>'BS Input'!D56</f>
        <v>61.51</v>
      </c>
      <c r="E15" s="62">
        <f>'BS Input'!E56</f>
        <v>36.479999999999997</v>
      </c>
      <c r="F15" s="62">
        <f>'BS Input'!F56</f>
        <v>41.68</v>
      </c>
      <c r="G15" s="62">
        <f>'BS Input'!G56</f>
        <v>90.51</v>
      </c>
      <c r="H15" s="92">
        <f>H16*'Revenue Bulid Up'!H21</f>
        <v>74.583244448138643</v>
      </c>
      <c r="I15" s="92">
        <f>I16*'Revenue Bulid Up'!I21</f>
        <v>83.579468741815759</v>
      </c>
      <c r="J15" s="92">
        <f>J16*'Revenue Bulid Up'!J21</f>
        <v>93.660816807473878</v>
      </c>
      <c r="K15" s="92">
        <f>K16*'Revenue Bulid Up'!K21</f>
        <v>104.95817617771336</v>
      </c>
      <c r="L15" s="92">
        <f>L16*'Revenue Bulid Up'!L21</f>
        <v>117.61822202764354</v>
      </c>
      <c r="M15" s="92">
        <f>M16*'Revenue Bulid Up'!M21</f>
        <v>131.80532147891452</v>
      </c>
      <c r="N15" s="92">
        <f>N16*'Revenue Bulid Up'!N21</f>
        <v>147.70366760073071</v>
      </c>
      <c r="O15" s="92">
        <f>O16*'Revenue Bulid Up'!O21</f>
        <v>165.51967081387684</v>
      </c>
      <c r="P15" s="92">
        <f>P16*'Revenue Bulid Up'!P21</f>
        <v>185.48463874568426</v>
      </c>
      <c r="Q15" s="107">
        <f>Q16*'Revenue Bulid Up'!Q21</f>
        <v>207.85777932886378</v>
      </c>
    </row>
    <row r="16" spans="2:17" x14ac:dyDescent="0.25">
      <c r="B16" s="59"/>
      <c r="C16" s="251">
        <f>C15/'Revenue Bulid Up'!C21</f>
        <v>1.5419425067608248E-3</v>
      </c>
      <c r="D16" s="251">
        <f>D15/'Revenue Bulid Up'!D21</f>
        <v>1.7301086725388915E-3</v>
      </c>
      <c r="E16" s="251">
        <f>E15/'Revenue Bulid Up'!E21</f>
        <v>9.2897587285661355E-4</v>
      </c>
      <c r="F16" s="251">
        <f>F15/'Revenue Bulid Up'!F21</f>
        <v>1.0557709483649991E-3</v>
      </c>
      <c r="G16" s="251">
        <f>G15/'Revenue Bulid Up'!G21</f>
        <v>1.905283155894937E-3</v>
      </c>
      <c r="H16" s="252">
        <f>AVERAGE(D16:G16)</f>
        <v>1.4050346624138602E-3</v>
      </c>
      <c r="I16" s="252">
        <f>H16</f>
        <v>1.4050346624138602E-3</v>
      </c>
      <c r="J16" s="252">
        <f t="shared" ref="J16:Q16" si="2">I16</f>
        <v>1.4050346624138602E-3</v>
      </c>
      <c r="K16" s="252">
        <f t="shared" si="2"/>
        <v>1.4050346624138602E-3</v>
      </c>
      <c r="L16" s="252">
        <f t="shared" si="2"/>
        <v>1.4050346624138602E-3</v>
      </c>
      <c r="M16" s="252">
        <f t="shared" si="2"/>
        <v>1.4050346624138602E-3</v>
      </c>
      <c r="N16" s="252">
        <f t="shared" si="2"/>
        <v>1.4050346624138602E-3</v>
      </c>
      <c r="O16" s="252">
        <f t="shared" si="2"/>
        <v>1.4050346624138602E-3</v>
      </c>
      <c r="P16" s="252">
        <f t="shared" si="2"/>
        <v>1.4050346624138602E-3</v>
      </c>
      <c r="Q16" s="271">
        <f t="shared" si="2"/>
        <v>1.4050346624138602E-3</v>
      </c>
    </row>
    <row r="17" spans="2:17" x14ac:dyDescent="0.25">
      <c r="B17" s="59"/>
      <c r="C17" s="62"/>
      <c r="D17" s="62"/>
      <c r="E17" s="62"/>
      <c r="F17" s="62"/>
      <c r="G17" s="62"/>
      <c r="H17" s="92"/>
      <c r="I17" s="92"/>
      <c r="J17" s="92"/>
      <c r="K17" s="92"/>
      <c r="L17" s="92"/>
      <c r="M17" s="92"/>
      <c r="N17" s="92"/>
      <c r="O17" s="92"/>
      <c r="P17" s="92"/>
      <c r="Q17" s="107"/>
    </row>
    <row r="18" spans="2:17" x14ac:dyDescent="0.25">
      <c r="B18" s="76" t="s">
        <v>90</v>
      </c>
      <c r="C18" s="75">
        <f t="shared" ref="C18:Q18" si="3">C11+C13-C15</f>
        <v>64.569999999999993</v>
      </c>
      <c r="D18" s="75">
        <f t="shared" si="3"/>
        <v>78.56</v>
      </c>
      <c r="E18" s="75">
        <f t="shared" si="3"/>
        <v>58.07</v>
      </c>
      <c r="F18" s="75">
        <f t="shared" si="3"/>
        <v>71.319999999999993</v>
      </c>
      <c r="G18" s="75">
        <f t="shared" si="3"/>
        <v>63.309999999999988</v>
      </c>
      <c r="H18" s="75">
        <f t="shared" si="3"/>
        <v>90.608764909159405</v>
      </c>
      <c r="I18" s="75">
        <f t="shared" si="3"/>
        <v>101.53798605161941</v>
      </c>
      <c r="J18" s="75">
        <f t="shared" si="3"/>
        <v>113.78548887356757</v>
      </c>
      <c r="K18" s="75">
        <f t="shared" si="3"/>
        <v>127.51028439361367</v>
      </c>
      <c r="L18" s="75">
        <f t="shared" si="3"/>
        <v>142.89056352525091</v>
      </c>
      <c r="M18" s="75">
        <f t="shared" si="3"/>
        <v>160.1260105540662</v>
      </c>
      <c r="N18" s="75">
        <f t="shared" si="3"/>
        <v>179.44039566636522</v>
      </c>
      <c r="O18" s="75">
        <f t="shared" si="3"/>
        <v>201.0844801883691</v>
      </c>
      <c r="P18" s="75">
        <f t="shared" si="3"/>
        <v>225.33927225510377</v>
      </c>
      <c r="Q18" s="80">
        <f t="shared" si="3"/>
        <v>252.51967517778036</v>
      </c>
    </row>
    <row r="19" spans="2:17" x14ac:dyDescent="0.25">
      <c r="B19" s="59"/>
      <c r="C19" s="62"/>
      <c r="D19" s="62"/>
      <c r="E19" s="62"/>
      <c r="F19" s="62"/>
      <c r="G19" s="62"/>
      <c r="H19" s="92"/>
      <c r="I19" s="92"/>
      <c r="J19" s="92"/>
      <c r="K19" s="92"/>
      <c r="L19" s="92"/>
      <c r="M19" s="92"/>
      <c r="N19" s="92"/>
      <c r="O19" s="92"/>
      <c r="P19" s="92"/>
      <c r="Q19" s="107"/>
    </row>
    <row r="20" spans="2:17" x14ac:dyDescent="0.25">
      <c r="B20" s="59" t="s">
        <v>91</v>
      </c>
      <c r="C20" s="132">
        <f>C11/'Revenue Bulid Up'!C21*365</f>
        <v>1.3502538274588054</v>
      </c>
      <c r="D20" s="132">
        <f>D11/'Revenue Bulid Up'!D21*365</f>
        <v>1.4380223938110994</v>
      </c>
      <c r="E20" s="132">
        <f>E11/'Revenue Bulid Up'!E21*365</f>
        <v>0.87882823750510897</v>
      </c>
      <c r="F20" s="132">
        <f>F11/'Revenue Bulid Up'!F21*365</f>
        <v>1.0447522256553354</v>
      </c>
      <c r="G20" s="132">
        <f>G11/'Revenue Bulid Up'!G21*365</f>
        <v>1.1818670764502497</v>
      </c>
      <c r="H20" s="132">
        <f>H11/'Revenue Bulid Up'!H21*365</f>
        <v>1.1358674833554483</v>
      </c>
      <c r="I20" s="132">
        <f>I11/'Revenue Bulid Up'!I21*365</f>
        <v>1.1358674833554485</v>
      </c>
      <c r="J20" s="132">
        <f>J11/'Revenue Bulid Up'!J21*365</f>
        <v>1.1358674833554485</v>
      </c>
      <c r="K20" s="132">
        <f>K11/'Revenue Bulid Up'!K21*365</f>
        <v>1.1358674833554485</v>
      </c>
      <c r="L20" s="132">
        <f>L11/'Revenue Bulid Up'!L21*365</f>
        <v>1.1358674833554485</v>
      </c>
      <c r="M20" s="132">
        <f>M11/'Revenue Bulid Up'!M21*365</f>
        <v>1.1358674833554485</v>
      </c>
      <c r="N20" s="132">
        <f>N11/'Revenue Bulid Up'!N21*365</f>
        <v>1.1358674833554485</v>
      </c>
      <c r="O20" s="132">
        <f>O11/'Revenue Bulid Up'!O21*365</f>
        <v>1.1358674833554485</v>
      </c>
      <c r="P20" s="132">
        <f>P11/'Revenue Bulid Up'!P21*365</f>
        <v>1.1358674833554485</v>
      </c>
      <c r="Q20" s="133">
        <f>Q11/'Revenue Bulid Up'!Q21*365</f>
        <v>1.1358674833554485</v>
      </c>
    </row>
    <row r="21" spans="2:17" x14ac:dyDescent="0.25">
      <c r="B21" s="59"/>
      <c r="C21" s="132"/>
      <c r="D21" s="132"/>
      <c r="E21" s="132"/>
      <c r="F21" s="132"/>
      <c r="G21" s="132"/>
      <c r="H21" s="132"/>
      <c r="I21" s="132"/>
      <c r="J21" s="132"/>
      <c r="K21" s="132"/>
      <c r="L21" s="132"/>
      <c r="M21" s="132"/>
      <c r="N21" s="132"/>
      <c r="O21" s="132"/>
      <c r="P21" s="132"/>
      <c r="Q21" s="133"/>
    </row>
    <row r="22" spans="2:17" x14ac:dyDescent="0.25">
      <c r="B22" s="59" t="s">
        <v>92</v>
      </c>
      <c r="C22" s="132">
        <f>C15/'Revenue Bulid Up'!C21*365</f>
        <v>0.56280901496770108</v>
      </c>
      <c r="D22" s="132">
        <f>D15/'Revenue Bulid Up'!D21*365</f>
        <v>0.63148966547669538</v>
      </c>
      <c r="E22" s="132">
        <f>E15/'Revenue Bulid Up'!E21*365</f>
        <v>0.33907619359266394</v>
      </c>
      <c r="F22" s="132">
        <f>F15/'Revenue Bulid Up'!F21*365</f>
        <v>0.38535639615322465</v>
      </c>
      <c r="G22" s="132">
        <f>G15/'Revenue Bulid Up'!G21*365</f>
        <v>0.69542835190165198</v>
      </c>
      <c r="H22" s="132">
        <f>H15/'Revenue Bulid Up'!H21*365</f>
        <v>0.512837651781059</v>
      </c>
      <c r="I22" s="132">
        <f>I15/'Revenue Bulid Up'!I21*365</f>
        <v>0.512837651781059</v>
      </c>
      <c r="J22" s="132">
        <f>J15/'Revenue Bulid Up'!J21*365</f>
        <v>0.512837651781059</v>
      </c>
      <c r="K22" s="132">
        <f>K15/'Revenue Bulid Up'!K21*365</f>
        <v>0.512837651781059</v>
      </c>
      <c r="L22" s="132">
        <f>L15/'Revenue Bulid Up'!L21*365</f>
        <v>0.512837651781059</v>
      </c>
      <c r="M22" s="132">
        <f>M15/'Revenue Bulid Up'!M21*365</f>
        <v>0.512837651781059</v>
      </c>
      <c r="N22" s="132">
        <f>N15/'Revenue Bulid Up'!N21*365</f>
        <v>0.512837651781059</v>
      </c>
      <c r="O22" s="132">
        <f>O15/'Revenue Bulid Up'!O21*365</f>
        <v>0.512837651781059</v>
      </c>
      <c r="P22" s="132">
        <f>P15/'Revenue Bulid Up'!P21*365</f>
        <v>0.512837651781059</v>
      </c>
      <c r="Q22" s="133">
        <f>Q15/'Revenue Bulid Up'!Q21*365</f>
        <v>0.512837651781059</v>
      </c>
    </row>
    <row r="23" spans="2:17" x14ac:dyDescent="0.25">
      <c r="B23" s="59"/>
      <c r="C23" s="62"/>
      <c r="D23" s="62"/>
      <c r="E23" s="62"/>
      <c r="F23" s="62"/>
      <c r="G23" s="62"/>
      <c r="H23" s="92"/>
      <c r="I23" s="92"/>
      <c r="J23" s="92"/>
      <c r="K23" s="92"/>
      <c r="L23" s="92"/>
      <c r="M23" s="92"/>
      <c r="N23" s="92"/>
      <c r="O23" s="92"/>
      <c r="P23" s="92"/>
      <c r="Q23" s="107"/>
    </row>
    <row r="24" spans="2:17" x14ac:dyDescent="0.25">
      <c r="B24" s="76" t="s">
        <v>93</v>
      </c>
      <c r="C24" s="75">
        <f>C20-C22</f>
        <v>0.78744481249110432</v>
      </c>
      <c r="D24" s="75">
        <f t="shared" ref="D24:Q24" si="4">D20-D22</f>
        <v>0.80653272833440404</v>
      </c>
      <c r="E24" s="75">
        <f t="shared" si="4"/>
        <v>0.53975204391244502</v>
      </c>
      <c r="F24" s="75">
        <f t="shared" si="4"/>
        <v>0.65939582950211073</v>
      </c>
      <c r="G24" s="75">
        <f t="shared" si="4"/>
        <v>0.48643872454859771</v>
      </c>
      <c r="H24" s="75">
        <f t="shared" si="4"/>
        <v>0.62302983157438929</v>
      </c>
      <c r="I24" s="75">
        <f t="shared" si="4"/>
        <v>0.62302983157438951</v>
      </c>
      <c r="J24" s="75">
        <f t="shared" si="4"/>
        <v>0.62302983157438951</v>
      </c>
      <c r="K24" s="75">
        <f t="shared" si="4"/>
        <v>0.62302983157438951</v>
      </c>
      <c r="L24" s="75">
        <f t="shared" si="4"/>
        <v>0.62302983157438951</v>
      </c>
      <c r="M24" s="75">
        <f t="shared" si="4"/>
        <v>0.62302983157438951</v>
      </c>
      <c r="N24" s="75">
        <f t="shared" si="4"/>
        <v>0.62302983157438951</v>
      </c>
      <c r="O24" s="75">
        <f t="shared" si="4"/>
        <v>0.62302983157438951</v>
      </c>
      <c r="P24" s="75">
        <f t="shared" si="4"/>
        <v>0.62302983157438951</v>
      </c>
      <c r="Q24" s="80">
        <f t="shared" si="4"/>
        <v>0.62302983157438951</v>
      </c>
    </row>
    <row r="25" spans="2:17" x14ac:dyDescent="0.25">
      <c r="B25" s="27"/>
    </row>
    <row r="26" spans="2:17" x14ac:dyDescent="0.25">
      <c r="B26" s="39"/>
      <c r="C26" s="39"/>
      <c r="D26" s="39"/>
      <c r="E26" s="39"/>
      <c r="F26" s="39"/>
      <c r="G26" s="39"/>
      <c r="H26" s="39"/>
      <c r="I26" s="39"/>
      <c r="J26" s="39"/>
      <c r="K26" s="39"/>
      <c r="L26" s="39"/>
      <c r="M26" s="39"/>
      <c r="N26" s="39"/>
      <c r="O26" s="39"/>
      <c r="P26" s="39"/>
      <c r="Q26" s="39"/>
    </row>
  </sheetData>
  <mergeCells count="2">
    <mergeCell ref="B7:B8"/>
    <mergeCell ref="B6:Q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0004-6BCF-4F33-B4AA-70798EEF69BD}">
  <dimension ref="B5:R62"/>
  <sheetViews>
    <sheetView showGridLines="0" topLeftCell="F49" zoomScaleNormal="100" workbookViewId="0">
      <selection activeCell="B12" sqref="B12"/>
    </sheetView>
  </sheetViews>
  <sheetFormatPr defaultRowHeight="15" x14ac:dyDescent="0.25"/>
  <cols>
    <col min="1" max="1" width="0.85546875" customWidth="1"/>
    <col min="2" max="2" width="46" customWidth="1"/>
    <col min="3" max="5" width="13.140625" bestFit="1" customWidth="1"/>
    <col min="6" max="13" width="13.5703125" bestFit="1" customWidth="1"/>
    <col min="14" max="14" width="15" bestFit="1" customWidth="1"/>
    <col min="15" max="17" width="14.42578125" bestFit="1" customWidth="1"/>
  </cols>
  <sheetData>
    <row r="5" spans="2:17" x14ac:dyDescent="0.25">
      <c r="Q5" t="s">
        <v>259</v>
      </c>
    </row>
    <row r="6" spans="2:17" ht="18" x14ac:dyDescent="0.25">
      <c r="B6" s="303" t="s">
        <v>264</v>
      </c>
      <c r="C6" s="303"/>
      <c r="D6" s="303"/>
      <c r="E6" s="303"/>
      <c r="F6" s="303"/>
      <c r="G6" s="303"/>
      <c r="H6" s="303"/>
      <c r="I6" s="303"/>
      <c r="J6" s="303"/>
      <c r="K6" s="303"/>
      <c r="L6" s="303"/>
      <c r="M6" s="303"/>
      <c r="N6" s="303"/>
      <c r="O6" s="303"/>
      <c r="P6" s="303"/>
      <c r="Q6" s="303"/>
    </row>
    <row r="7" spans="2:17" x14ac:dyDescent="0.25">
      <c r="B7" s="306" t="s">
        <v>63</v>
      </c>
      <c r="C7" s="7">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24">
        <f t="shared" si="0"/>
        <v>2034</v>
      </c>
    </row>
    <row r="8" spans="2:17"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7" x14ac:dyDescent="0.25">
      <c r="B9" s="152"/>
      <c r="C9" s="14"/>
      <c r="D9" s="14"/>
      <c r="E9" s="14"/>
      <c r="F9" s="14"/>
      <c r="G9" s="14"/>
      <c r="Q9" s="17"/>
    </row>
    <row r="10" spans="2:17" x14ac:dyDescent="0.25">
      <c r="B10" s="59" t="s">
        <v>64</v>
      </c>
      <c r="C10" s="147">
        <f>'Revenue Bulid Up'!C21</f>
        <v>29929.78</v>
      </c>
      <c r="D10" s="147">
        <f>'Revenue Bulid Up'!D21</f>
        <v>35552.68</v>
      </c>
      <c r="E10" s="147">
        <f>'Revenue Bulid Up'!E21</f>
        <v>39269.049999999996</v>
      </c>
      <c r="F10" s="147">
        <f>'Revenue Bulid Up'!F21</f>
        <v>39478.259999999995</v>
      </c>
      <c r="G10" s="147">
        <f>'Revenue Bulid Up'!G21</f>
        <v>47504.75</v>
      </c>
      <c r="H10" s="148">
        <f>'Revenue Bulid Up'!H21</f>
        <v>53082.850155457418</v>
      </c>
      <c r="I10" s="148">
        <f>'Revenue Bulid Up'!I21</f>
        <v>59485.698807049783</v>
      </c>
      <c r="J10" s="148">
        <f>'Revenue Bulid Up'!J21</f>
        <v>66660.858491963387</v>
      </c>
      <c r="K10" s="148">
        <f>'Revenue Bulid Up'!K21</f>
        <v>74701.485298159416</v>
      </c>
      <c r="L10" s="148">
        <f>'Revenue Bulid Up'!L21</f>
        <v>83711.971792620796</v>
      </c>
      <c r="M10" s="148">
        <f>'Revenue Bulid Up'!M21</f>
        <v>93809.302364449846</v>
      </c>
      <c r="N10" s="148">
        <f>'Revenue Bulid Up'!N21</f>
        <v>105124.57204932914</v>
      </c>
      <c r="O10" s="148">
        <f>'Revenue Bulid Up'!O21</f>
        <v>117804.68855445374</v>
      </c>
      <c r="P10" s="148">
        <f>'Revenue Bulid Up'!P21</f>
        <v>132014.27958155869</v>
      </c>
      <c r="Q10" s="154">
        <f>'Revenue Bulid Up'!Q21</f>
        <v>147937.83021108003</v>
      </c>
    </row>
    <row r="11" spans="2:17" x14ac:dyDescent="0.25">
      <c r="B11" s="59"/>
      <c r="C11" s="147"/>
      <c r="D11" s="147"/>
      <c r="E11" s="147"/>
      <c r="F11" s="147"/>
      <c r="G11" s="147"/>
      <c r="H11" s="148"/>
      <c r="I11" s="148"/>
      <c r="J11" s="148"/>
      <c r="K11" s="148"/>
      <c r="L11" s="148"/>
      <c r="M11" s="148"/>
      <c r="N11" s="148"/>
      <c r="O11" s="148"/>
      <c r="P11" s="148"/>
      <c r="Q11" s="154"/>
    </row>
    <row r="12" spans="2:17" x14ac:dyDescent="0.25">
      <c r="B12" s="64" t="s">
        <v>38</v>
      </c>
      <c r="C12" s="147"/>
      <c r="D12" s="147"/>
      <c r="E12" s="147"/>
      <c r="F12" s="147"/>
      <c r="G12" s="147"/>
      <c r="H12" s="148"/>
      <c r="I12" s="148"/>
      <c r="J12" s="148"/>
      <c r="K12" s="148"/>
      <c r="L12" s="148"/>
      <c r="M12" s="148"/>
      <c r="N12" s="148"/>
      <c r="O12" s="148"/>
      <c r="P12" s="148"/>
      <c r="Q12" s="154"/>
    </row>
    <row r="13" spans="2:17" x14ac:dyDescent="0.25">
      <c r="B13" s="59" t="s">
        <v>29</v>
      </c>
      <c r="C13" s="147">
        <f>'BS Input'!C11</f>
        <v>409.94</v>
      </c>
      <c r="D13" s="147">
        <f>'BS Input'!D11</f>
        <v>168.92</v>
      </c>
      <c r="E13" s="147">
        <f>'BS Input'!E11</f>
        <v>191.56</v>
      </c>
      <c r="F13" s="147">
        <f>'BS Input'!F11</f>
        <v>305.95</v>
      </c>
      <c r="G13" s="147">
        <f>'BS Input'!G11</f>
        <v>309.68</v>
      </c>
      <c r="H13" s="148">
        <f>H14*H$10</f>
        <v>399.12877579276847</v>
      </c>
      <c r="I13" s="148">
        <f t="shared" ref="I13:Q13" si="1">I14*I$10</f>
        <v>447.2716531328561</v>
      </c>
      <c r="J13" s="148">
        <f t="shared" si="1"/>
        <v>501.22152004411441</v>
      </c>
      <c r="K13" s="148">
        <f t="shared" si="1"/>
        <v>561.67881509072561</v>
      </c>
      <c r="L13" s="148">
        <f t="shared" si="1"/>
        <v>629.42846367401489</v>
      </c>
      <c r="M13" s="148">
        <f t="shared" si="1"/>
        <v>705.35006882721314</v>
      </c>
      <c r="N13" s="148">
        <f t="shared" si="1"/>
        <v>790.42933122297177</v>
      </c>
      <c r="O13" s="148">
        <f t="shared" si="1"/>
        <v>885.770846661169</v>
      </c>
      <c r="P13" s="148">
        <f t="shared" si="1"/>
        <v>992.61244718855187</v>
      </c>
      <c r="Q13" s="154">
        <f t="shared" si="1"/>
        <v>1112.3412720429501</v>
      </c>
    </row>
    <row r="14" spans="2:17" x14ac:dyDescent="0.25">
      <c r="B14" s="59"/>
      <c r="C14" s="149">
        <f>C13/C$10</f>
        <v>1.3696726136977954E-2</v>
      </c>
      <c r="D14" s="149">
        <f>D13/D$10</f>
        <v>4.7512592580924978E-3</v>
      </c>
      <c r="E14" s="149">
        <f>E13/E$10</f>
        <v>4.878141946392898E-3</v>
      </c>
      <c r="F14" s="149">
        <f>F13/F$10</f>
        <v>7.7498349724633257E-3</v>
      </c>
      <c r="G14" s="149">
        <f>G13/G$10</f>
        <v>6.5189270546629546E-3</v>
      </c>
      <c r="H14" s="150">
        <f>AVERAGE(C14:G14)</f>
        <v>7.5189778737179257E-3</v>
      </c>
      <c r="I14" s="151">
        <f>H14</f>
        <v>7.5189778737179257E-3</v>
      </c>
      <c r="J14" s="151">
        <f t="shared" ref="J14:Q14" si="2">I14</f>
        <v>7.5189778737179257E-3</v>
      </c>
      <c r="K14" s="151">
        <f t="shared" si="2"/>
        <v>7.5189778737179257E-3</v>
      </c>
      <c r="L14" s="151">
        <f t="shared" si="2"/>
        <v>7.5189778737179257E-3</v>
      </c>
      <c r="M14" s="151">
        <f t="shared" si="2"/>
        <v>7.5189778737179257E-3</v>
      </c>
      <c r="N14" s="151">
        <f t="shared" si="2"/>
        <v>7.5189778737179257E-3</v>
      </c>
      <c r="O14" s="151">
        <f t="shared" si="2"/>
        <v>7.5189778737179257E-3</v>
      </c>
      <c r="P14" s="151">
        <f t="shared" si="2"/>
        <v>7.5189778737179257E-3</v>
      </c>
      <c r="Q14" s="155">
        <f t="shared" si="2"/>
        <v>7.5189778737179257E-3</v>
      </c>
    </row>
    <row r="15" spans="2:17" x14ac:dyDescent="0.25">
      <c r="B15" s="59" t="s">
        <v>30</v>
      </c>
      <c r="C15" s="147">
        <f>'BS Input'!C12</f>
        <v>2050.5700000000002</v>
      </c>
      <c r="D15" s="147">
        <f>'BS Input'!D12</f>
        <v>2461.0300000000002</v>
      </c>
      <c r="E15" s="147">
        <f>'BS Input'!E12</f>
        <v>3160.12</v>
      </c>
      <c r="F15" s="147">
        <f>'BS Input'!F12</f>
        <v>3307.56</v>
      </c>
      <c r="G15" s="147">
        <f>'BS Input'!G12</f>
        <v>2500.96</v>
      </c>
      <c r="H15" s="148">
        <f t="shared" ref="H15:Q15" si="3">H16*H$10</f>
        <v>3765.0248541219098</v>
      </c>
      <c r="I15" s="148">
        <f t="shared" si="3"/>
        <v>4219.1618162448412</v>
      </c>
      <c r="J15" s="148">
        <f t="shared" si="3"/>
        <v>4728.076738237135</v>
      </c>
      <c r="K15" s="148">
        <f t="shared" si="3"/>
        <v>5298.3769327329001</v>
      </c>
      <c r="L15" s="148">
        <f t="shared" si="3"/>
        <v>5937.4666858268965</v>
      </c>
      <c r="M15" s="148">
        <f t="shared" si="3"/>
        <v>6653.6433879422957</v>
      </c>
      <c r="N15" s="148">
        <f t="shared" si="3"/>
        <v>7456.2052599951066</v>
      </c>
      <c r="O15" s="148">
        <f t="shared" si="3"/>
        <v>8355.5720734789775</v>
      </c>
      <c r="P15" s="148">
        <f t="shared" si="3"/>
        <v>9363.4204317958411</v>
      </c>
      <c r="Q15" s="154">
        <f t="shared" si="3"/>
        <v>10492.835369208593</v>
      </c>
    </row>
    <row r="16" spans="2:17" x14ac:dyDescent="0.25">
      <c r="B16" s="59"/>
      <c r="C16" s="149">
        <f>C15/C$10</f>
        <v>6.851269872347876E-2</v>
      </c>
      <c r="D16" s="149">
        <f>D15/D$10</f>
        <v>6.9222067084675473E-2</v>
      </c>
      <c r="E16" s="149">
        <f>E15/E$10</f>
        <v>8.0473553600099834E-2</v>
      </c>
      <c r="F16" s="149">
        <f>F15/F$10</f>
        <v>8.3781808012815165E-2</v>
      </c>
      <c r="G16" s="149">
        <f>G15/G$10</f>
        <v>5.2646524821202093E-2</v>
      </c>
      <c r="H16" s="150">
        <f>AVERAGE(C16:G16)</f>
        <v>7.0927330448454257E-2</v>
      </c>
      <c r="I16" s="151">
        <f>H16</f>
        <v>7.0927330448454257E-2</v>
      </c>
      <c r="J16" s="151">
        <f t="shared" ref="J16:Q16" si="4">I16</f>
        <v>7.0927330448454257E-2</v>
      </c>
      <c r="K16" s="151">
        <f t="shared" si="4"/>
        <v>7.0927330448454257E-2</v>
      </c>
      <c r="L16" s="151">
        <f t="shared" si="4"/>
        <v>7.0927330448454257E-2</v>
      </c>
      <c r="M16" s="151">
        <f t="shared" si="4"/>
        <v>7.0927330448454257E-2</v>
      </c>
      <c r="N16" s="151">
        <f t="shared" si="4"/>
        <v>7.0927330448454257E-2</v>
      </c>
      <c r="O16" s="151">
        <f t="shared" si="4"/>
        <v>7.0927330448454257E-2</v>
      </c>
      <c r="P16" s="151">
        <f t="shared" si="4"/>
        <v>7.0927330448454257E-2</v>
      </c>
      <c r="Q16" s="155">
        <f t="shared" si="4"/>
        <v>7.0927330448454257E-2</v>
      </c>
    </row>
    <row r="17" spans="2:18" x14ac:dyDescent="0.25">
      <c r="B17" s="59"/>
      <c r="C17" s="147"/>
      <c r="D17" s="147"/>
      <c r="E17" s="147"/>
      <c r="F17" s="147"/>
      <c r="G17" s="147"/>
      <c r="H17" s="148"/>
      <c r="I17" s="148"/>
      <c r="J17" s="148"/>
      <c r="K17" s="148"/>
      <c r="L17" s="148"/>
      <c r="M17" s="148"/>
      <c r="N17" s="148"/>
      <c r="O17" s="148"/>
      <c r="P17" s="148"/>
      <c r="Q17" s="154"/>
    </row>
    <row r="18" spans="2:18" x14ac:dyDescent="0.25">
      <c r="B18" s="59" t="s">
        <v>36</v>
      </c>
      <c r="C18" s="147">
        <f>'BS Input'!C18</f>
        <v>132.37</v>
      </c>
      <c r="D18" s="147">
        <f>'BS Input'!D18</f>
        <v>102.67</v>
      </c>
      <c r="E18" s="147">
        <f>'BS Input'!E18</f>
        <v>68.680000000000007</v>
      </c>
      <c r="F18" s="147">
        <f>'BS Input'!F18</f>
        <v>74.400000000000006</v>
      </c>
      <c r="G18" s="147">
        <f>'BS Input'!G18</f>
        <v>117.03</v>
      </c>
      <c r="H18" s="148">
        <f t="shared" ref="H18:Q18" si="5">H19*H$10</f>
        <v>142.34269659858001</v>
      </c>
      <c r="I18" s="148">
        <f t="shared" si="5"/>
        <v>159.51205996756141</v>
      </c>
      <c r="J18" s="148">
        <f t="shared" si="5"/>
        <v>178.752390414871</v>
      </c>
      <c r="K18" s="148">
        <f t="shared" si="5"/>
        <v>200.31348780479897</v>
      </c>
      <c r="L18" s="148">
        <f t="shared" si="5"/>
        <v>224.47528283898777</v>
      </c>
      <c r="M18" s="148">
        <f t="shared" si="5"/>
        <v>251.55147143534677</v>
      </c>
      <c r="N18" s="148">
        <f t="shared" si="5"/>
        <v>281.89358748542651</v>
      </c>
      <c r="O18" s="148">
        <f t="shared" si="5"/>
        <v>315.89556686742537</v>
      </c>
      <c r="P18" s="148">
        <f t="shared" si="5"/>
        <v>353.99886197003696</v>
      </c>
      <c r="Q18" s="154">
        <f t="shared" si="5"/>
        <v>396.69817312970827</v>
      </c>
      <c r="R18" s="12"/>
    </row>
    <row r="19" spans="2:18" x14ac:dyDescent="0.25">
      <c r="B19" s="59"/>
      <c r="C19" s="149">
        <f>C18/C$10</f>
        <v>4.4226853655456207E-3</v>
      </c>
      <c r="D19" s="149">
        <f>D18/D$10</f>
        <v>2.8878273030331328E-3</v>
      </c>
      <c r="E19" s="149">
        <f>E18/E$10</f>
        <v>1.7489600588758835E-3</v>
      </c>
      <c r="F19" s="149">
        <f>F18/F$10</f>
        <v>1.8845815393079637E-3</v>
      </c>
      <c r="G19" s="149">
        <f>G18/G$10</f>
        <v>2.4635431193722732E-3</v>
      </c>
      <c r="H19" s="150">
        <f>AVERAGE(C19:G19)</f>
        <v>2.6815194772269748E-3</v>
      </c>
      <c r="I19" s="151">
        <f>H19</f>
        <v>2.6815194772269748E-3</v>
      </c>
      <c r="J19" s="151">
        <f t="shared" ref="J19:Q19" si="6">I19</f>
        <v>2.6815194772269748E-3</v>
      </c>
      <c r="K19" s="151">
        <f t="shared" si="6"/>
        <v>2.6815194772269748E-3</v>
      </c>
      <c r="L19" s="151">
        <f t="shared" si="6"/>
        <v>2.6815194772269748E-3</v>
      </c>
      <c r="M19" s="151">
        <f t="shared" si="6"/>
        <v>2.6815194772269748E-3</v>
      </c>
      <c r="N19" s="151">
        <f t="shared" si="6"/>
        <v>2.6815194772269748E-3</v>
      </c>
      <c r="O19" s="151">
        <f t="shared" si="6"/>
        <v>2.6815194772269748E-3</v>
      </c>
      <c r="P19" s="151">
        <f t="shared" si="6"/>
        <v>2.6815194772269748E-3</v>
      </c>
      <c r="Q19" s="155">
        <f t="shared" si="6"/>
        <v>2.6815194772269748E-3</v>
      </c>
    </row>
    <row r="20" spans="2:18" x14ac:dyDescent="0.25">
      <c r="B20" s="59"/>
      <c r="C20" s="147"/>
      <c r="D20" s="147"/>
      <c r="E20" s="147"/>
      <c r="F20" s="147"/>
      <c r="G20" s="147"/>
      <c r="H20" s="148"/>
      <c r="I20" s="148"/>
      <c r="J20" s="148"/>
      <c r="K20" s="148"/>
      <c r="L20" s="148"/>
      <c r="M20" s="148"/>
      <c r="N20" s="148"/>
      <c r="O20" s="148"/>
      <c r="P20" s="148"/>
      <c r="Q20" s="154"/>
    </row>
    <row r="21" spans="2:18" x14ac:dyDescent="0.25">
      <c r="B21" s="64" t="s">
        <v>27</v>
      </c>
      <c r="C21" s="147"/>
      <c r="D21" s="147"/>
      <c r="E21" s="147"/>
      <c r="F21" s="147"/>
      <c r="G21" s="147"/>
      <c r="H21" s="148"/>
      <c r="I21" s="148"/>
      <c r="J21" s="148"/>
      <c r="K21" s="148"/>
      <c r="L21" s="148"/>
      <c r="M21" s="148"/>
      <c r="N21" s="148"/>
      <c r="O21" s="148"/>
      <c r="P21" s="148"/>
      <c r="Q21" s="154"/>
    </row>
    <row r="22" spans="2:18" x14ac:dyDescent="0.25">
      <c r="B22" s="59" t="s">
        <v>65</v>
      </c>
      <c r="C22" s="147">
        <f>'BS Input'!C25</f>
        <v>2257.4499999999998</v>
      </c>
      <c r="D22" s="147">
        <f>'BS Input'!D25</f>
        <v>2223.58</v>
      </c>
      <c r="E22" s="147">
        <f>'BS Input'!E25</f>
        <v>2518.96</v>
      </c>
      <c r="F22" s="147">
        <f>'BS Input'!F25</f>
        <v>2346.91</v>
      </c>
      <c r="G22" s="147">
        <f>'BS Input'!G25</f>
        <v>2699.75</v>
      </c>
      <c r="H22" s="148">
        <f t="shared" ref="H22:Q22" si="7">H23*H$10</f>
        <v>3380.2483348309065</v>
      </c>
      <c r="I22" s="148">
        <f t="shared" si="7"/>
        <v>3787.9735875129968</v>
      </c>
      <c r="J22" s="148">
        <f t="shared" si="7"/>
        <v>4244.8786238108933</v>
      </c>
      <c r="K22" s="148">
        <f t="shared" si="7"/>
        <v>4756.8955048382695</v>
      </c>
      <c r="L22" s="148">
        <f t="shared" si="7"/>
        <v>5330.6718163912783</v>
      </c>
      <c r="M22" s="148">
        <f t="shared" si="7"/>
        <v>5973.6569754719521</v>
      </c>
      <c r="N22" s="148">
        <f t="shared" si="7"/>
        <v>6694.1989470967292</v>
      </c>
      <c r="O22" s="148">
        <f t="shared" si="7"/>
        <v>7501.6526270778277</v>
      </c>
      <c r="P22" s="148">
        <f t="shared" si="7"/>
        <v>8406.5012979260246</v>
      </c>
      <c r="Q22" s="154">
        <f t="shared" si="7"/>
        <v>9420.4927347536013</v>
      </c>
    </row>
    <row r="23" spans="2:18" x14ac:dyDescent="0.25">
      <c r="B23" s="59"/>
      <c r="C23" s="149">
        <f>C22/C$10</f>
        <v>7.5424877830709072E-2</v>
      </c>
      <c r="D23" s="149">
        <f>D22/D$10</f>
        <v>6.2543245684994767E-2</v>
      </c>
      <c r="E23" s="149">
        <f>E22/E$10</f>
        <v>6.4146191466307442E-2</v>
      </c>
      <c r="F23" s="149">
        <f>F22/F$10</f>
        <v>5.9448162102382428E-2</v>
      </c>
      <c r="G23" s="149">
        <f>G22/G$10</f>
        <v>5.6831158989364222E-2</v>
      </c>
      <c r="H23" s="150">
        <f t="shared" ref="H23:H35" si="8">AVERAGE(C23:G23)</f>
        <v>6.3678727214751582E-2</v>
      </c>
      <c r="I23" s="151">
        <f>H23</f>
        <v>6.3678727214751582E-2</v>
      </c>
      <c r="J23" s="151">
        <f t="shared" ref="J23:Q23" si="9">I23</f>
        <v>6.3678727214751582E-2</v>
      </c>
      <c r="K23" s="151">
        <f t="shared" si="9"/>
        <v>6.3678727214751582E-2</v>
      </c>
      <c r="L23" s="151">
        <f t="shared" si="9"/>
        <v>6.3678727214751582E-2</v>
      </c>
      <c r="M23" s="151">
        <f t="shared" si="9"/>
        <v>6.3678727214751582E-2</v>
      </c>
      <c r="N23" s="151">
        <f t="shared" si="9"/>
        <v>6.3678727214751582E-2</v>
      </c>
      <c r="O23" s="151">
        <f t="shared" si="9"/>
        <v>6.3678727214751582E-2</v>
      </c>
      <c r="P23" s="151">
        <f t="shared" si="9"/>
        <v>6.3678727214751582E-2</v>
      </c>
      <c r="Q23" s="155">
        <f t="shared" si="9"/>
        <v>6.3678727214751582E-2</v>
      </c>
    </row>
    <row r="24" spans="2:18" x14ac:dyDescent="0.25">
      <c r="B24" s="59"/>
      <c r="C24" s="147"/>
      <c r="D24" s="147"/>
      <c r="E24" s="147"/>
      <c r="F24" s="147"/>
      <c r="G24" s="147"/>
      <c r="H24" s="148"/>
      <c r="I24" s="148"/>
      <c r="J24" s="148"/>
      <c r="K24" s="148"/>
      <c r="L24" s="148"/>
      <c r="M24" s="148"/>
      <c r="N24" s="148"/>
      <c r="O24" s="148"/>
      <c r="P24" s="148"/>
      <c r="Q24" s="154"/>
    </row>
    <row r="25" spans="2:18" x14ac:dyDescent="0.25">
      <c r="B25" s="59" t="s">
        <v>23</v>
      </c>
      <c r="C25" s="147">
        <f>'BS Input'!C28</f>
        <v>3318.85</v>
      </c>
      <c r="D25" s="147">
        <f>'BS Input'!D28</f>
        <v>2311.2199999999998</v>
      </c>
      <c r="E25" s="147">
        <f>'BS Input'!E28</f>
        <v>5510.17</v>
      </c>
      <c r="F25" s="147">
        <f>'BS Input'!F28</f>
        <v>8981.61</v>
      </c>
      <c r="G25" s="147">
        <f>'BS Input'!G28</f>
        <v>12482.02</v>
      </c>
      <c r="H25" s="148">
        <f t="shared" ref="H25:Q25" si="10">H26*H$10</f>
        <v>8562.0029723506068</v>
      </c>
      <c r="I25" s="148">
        <f t="shared" si="10"/>
        <v>9594.751007278961</v>
      </c>
      <c r="J25" s="148">
        <f t="shared" si="10"/>
        <v>10752.069018075421</v>
      </c>
      <c r="K25" s="148">
        <f t="shared" si="10"/>
        <v>12048.982624119511</v>
      </c>
      <c r="L25" s="148">
        <f t="shared" si="10"/>
        <v>13502.329833660253</v>
      </c>
      <c r="M25" s="148">
        <f t="shared" si="10"/>
        <v>15130.979653999992</v>
      </c>
      <c r="N25" s="148">
        <f t="shared" si="10"/>
        <v>16956.077070419047</v>
      </c>
      <c r="O25" s="148">
        <f t="shared" si="10"/>
        <v>19001.317574436463</v>
      </c>
      <c r="P25" s="148">
        <f t="shared" si="10"/>
        <v>21293.254805645047</v>
      </c>
      <c r="Q25" s="154">
        <f t="shared" si="10"/>
        <v>23861.645301277098</v>
      </c>
    </row>
    <row r="26" spans="2:18" x14ac:dyDescent="0.25">
      <c r="B26" s="59"/>
      <c r="C26" s="149">
        <f>C25/C$10</f>
        <v>0.11088788490927765</v>
      </c>
      <c r="D26" s="149">
        <f>D25/D$10</f>
        <v>6.5008320047883872E-2</v>
      </c>
      <c r="E26" s="149">
        <f>E25/E$10</f>
        <v>0.14031839323844097</v>
      </c>
      <c r="F26" s="149">
        <f>F25/F$10</f>
        <v>0.22750774730193279</v>
      </c>
      <c r="G26" s="149">
        <f>G25/G$10</f>
        <v>0.26275309311174144</v>
      </c>
      <c r="H26" s="150">
        <f t="shared" si="8"/>
        <v>0.16129508772185536</v>
      </c>
      <c r="I26" s="151">
        <f>H26</f>
        <v>0.16129508772185536</v>
      </c>
      <c r="J26" s="151">
        <f t="shared" ref="J26:Q26" si="11">I26</f>
        <v>0.16129508772185536</v>
      </c>
      <c r="K26" s="151">
        <f t="shared" si="11"/>
        <v>0.16129508772185536</v>
      </c>
      <c r="L26" s="151">
        <f t="shared" si="11"/>
        <v>0.16129508772185536</v>
      </c>
      <c r="M26" s="151">
        <f t="shared" si="11"/>
        <v>0.16129508772185536</v>
      </c>
      <c r="N26" s="151">
        <f t="shared" si="11"/>
        <v>0.16129508772185536</v>
      </c>
      <c r="O26" s="151">
        <f t="shared" si="11"/>
        <v>0.16129508772185536</v>
      </c>
      <c r="P26" s="151">
        <f t="shared" si="11"/>
        <v>0.16129508772185536</v>
      </c>
      <c r="Q26" s="155">
        <f t="shared" si="11"/>
        <v>0.16129508772185536</v>
      </c>
    </row>
    <row r="27" spans="2:18" x14ac:dyDescent="0.25">
      <c r="B27" s="59"/>
      <c r="C27" s="147"/>
      <c r="D27" s="147"/>
      <c r="E27" s="147"/>
      <c r="F27" s="147"/>
      <c r="G27" s="147"/>
      <c r="H27" s="148"/>
      <c r="I27" s="148"/>
      <c r="J27" s="148"/>
      <c r="K27" s="148"/>
      <c r="L27" s="148"/>
      <c r="M27" s="148"/>
      <c r="N27" s="148"/>
      <c r="O27" s="148"/>
      <c r="P27" s="148"/>
      <c r="Q27" s="154"/>
    </row>
    <row r="28" spans="2:18" x14ac:dyDescent="0.25">
      <c r="B28" s="59" t="s">
        <v>24</v>
      </c>
      <c r="C28" s="147">
        <f>'BS Input'!C29</f>
        <v>312083.5</v>
      </c>
      <c r="D28" s="147">
        <f>'BS Input'!D29</f>
        <v>365261.49</v>
      </c>
      <c r="E28" s="147">
        <f>'BS Input'!E29</f>
        <v>371930.54</v>
      </c>
      <c r="F28" s="147">
        <f>'BS Input'!F29</f>
        <v>422083.91</v>
      </c>
      <c r="G28" s="147">
        <f>'BS Input'!G29</f>
        <v>499192.05</v>
      </c>
      <c r="H28" s="148">
        <f t="shared" ref="H28:Q28" si="12">H29*H$10</f>
        <v>545396.01887228142</v>
      </c>
      <c r="I28" s="148">
        <f t="shared" si="12"/>
        <v>611181.63802787254</v>
      </c>
      <c r="J28" s="148">
        <f t="shared" si="12"/>
        <v>684902.31269896403</v>
      </c>
      <c r="K28" s="148">
        <f t="shared" si="12"/>
        <v>767515.1685741531</v>
      </c>
      <c r="L28" s="148">
        <f t="shared" si="12"/>
        <v>860092.77975723427</v>
      </c>
      <c r="M28" s="148">
        <f t="shared" si="12"/>
        <v>963837.09414474585</v>
      </c>
      <c r="N28" s="148">
        <f t="shared" si="12"/>
        <v>1080095.0384813107</v>
      </c>
      <c r="O28" s="148">
        <f t="shared" si="12"/>
        <v>1210376.0056953642</v>
      </c>
      <c r="P28" s="148">
        <f t="shared" si="12"/>
        <v>1356371.4515557552</v>
      </c>
      <c r="Q28" s="154">
        <f t="shared" si="12"/>
        <v>1519976.8550753191</v>
      </c>
    </row>
    <row r="29" spans="2:18" x14ac:dyDescent="0.25">
      <c r="B29" s="59"/>
      <c r="C29" s="149">
        <f>C28/C$10</f>
        <v>10.427189909180756</v>
      </c>
      <c r="D29" s="149">
        <f>D28/D$10</f>
        <v>10.273810300658065</v>
      </c>
      <c r="E29" s="149">
        <f>E28/E$10</f>
        <v>9.471340406757994</v>
      </c>
      <c r="F29" s="149">
        <f>F28/F$10</f>
        <v>10.691553021840376</v>
      </c>
      <c r="G29" s="149">
        <f>G28/G$10</f>
        <v>10.508255490240449</v>
      </c>
      <c r="H29" s="150">
        <f t="shared" si="8"/>
        <v>10.274429825735528</v>
      </c>
      <c r="I29" s="151">
        <f>H29</f>
        <v>10.274429825735528</v>
      </c>
      <c r="J29" s="151">
        <f t="shared" ref="J29:Q29" si="13">I29</f>
        <v>10.274429825735528</v>
      </c>
      <c r="K29" s="151">
        <f t="shared" si="13"/>
        <v>10.274429825735528</v>
      </c>
      <c r="L29" s="151">
        <f t="shared" si="13"/>
        <v>10.274429825735528</v>
      </c>
      <c r="M29" s="151">
        <f t="shared" si="13"/>
        <v>10.274429825735528</v>
      </c>
      <c r="N29" s="151">
        <f t="shared" si="13"/>
        <v>10.274429825735528</v>
      </c>
      <c r="O29" s="151">
        <f t="shared" si="13"/>
        <v>10.274429825735528</v>
      </c>
      <c r="P29" s="151">
        <f t="shared" si="13"/>
        <v>10.274429825735528</v>
      </c>
      <c r="Q29" s="155">
        <f t="shared" si="13"/>
        <v>10.274429825735528</v>
      </c>
    </row>
    <row r="30" spans="2:18" x14ac:dyDescent="0.25">
      <c r="B30" s="59"/>
      <c r="C30" s="147"/>
      <c r="D30" s="147"/>
      <c r="E30" s="147"/>
      <c r="F30" s="147"/>
      <c r="G30" s="147"/>
      <c r="H30" s="148"/>
      <c r="I30" s="148"/>
      <c r="J30" s="148"/>
      <c r="K30" s="148"/>
      <c r="L30" s="148"/>
      <c r="M30" s="148"/>
      <c r="N30" s="148"/>
      <c r="O30" s="148"/>
      <c r="P30" s="148"/>
      <c r="Q30" s="154"/>
    </row>
    <row r="31" spans="2:18" x14ac:dyDescent="0.25">
      <c r="B31" s="59" t="s">
        <v>25</v>
      </c>
      <c r="C31" s="147">
        <f>'BS Input'!C30</f>
        <v>2127.11</v>
      </c>
      <c r="D31" s="147">
        <f>'BS Input'!D30</f>
        <v>1723.68</v>
      </c>
      <c r="E31" s="147">
        <f>'BS Input'!E30</f>
        <v>2190.44</v>
      </c>
      <c r="F31" s="147">
        <f>'BS Input'!F30</f>
        <v>3170</v>
      </c>
      <c r="G31" s="147">
        <f>'BS Input'!G30</f>
        <v>5352.32</v>
      </c>
      <c r="H31" s="148">
        <f t="shared" ref="H31:Q31" si="14">H32*H$10</f>
        <v>3910.0749624111845</v>
      </c>
      <c r="I31" s="148">
        <f t="shared" si="14"/>
        <v>4381.7078556597698</v>
      </c>
      <c r="J31" s="148">
        <f t="shared" si="14"/>
        <v>4910.2290664297316</v>
      </c>
      <c r="K31" s="148">
        <f t="shared" si="14"/>
        <v>5502.5004585069528</v>
      </c>
      <c r="L31" s="148">
        <f t="shared" si="14"/>
        <v>6166.2115730751939</v>
      </c>
      <c r="M31" s="148">
        <f t="shared" si="14"/>
        <v>6909.9794630900205</v>
      </c>
      <c r="N31" s="148">
        <f t="shared" si="14"/>
        <v>7743.4605696659864</v>
      </c>
      <c r="O31" s="148">
        <f t="shared" si="14"/>
        <v>8677.4760929836848</v>
      </c>
      <c r="P31" s="148">
        <f t="shared" si="14"/>
        <v>9724.152485424409</v>
      </c>
      <c r="Q31" s="154">
        <f t="shared" si="14"/>
        <v>10897.078890974188</v>
      </c>
    </row>
    <row r="32" spans="2:18" x14ac:dyDescent="0.25">
      <c r="B32" s="59"/>
      <c r="C32" s="149">
        <f>C31/C$10</f>
        <v>7.1070017888537784E-2</v>
      </c>
      <c r="D32" s="149">
        <f>D31/D$10</f>
        <v>4.8482421015799651E-2</v>
      </c>
      <c r="E32" s="149">
        <f>E31/E$10</f>
        <v>5.5780315541119542E-2</v>
      </c>
      <c r="F32" s="149">
        <f>F31/F$10</f>
        <v>8.0297358596858132E-2</v>
      </c>
      <c r="G32" s="149">
        <f>G31/G$10</f>
        <v>0.11266915413721786</v>
      </c>
      <c r="H32" s="150">
        <f t="shared" si="8"/>
        <v>7.3659853435906586E-2</v>
      </c>
      <c r="I32" s="151">
        <f>H32</f>
        <v>7.3659853435906586E-2</v>
      </c>
      <c r="J32" s="151">
        <f t="shared" ref="J32:Q32" si="15">I32</f>
        <v>7.3659853435906586E-2</v>
      </c>
      <c r="K32" s="151">
        <f t="shared" si="15"/>
        <v>7.3659853435906586E-2</v>
      </c>
      <c r="L32" s="151">
        <f t="shared" si="15"/>
        <v>7.3659853435906586E-2</v>
      </c>
      <c r="M32" s="151">
        <f t="shared" si="15"/>
        <v>7.3659853435906586E-2</v>
      </c>
      <c r="N32" s="151">
        <f t="shared" si="15"/>
        <v>7.3659853435906586E-2</v>
      </c>
      <c r="O32" s="151">
        <f t="shared" si="15"/>
        <v>7.3659853435906586E-2</v>
      </c>
      <c r="P32" s="151">
        <f t="shared" si="15"/>
        <v>7.3659853435906586E-2</v>
      </c>
      <c r="Q32" s="155">
        <f t="shared" si="15"/>
        <v>7.3659853435906586E-2</v>
      </c>
    </row>
    <row r="33" spans="2:17" x14ac:dyDescent="0.25">
      <c r="B33" s="59"/>
      <c r="C33" s="147"/>
      <c r="D33" s="147"/>
      <c r="E33" s="147"/>
      <c r="F33" s="147"/>
      <c r="G33" s="147"/>
      <c r="H33" s="148"/>
      <c r="I33" s="148"/>
      <c r="J33" s="148"/>
      <c r="K33" s="148"/>
      <c r="L33" s="148"/>
      <c r="M33" s="148"/>
      <c r="N33" s="148"/>
      <c r="O33" s="148"/>
      <c r="P33" s="148"/>
      <c r="Q33" s="154"/>
    </row>
    <row r="34" spans="2:17" x14ac:dyDescent="0.25">
      <c r="B34" s="59" t="s">
        <v>26</v>
      </c>
      <c r="C34" s="147">
        <f>'BS Input'!C31</f>
        <v>22099.67</v>
      </c>
      <c r="D34" s="147">
        <f>'BS Input'!D31</f>
        <v>24419.88</v>
      </c>
      <c r="E34" s="147">
        <f>'BS Input'!E31</f>
        <v>24415.31</v>
      </c>
      <c r="F34" s="147">
        <f>'BS Input'!F31</f>
        <v>24422.54</v>
      </c>
      <c r="G34" s="147">
        <f>'BS Input'!G31</f>
        <v>24445.42</v>
      </c>
      <c r="H34" s="148">
        <f t="shared" ref="H34:Q34" si="16">H35*H$10</f>
        <v>33762.971018722419</v>
      </c>
      <c r="I34" s="148">
        <f t="shared" si="16"/>
        <v>37835.457571872459</v>
      </c>
      <c r="J34" s="148">
        <f t="shared" si="16"/>
        <v>42399.167089861432</v>
      </c>
      <c r="K34" s="148">
        <f t="shared" si="16"/>
        <v>47513.350842898828</v>
      </c>
      <c r="L34" s="148">
        <f t="shared" si="16"/>
        <v>53244.406984122485</v>
      </c>
      <c r="M34" s="148">
        <f t="shared" si="16"/>
        <v>59666.7426059801</v>
      </c>
      <c r="N34" s="148">
        <f t="shared" si="16"/>
        <v>66863.739777774405</v>
      </c>
      <c r="O34" s="148">
        <f t="shared" si="16"/>
        <v>74928.838106571115</v>
      </c>
      <c r="P34" s="148">
        <f t="shared" si="16"/>
        <v>83966.747876506823</v>
      </c>
      <c r="Q34" s="154">
        <f t="shared" si="16"/>
        <v>94094.809516852169</v>
      </c>
    </row>
    <row r="35" spans="2:17" x14ac:dyDescent="0.25">
      <c r="B35" s="59"/>
      <c r="C35" s="149">
        <f>C34/C$10</f>
        <v>0.73838397742983741</v>
      </c>
      <c r="D35" s="149">
        <f>D34/D$10</f>
        <v>0.68686467518060523</v>
      </c>
      <c r="E35" s="149">
        <f>E34/E$10</f>
        <v>0.6217443508309981</v>
      </c>
      <c r="F35" s="149">
        <f>F34/F$10</f>
        <v>0.6186326347716441</v>
      </c>
      <c r="G35" s="149">
        <f>G34/G$10</f>
        <v>0.51458896215641592</v>
      </c>
      <c r="H35" s="150">
        <f t="shared" si="8"/>
        <v>0.63604292007390006</v>
      </c>
      <c r="I35" s="151">
        <f>H35</f>
        <v>0.63604292007390006</v>
      </c>
      <c r="J35" s="151">
        <f t="shared" ref="J35:Q35" si="17">I35</f>
        <v>0.63604292007390006</v>
      </c>
      <c r="K35" s="151">
        <f t="shared" si="17"/>
        <v>0.63604292007390006</v>
      </c>
      <c r="L35" s="151">
        <f t="shared" si="17"/>
        <v>0.63604292007390006</v>
      </c>
      <c r="M35" s="151">
        <f t="shared" si="17"/>
        <v>0.63604292007390006</v>
      </c>
      <c r="N35" s="151">
        <f t="shared" si="17"/>
        <v>0.63604292007390006</v>
      </c>
      <c r="O35" s="151">
        <f t="shared" si="17"/>
        <v>0.63604292007390006</v>
      </c>
      <c r="P35" s="151">
        <f t="shared" si="17"/>
        <v>0.63604292007390006</v>
      </c>
      <c r="Q35" s="155">
        <f t="shared" si="17"/>
        <v>0.63604292007390006</v>
      </c>
    </row>
    <row r="36" spans="2:17" x14ac:dyDescent="0.25">
      <c r="B36" s="64" t="s">
        <v>53</v>
      </c>
      <c r="C36" s="147"/>
      <c r="D36" s="147"/>
      <c r="E36" s="147"/>
      <c r="F36" s="147"/>
      <c r="G36" s="147"/>
      <c r="H36" s="148"/>
      <c r="I36" s="148"/>
      <c r="J36" s="148"/>
      <c r="K36" s="148"/>
      <c r="L36" s="148"/>
      <c r="M36" s="148"/>
      <c r="N36" s="148"/>
      <c r="O36" s="148"/>
      <c r="P36" s="148"/>
      <c r="Q36" s="154"/>
    </row>
    <row r="37" spans="2:17" x14ac:dyDescent="0.25">
      <c r="B37" s="59" t="s">
        <v>61</v>
      </c>
      <c r="C37" s="147">
        <f>'BS Input'!C48</f>
        <v>0</v>
      </c>
      <c r="D37" s="147">
        <f>'BS Input'!D48</f>
        <v>14.4</v>
      </c>
      <c r="E37" s="147">
        <f>'BS Input'!E48</f>
        <v>10.25</v>
      </c>
      <c r="F37" s="147">
        <f>'BS Input'!F48</f>
        <v>10.65</v>
      </c>
      <c r="G37" s="147">
        <f>'BS Input'!G48</f>
        <v>66.510000000000005</v>
      </c>
      <c r="H37" s="148">
        <f t="shared" ref="H37:Q37" si="18">H38*H$10</f>
        <v>24.799159043927983</v>
      </c>
      <c r="I37" s="148">
        <f t="shared" si="18"/>
        <v>27.790431396109966</v>
      </c>
      <c r="J37" s="148">
        <f t="shared" si="18"/>
        <v>31.142510752637492</v>
      </c>
      <c r="K37" s="148">
        <f t="shared" si="18"/>
        <v>34.898917622196393</v>
      </c>
      <c r="L37" s="148">
        <f t="shared" si="18"/>
        <v>39.10842195334881</v>
      </c>
      <c r="M37" s="148">
        <f t="shared" si="18"/>
        <v>43.825676321502982</v>
      </c>
      <c r="N37" s="148">
        <f t="shared" si="18"/>
        <v>49.111925490838694</v>
      </c>
      <c r="O37" s="148">
        <f t="shared" si="18"/>
        <v>55.035801563529034</v>
      </c>
      <c r="P37" s="148">
        <f t="shared" si="18"/>
        <v>61.674215039790333</v>
      </c>
      <c r="Q37" s="154">
        <f t="shared" si="18"/>
        <v>69.113353357515734</v>
      </c>
    </row>
    <row r="38" spans="2:17" x14ac:dyDescent="0.25">
      <c r="B38" s="59"/>
      <c r="C38" s="149">
        <f>C37/C$10</f>
        <v>0</v>
      </c>
      <c r="D38" s="149">
        <f>D37/D$10</f>
        <v>4.0503275702422433E-4</v>
      </c>
      <c r="E38" s="149">
        <f>E37/E$10</f>
        <v>2.6101981076700359E-4</v>
      </c>
      <c r="F38" s="149">
        <f>F37/F$10</f>
        <v>2.6976872840900286E-4</v>
      </c>
      <c r="G38" s="149">
        <f>G37/G$10</f>
        <v>1.4000705192638632E-3</v>
      </c>
      <c r="H38" s="150">
        <f>AVERAGE(C38:G38)</f>
        <v>4.6717836309281889E-4</v>
      </c>
      <c r="I38" s="151">
        <f>H38</f>
        <v>4.6717836309281889E-4</v>
      </c>
      <c r="J38" s="151">
        <f t="shared" ref="J38:Q38" si="19">I38</f>
        <v>4.6717836309281889E-4</v>
      </c>
      <c r="K38" s="151">
        <f t="shared" si="19"/>
        <v>4.6717836309281889E-4</v>
      </c>
      <c r="L38" s="151">
        <f t="shared" si="19"/>
        <v>4.6717836309281889E-4</v>
      </c>
      <c r="M38" s="151">
        <f t="shared" si="19"/>
        <v>4.6717836309281889E-4</v>
      </c>
      <c r="N38" s="151">
        <f t="shared" si="19"/>
        <v>4.6717836309281889E-4</v>
      </c>
      <c r="O38" s="151">
        <f t="shared" si="19"/>
        <v>4.6717836309281889E-4</v>
      </c>
      <c r="P38" s="151">
        <f t="shared" si="19"/>
        <v>4.6717836309281889E-4</v>
      </c>
      <c r="Q38" s="155">
        <f t="shared" si="19"/>
        <v>4.6717836309281889E-4</v>
      </c>
    </row>
    <row r="39" spans="2:17" x14ac:dyDescent="0.25">
      <c r="B39" s="59"/>
      <c r="C39" s="147"/>
      <c r="D39" s="147"/>
      <c r="E39" s="147"/>
      <c r="F39" s="147"/>
      <c r="G39" s="147"/>
      <c r="H39" s="148"/>
      <c r="I39" s="148"/>
      <c r="J39" s="148"/>
      <c r="K39" s="148"/>
      <c r="L39" s="148"/>
      <c r="M39" s="148"/>
      <c r="N39" s="148"/>
      <c r="O39" s="148"/>
      <c r="P39" s="148"/>
      <c r="Q39" s="154"/>
    </row>
    <row r="40" spans="2:17" x14ac:dyDescent="0.25">
      <c r="B40" s="59" t="s">
        <v>50</v>
      </c>
      <c r="C40" s="147">
        <f>'BS Input'!C49</f>
        <v>107.09</v>
      </c>
      <c r="D40" s="147">
        <f>'BS Input'!D49</f>
        <v>104.68</v>
      </c>
      <c r="E40" s="147">
        <f>'BS Input'!E49</f>
        <v>105.67</v>
      </c>
      <c r="F40" s="147">
        <f>'BS Input'!F49</f>
        <v>111.62</v>
      </c>
      <c r="G40" s="147">
        <f>'BS Input'!G49</f>
        <v>137.34</v>
      </c>
      <c r="H40" s="148">
        <f t="shared" ref="H40:Q40" si="20">H41*H$10</f>
        <v>158.52435477155717</v>
      </c>
      <c r="I40" s="148">
        <f t="shared" si="20"/>
        <v>177.64554830621259</v>
      </c>
      <c r="J40" s="148">
        <f t="shared" si="20"/>
        <v>199.07313849970711</v>
      </c>
      <c r="K40" s="148">
        <f t="shared" si="20"/>
        <v>223.08532271133555</v>
      </c>
      <c r="L40" s="148">
        <f t="shared" si="20"/>
        <v>249.99385444105971</v>
      </c>
      <c r="M40" s="148">
        <f t="shared" si="20"/>
        <v>280.14809086820367</v>
      </c>
      <c r="N40" s="148">
        <f t="shared" si="20"/>
        <v>313.93952860390408</v>
      </c>
      <c r="O40" s="148">
        <f t="shared" si="20"/>
        <v>351.80688654561754</v>
      </c>
      <c r="P40" s="148">
        <f t="shared" si="20"/>
        <v>394.24180182508536</v>
      </c>
      <c r="Q40" s="154">
        <f t="shared" si="20"/>
        <v>441.79521280103268</v>
      </c>
    </row>
    <row r="41" spans="2:17" x14ac:dyDescent="0.25">
      <c r="B41" s="59"/>
      <c r="C41" s="149">
        <f>C40/C$10</f>
        <v>3.5780416695344905E-3</v>
      </c>
      <c r="D41" s="149">
        <f>D40/D$10</f>
        <v>2.9443631253677641E-3</v>
      </c>
      <c r="E41" s="149">
        <f>E40/E$10</f>
        <v>2.6909232589023674E-3</v>
      </c>
      <c r="F41" s="149">
        <f>F40/F$10</f>
        <v>2.82737891690262E-3</v>
      </c>
      <c r="G41" s="149">
        <f>G40/G$10</f>
        <v>2.8910793131213196E-3</v>
      </c>
      <c r="H41" s="150">
        <f>AVERAGE(C41:G41)</f>
        <v>2.9863572567657122E-3</v>
      </c>
      <c r="I41" s="151">
        <f>H41</f>
        <v>2.9863572567657122E-3</v>
      </c>
      <c r="J41" s="151">
        <f t="shared" ref="J41:Q41" si="21">I41</f>
        <v>2.9863572567657122E-3</v>
      </c>
      <c r="K41" s="151">
        <f t="shared" si="21"/>
        <v>2.9863572567657122E-3</v>
      </c>
      <c r="L41" s="151">
        <f t="shared" si="21"/>
        <v>2.9863572567657122E-3</v>
      </c>
      <c r="M41" s="151">
        <f t="shared" si="21"/>
        <v>2.9863572567657122E-3</v>
      </c>
      <c r="N41" s="151">
        <f t="shared" si="21"/>
        <v>2.9863572567657122E-3</v>
      </c>
      <c r="O41" s="151">
        <f t="shared" si="21"/>
        <v>2.9863572567657122E-3</v>
      </c>
      <c r="P41" s="151">
        <f t="shared" si="21"/>
        <v>2.9863572567657122E-3</v>
      </c>
      <c r="Q41" s="155">
        <f t="shared" si="21"/>
        <v>2.9863572567657122E-3</v>
      </c>
    </row>
    <row r="42" spans="2:17" x14ac:dyDescent="0.25">
      <c r="B42" s="59"/>
      <c r="C42" s="147"/>
      <c r="D42" s="147"/>
      <c r="E42" s="147"/>
      <c r="F42" s="147"/>
      <c r="G42" s="147"/>
      <c r="H42" s="148"/>
      <c r="I42" s="148"/>
      <c r="J42" s="148"/>
      <c r="K42" s="148"/>
      <c r="L42" s="148"/>
      <c r="M42" s="148"/>
      <c r="N42" s="148"/>
      <c r="O42" s="148"/>
      <c r="P42" s="148"/>
      <c r="Q42" s="154"/>
    </row>
    <row r="43" spans="2:17" x14ac:dyDescent="0.25">
      <c r="B43" s="59" t="s">
        <v>51</v>
      </c>
      <c r="C43" s="147">
        <f>'BS Input'!C50</f>
        <v>83.23</v>
      </c>
      <c r="D43" s="147">
        <f>'BS Input'!D50</f>
        <v>130.25</v>
      </c>
      <c r="E43" s="147">
        <f>'BS Input'!E50</f>
        <v>89.13</v>
      </c>
      <c r="F43" s="147">
        <f>'BS Input'!F50</f>
        <v>106.45</v>
      </c>
      <c r="G43" s="147">
        <f>'BS Input'!G50</f>
        <v>259.79000000000002</v>
      </c>
      <c r="H43" s="148">
        <f t="shared" ref="H43:Q43" si="22">H44*H$10</f>
        <v>179.20009390562615</v>
      </c>
      <c r="I43" s="148">
        <f t="shared" si="22"/>
        <v>200.81519325068084</v>
      </c>
      <c r="J43" s="148">
        <f t="shared" si="22"/>
        <v>225.03750395100766</v>
      </c>
      <c r="K43" s="148">
        <f t="shared" si="22"/>
        <v>252.18150760775717</v>
      </c>
      <c r="L43" s="148">
        <f t="shared" si="22"/>
        <v>282.59961856476372</v>
      </c>
      <c r="M43" s="148">
        <f t="shared" si="22"/>
        <v>316.68675935258534</v>
      </c>
      <c r="N43" s="148">
        <f t="shared" si="22"/>
        <v>354.88548802219481</v>
      </c>
      <c r="O43" s="148">
        <f t="shared" si="22"/>
        <v>397.69174393720419</v>
      </c>
      <c r="P43" s="148">
        <f t="shared" si="22"/>
        <v>445.66128662303453</v>
      </c>
      <c r="Q43" s="154">
        <f t="shared" si="22"/>
        <v>499.41691126949769</v>
      </c>
    </row>
    <row r="44" spans="2:17" x14ac:dyDescent="0.25">
      <c r="B44" s="59"/>
      <c r="C44" s="149">
        <f>C43/C$10</f>
        <v>2.7808423583467706E-3</v>
      </c>
      <c r="D44" s="149">
        <f>D43/D$10</f>
        <v>3.6635775418336959E-3</v>
      </c>
      <c r="E44" s="149">
        <f>E43/E$10</f>
        <v>2.2697264130402952E-3</v>
      </c>
      <c r="F44" s="149">
        <f>F43/F$10</f>
        <v>2.6964207642383433E-3</v>
      </c>
      <c r="G44" s="149">
        <f>G43/G$10</f>
        <v>5.4687162862661108E-3</v>
      </c>
      <c r="H44" s="150">
        <f>AVERAGE(C44:G44)</f>
        <v>3.3758566727450428E-3</v>
      </c>
      <c r="I44" s="151">
        <f>H44</f>
        <v>3.3758566727450428E-3</v>
      </c>
      <c r="J44" s="151">
        <f t="shared" ref="J44:Q44" si="23">I44</f>
        <v>3.3758566727450428E-3</v>
      </c>
      <c r="K44" s="151">
        <f t="shared" si="23"/>
        <v>3.3758566727450428E-3</v>
      </c>
      <c r="L44" s="151">
        <f t="shared" si="23"/>
        <v>3.3758566727450428E-3</v>
      </c>
      <c r="M44" s="151">
        <f t="shared" si="23"/>
        <v>3.3758566727450428E-3</v>
      </c>
      <c r="N44" s="151">
        <f t="shared" si="23"/>
        <v>3.3758566727450428E-3</v>
      </c>
      <c r="O44" s="151">
        <f t="shared" si="23"/>
        <v>3.3758566727450428E-3</v>
      </c>
      <c r="P44" s="151">
        <f t="shared" si="23"/>
        <v>3.3758566727450428E-3</v>
      </c>
      <c r="Q44" s="155">
        <f t="shared" si="23"/>
        <v>3.3758566727450428E-3</v>
      </c>
    </row>
    <row r="45" spans="2:17" x14ac:dyDescent="0.25">
      <c r="B45" s="59"/>
      <c r="C45" s="147"/>
      <c r="D45" s="147"/>
      <c r="E45" s="147"/>
      <c r="F45" s="147"/>
      <c r="G45" s="147"/>
      <c r="H45" s="148"/>
      <c r="I45" s="148"/>
      <c r="J45" s="148"/>
      <c r="K45" s="148"/>
      <c r="L45" s="148"/>
      <c r="M45" s="148"/>
      <c r="N45" s="148"/>
      <c r="O45" s="148"/>
      <c r="P45" s="148"/>
      <c r="Q45" s="154"/>
    </row>
    <row r="46" spans="2:17" x14ac:dyDescent="0.25">
      <c r="B46" s="64" t="s">
        <v>54</v>
      </c>
      <c r="C46" s="147"/>
      <c r="D46" s="147"/>
      <c r="E46" s="147"/>
      <c r="F46" s="147"/>
      <c r="G46" s="147"/>
      <c r="H46" s="148"/>
      <c r="I46" s="148"/>
      <c r="J46" s="148"/>
      <c r="K46" s="148"/>
      <c r="L46" s="148"/>
      <c r="M46" s="148"/>
      <c r="N46" s="148"/>
      <c r="O46" s="148"/>
      <c r="P46" s="148"/>
      <c r="Q46" s="154"/>
    </row>
    <row r="47" spans="2:17" x14ac:dyDescent="0.25">
      <c r="B47" s="59" t="s">
        <v>23</v>
      </c>
      <c r="C47" s="147">
        <f>'BS Input'!C55</f>
        <v>1325.73</v>
      </c>
      <c r="D47" s="147">
        <f>'BS Input'!D55</f>
        <v>846.31</v>
      </c>
      <c r="E47" s="147">
        <f>'BS Input'!E55</f>
        <v>553.14</v>
      </c>
      <c r="F47" s="147">
        <f>'BS Input'!F55</f>
        <v>976.95</v>
      </c>
      <c r="G47" s="147">
        <f>'BS Input'!G55</f>
        <v>759.7</v>
      </c>
      <c r="H47" s="148">
        <f t="shared" ref="H47:Q47" si="24">H48*H$10</f>
        <v>1305.0269192218552</v>
      </c>
      <c r="I47" s="148">
        <f t="shared" si="24"/>
        <v>1462.4391498304321</v>
      </c>
      <c r="J47" s="148">
        <f t="shared" si="24"/>
        <v>1638.8384296563097</v>
      </c>
      <c r="K47" s="148">
        <f t="shared" si="24"/>
        <v>1836.5149748827318</v>
      </c>
      <c r="L47" s="148">
        <f t="shared" si="24"/>
        <v>2058.0352473647122</v>
      </c>
      <c r="M47" s="148">
        <f t="shared" si="24"/>
        <v>2306.2752753573309</v>
      </c>
      <c r="N47" s="148">
        <f t="shared" si="24"/>
        <v>2584.4579933872956</v>
      </c>
      <c r="O47" s="148">
        <f t="shared" si="24"/>
        <v>2896.195086056493</v>
      </c>
      <c r="P47" s="148">
        <f t="shared" si="24"/>
        <v>3245.533879041383</v>
      </c>
      <c r="Q47" s="154">
        <f t="shared" si="24"/>
        <v>3637.009886080561</v>
      </c>
    </row>
    <row r="48" spans="2:17" x14ac:dyDescent="0.25">
      <c r="B48" s="59"/>
      <c r="C48" s="149">
        <f>C47/C$10</f>
        <v>4.4294679078830515E-2</v>
      </c>
      <c r="D48" s="149">
        <f>D47/D$10</f>
        <v>2.3804393930359116E-2</v>
      </c>
      <c r="E48" s="149">
        <f>E47/E$10</f>
        <v>1.4085902256357107E-2</v>
      </c>
      <c r="F48" s="149">
        <f>F47/F$10</f>
        <v>2.4746531382082194E-2</v>
      </c>
      <c r="G48" s="149">
        <f>G47/G$10</f>
        <v>1.5992085002026115E-2</v>
      </c>
      <c r="H48" s="150">
        <f t="shared" ref="H48:H60" si="25">AVERAGE(C48:G48)</f>
        <v>2.4584718329931012E-2</v>
      </c>
      <c r="I48" s="151">
        <f>H48</f>
        <v>2.4584718329931012E-2</v>
      </c>
      <c r="J48" s="151">
        <f t="shared" ref="J48:Q48" si="26">I48</f>
        <v>2.4584718329931012E-2</v>
      </c>
      <c r="K48" s="151">
        <f t="shared" si="26"/>
        <v>2.4584718329931012E-2</v>
      </c>
      <c r="L48" s="151">
        <f t="shared" si="26"/>
        <v>2.4584718329931012E-2</v>
      </c>
      <c r="M48" s="151">
        <f t="shared" si="26"/>
        <v>2.4584718329931012E-2</v>
      </c>
      <c r="N48" s="151">
        <f t="shared" si="26"/>
        <v>2.4584718329931012E-2</v>
      </c>
      <c r="O48" s="151">
        <f t="shared" si="26"/>
        <v>2.4584718329931012E-2</v>
      </c>
      <c r="P48" s="151">
        <f t="shared" si="26"/>
        <v>2.4584718329931012E-2</v>
      </c>
      <c r="Q48" s="155">
        <f t="shared" si="26"/>
        <v>2.4584718329931012E-2</v>
      </c>
    </row>
    <row r="49" spans="2:18" x14ac:dyDescent="0.25">
      <c r="B49" s="59"/>
      <c r="C49" s="147"/>
      <c r="D49" s="147"/>
      <c r="E49" s="147"/>
      <c r="F49" s="147"/>
      <c r="G49" s="147"/>
      <c r="H49" s="148"/>
      <c r="I49" s="148"/>
      <c r="J49" s="148"/>
      <c r="K49" s="148"/>
      <c r="L49" s="148"/>
      <c r="M49" s="148"/>
      <c r="N49" s="148"/>
      <c r="O49" s="148"/>
      <c r="P49" s="148"/>
      <c r="Q49" s="154"/>
    </row>
    <row r="50" spans="2:18" x14ac:dyDescent="0.25">
      <c r="B50" s="59" t="s">
        <v>45</v>
      </c>
      <c r="C50" s="147">
        <f>'BS Input'!C57</f>
        <v>219918.25</v>
      </c>
      <c r="D50" s="147">
        <f>'BS Input'!D57</f>
        <v>237269.11</v>
      </c>
      <c r="E50" s="147">
        <f>'BS Input'!E57</f>
        <v>219574.61</v>
      </c>
      <c r="F50" s="147">
        <f>'BS Input'!F57</f>
        <v>236902.33</v>
      </c>
      <c r="G50" s="147">
        <f>'BS Input'!G57</f>
        <v>266063.24</v>
      </c>
      <c r="H50" s="148">
        <f t="shared" ref="H50:Q50" si="27">H51*H$10</f>
        <v>331392.89617969311</v>
      </c>
      <c r="I50" s="148">
        <f t="shared" si="27"/>
        <v>371365.47776183125</v>
      </c>
      <c r="J50" s="148">
        <f t="shared" si="27"/>
        <v>416159.54856947856</v>
      </c>
      <c r="K50" s="148">
        <f t="shared" si="27"/>
        <v>466356.67620301491</v>
      </c>
      <c r="L50" s="148">
        <f t="shared" si="27"/>
        <v>522608.57689491048</v>
      </c>
      <c r="M50" s="148">
        <f t="shared" si="27"/>
        <v>585645.57683147409</v>
      </c>
      <c r="N50" s="148">
        <f t="shared" si="27"/>
        <v>656286.09407847282</v>
      </c>
      <c r="O50" s="148">
        <f t="shared" si="27"/>
        <v>735447.26421577658</v>
      </c>
      <c r="P50" s="148">
        <f t="shared" si="27"/>
        <v>824156.84763510549</v>
      </c>
      <c r="Q50" s="154">
        <f t="shared" si="27"/>
        <v>923566.57309496822</v>
      </c>
    </row>
    <row r="51" spans="2:18" x14ac:dyDescent="0.25">
      <c r="B51" s="59"/>
      <c r="C51" s="149">
        <f>C50/C$10</f>
        <v>7.3478071004865395</v>
      </c>
      <c r="D51" s="149">
        <f>D50/D$10</f>
        <v>6.6737334569433298</v>
      </c>
      <c r="E51" s="149">
        <f>E50/E$10</f>
        <v>5.5915437220915711</v>
      </c>
      <c r="F51" s="149">
        <f>F50/F$10</f>
        <v>6.0008300771107947</v>
      </c>
      <c r="G51" s="149">
        <f>G50/G$10</f>
        <v>5.600771291291923</v>
      </c>
      <c r="H51" s="150">
        <f t="shared" si="25"/>
        <v>6.2429371295848322</v>
      </c>
      <c r="I51" s="151">
        <f>H51</f>
        <v>6.2429371295848322</v>
      </c>
      <c r="J51" s="151">
        <f t="shared" ref="J51:Q51" si="28">I51</f>
        <v>6.2429371295848322</v>
      </c>
      <c r="K51" s="151">
        <f t="shared" si="28"/>
        <v>6.2429371295848322</v>
      </c>
      <c r="L51" s="151">
        <f t="shared" si="28"/>
        <v>6.2429371295848322</v>
      </c>
      <c r="M51" s="151">
        <f t="shared" si="28"/>
        <v>6.2429371295848322</v>
      </c>
      <c r="N51" s="151">
        <f t="shared" si="28"/>
        <v>6.2429371295848322</v>
      </c>
      <c r="O51" s="151">
        <f t="shared" si="28"/>
        <v>6.2429371295848322</v>
      </c>
      <c r="P51" s="151">
        <f t="shared" si="28"/>
        <v>6.2429371295848322</v>
      </c>
      <c r="Q51" s="155">
        <f t="shared" si="28"/>
        <v>6.2429371295848322</v>
      </c>
    </row>
    <row r="52" spans="2:18" x14ac:dyDescent="0.25">
      <c r="B52" s="59"/>
      <c r="C52" s="149"/>
      <c r="D52" s="149"/>
      <c r="E52" s="149"/>
      <c r="F52" s="149"/>
      <c r="G52" s="149"/>
      <c r="H52" s="149"/>
      <c r="I52" s="149"/>
      <c r="J52" s="149"/>
      <c r="K52" s="149"/>
      <c r="L52" s="149"/>
      <c r="M52" s="149"/>
      <c r="N52" s="149"/>
      <c r="O52" s="149"/>
      <c r="P52" s="149"/>
      <c r="Q52" s="156"/>
    </row>
    <row r="53" spans="2:18" x14ac:dyDescent="0.25">
      <c r="B53" s="59" t="s">
        <v>46</v>
      </c>
      <c r="C53" s="147">
        <f>'BS Input'!C58</f>
        <v>61550.66</v>
      </c>
      <c r="D53" s="147">
        <f>'BS Input'!D58</f>
        <v>85507.36</v>
      </c>
      <c r="E53" s="147">
        <f>'BS Input'!E58</f>
        <v>106651.59</v>
      </c>
      <c r="F53" s="147">
        <f>'BS Input'!F58</f>
        <v>137114.13</v>
      </c>
      <c r="G53" s="147">
        <f>'BS Input'!G58</f>
        <v>172092.05</v>
      </c>
      <c r="H53" s="148">
        <f t="shared" ref="H53:Q53" si="29">H54*H$10</f>
        <v>151533.43242873187</v>
      </c>
      <c r="I53" s="148">
        <f t="shared" si="29"/>
        <v>169811.3815338765</v>
      </c>
      <c r="J53" s="148">
        <f t="shared" si="29"/>
        <v>190294.01522997682</v>
      </c>
      <c r="K53" s="148">
        <f t="shared" si="29"/>
        <v>213247.26237577066</v>
      </c>
      <c r="L53" s="148">
        <f t="shared" si="29"/>
        <v>238969.12814521993</v>
      </c>
      <c r="M53" s="148">
        <f t="shared" si="29"/>
        <v>267793.56306979264</v>
      </c>
      <c r="N53" s="148">
        <f t="shared" si="29"/>
        <v>300094.79876427905</v>
      </c>
      <c r="O53" s="148">
        <f t="shared" si="29"/>
        <v>336292.20662747009</v>
      </c>
      <c r="P53" s="148">
        <f t="shared" si="29"/>
        <v>376855.7425988774</v>
      </c>
      <c r="Q53" s="154">
        <f t="shared" si="29"/>
        <v>422312.04866152367</v>
      </c>
    </row>
    <row r="54" spans="2:18" x14ac:dyDescent="0.25">
      <c r="B54" s="59"/>
      <c r="C54" s="149">
        <f>C53/C$10</f>
        <v>2.0565022529400485</v>
      </c>
      <c r="D54" s="149">
        <f>D53/D$10</f>
        <v>2.4050890115738111</v>
      </c>
      <c r="E54" s="149">
        <f>E53/E$10</f>
        <v>2.7159197892487854</v>
      </c>
      <c r="F54" s="149">
        <f>F53/F$10</f>
        <v>3.4731553518316161</v>
      </c>
      <c r="G54" s="149">
        <f>G53/G$10</f>
        <v>3.6226282634894402</v>
      </c>
      <c r="H54" s="150">
        <f t="shared" si="25"/>
        <v>2.8546589338167405</v>
      </c>
      <c r="I54" s="151">
        <f>H54</f>
        <v>2.8546589338167405</v>
      </c>
      <c r="J54" s="151">
        <f t="shared" ref="J54:Q54" si="30">I54</f>
        <v>2.8546589338167405</v>
      </c>
      <c r="K54" s="151">
        <f t="shared" si="30"/>
        <v>2.8546589338167405</v>
      </c>
      <c r="L54" s="151">
        <f t="shared" si="30"/>
        <v>2.8546589338167405</v>
      </c>
      <c r="M54" s="151">
        <f t="shared" si="30"/>
        <v>2.8546589338167405</v>
      </c>
      <c r="N54" s="151">
        <f t="shared" si="30"/>
        <v>2.8546589338167405</v>
      </c>
      <c r="O54" s="151">
        <f t="shared" si="30"/>
        <v>2.8546589338167405</v>
      </c>
      <c r="P54" s="151">
        <f t="shared" si="30"/>
        <v>2.8546589338167405</v>
      </c>
      <c r="Q54" s="155">
        <f t="shared" si="30"/>
        <v>2.8546589338167405</v>
      </c>
    </row>
    <row r="55" spans="2:18" x14ac:dyDescent="0.25">
      <c r="B55" s="59"/>
      <c r="C55" s="147"/>
      <c r="D55" s="147"/>
      <c r="E55" s="147"/>
      <c r="F55" s="147"/>
      <c r="G55" s="147"/>
      <c r="H55" s="148"/>
      <c r="I55" s="148"/>
      <c r="J55" s="148"/>
      <c r="K55" s="148"/>
      <c r="L55" s="148"/>
      <c r="M55" s="148"/>
      <c r="N55" s="148"/>
      <c r="O55" s="148"/>
      <c r="P55" s="148"/>
      <c r="Q55" s="154"/>
    </row>
    <row r="56" spans="2:18" x14ac:dyDescent="0.25">
      <c r="B56" s="59" t="s">
        <v>47</v>
      </c>
      <c r="C56" s="147">
        <f>'BS Input'!C59</f>
        <v>4819.6499999999996</v>
      </c>
      <c r="D56" s="147">
        <f>'BS Input'!D59</f>
        <v>6946.89</v>
      </c>
      <c r="E56" s="147">
        <f>'BS Input'!E59</f>
        <v>6816.47</v>
      </c>
      <c r="F56" s="147">
        <f>'BS Input'!F59</f>
        <v>6773.3</v>
      </c>
      <c r="G56" s="147">
        <f>'BS Input'!G59</f>
        <v>7412.21</v>
      </c>
      <c r="H56" s="148">
        <f t="shared" ref="H56:Q56" si="31">H57*H$10</f>
        <v>9104.9199827522989</v>
      </c>
      <c r="I56" s="148">
        <f t="shared" si="31"/>
        <v>10203.154619055611</v>
      </c>
      <c r="J56" s="148">
        <f t="shared" si="31"/>
        <v>11433.858219244496</v>
      </c>
      <c r="K56" s="148">
        <f t="shared" si="31"/>
        <v>12813.009177928681</v>
      </c>
      <c r="L56" s="148">
        <f t="shared" si="31"/>
        <v>14358.51320225068</v>
      </c>
      <c r="M56" s="148">
        <f t="shared" si="31"/>
        <v>16090.435784151648</v>
      </c>
      <c r="N56" s="148">
        <f t="shared" si="31"/>
        <v>18031.262713421136</v>
      </c>
      <c r="O56" s="148">
        <f t="shared" si="31"/>
        <v>20206.192013807744</v>
      </c>
      <c r="P56" s="148">
        <f t="shared" si="31"/>
        <v>22643.461092437359</v>
      </c>
      <c r="Q56" s="154">
        <f t="shared" si="31"/>
        <v>25374.713349965044</v>
      </c>
    </row>
    <row r="57" spans="2:18" x14ac:dyDescent="0.25">
      <c r="B57" s="59"/>
      <c r="C57" s="149">
        <f>C56/C$10</f>
        <v>0.16103192205221689</v>
      </c>
      <c r="D57" s="149">
        <f>D56/D$10</f>
        <v>0.19539708398916764</v>
      </c>
      <c r="E57" s="149">
        <f>E56/E$10</f>
        <v>0.1735837765364836</v>
      </c>
      <c r="F57" s="149">
        <f>F56/F$10</f>
        <v>0.17157037822842244</v>
      </c>
      <c r="G57" s="149">
        <f>G56/G$10</f>
        <v>0.15603092322346712</v>
      </c>
      <c r="H57" s="150">
        <f t="shared" si="25"/>
        <v>0.17152281680595155</v>
      </c>
      <c r="I57" s="151">
        <f>H57</f>
        <v>0.17152281680595155</v>
      </c>
      <c r="J57" s="151">
        <f t="shared" ref="J57:Q57" si="32">I57</f>
        <v>0.17152281680595155</v>
      </c>
      <c r="K57" s="151">
        <f t="shared" si="32"/>
        <v>0.17152281680595155</v>
      </c>
      <c r="L57" s="151">
        <f t="shared" si="32"/>
        <v>0.17152281680595155</v>
      </c>
      <c r="M57" s="151">
        <f t="shared" si="32"/>
        <v>0.17152281680595155</v>
      </c>
      <c r="N57" s="151">
        <f t="shared" si="32"/>
        <v>0.17152281680595155</v>
      </c>
      <c r="O57" s="151">
        <f t="shared" si="32"/>
        <v>0.17152281680595155</v>
      </c>
      <c r="P57" s="151">
        <f t="shared" si="32"/>
        <v>0.17152281680595155</v>
      </c>
      <c r="Q57" s="155">
        <f t="shared" si="32"/>
        <v>0.17152281680595155</v>
      </c>
    </row>
    <row r="58" spans="2:18" x14ac:dyDescent="0.25">
      <c r="B58" s="59"/>
      <c r="C58" s="147"/>
      <c r="D58" s="147"/>
      <c r="E58" s="147"/>
      <c r="F58" s="147"/>
      <c r="G58" s="147"/>
      <c r="H58" s="148"/>
      <c r="I58" s="148"/>
      <c r="J58" s="148"/>
      <c r="K58" s="148"/>
      <c r="L58" s="148"/>
      <c r="M58" s="148"/>
      <c r="N58" s="148"/>
      <c r="O58" s="148"/>
      <c r="P58" s="148"/>
      <c r="Q58" s="154"/>
    </row>
    <row r="59" spans="2:18" x14ac:dyDescent="0.25">
      <c r="B59" s="59" t="s">
        <v>48</v>
      </c>
      <c r="C59" s="147">
        <f>'BS Input'!C60</f>
        <v>23782.21</v>
      </c>
      <c r="D59" s="147">
        <f>'BS Input'!D60</f>
        <v>26222.35</v>
      </c>
      <c r="E59" s="147">
        <f>'BS Input'!E60</f>
        <v>25708.639999999999</v>
      </c>
      <c r="F59" s="147">
        <f>'BS Input'!F60</f>
        <v>25345.11</v>
      </c>
      <c r="G59" s="147">
        <f>'BS Input'!G60</f>
        <v>31959.49</v>
      </c>
      <c r="H59" s="148">
        <f t="shared" ref="H59:Q59" si="33">H60*H$10</f>
        <v>37175.074107385451</v>
      </c>
      <c r="I59" s="148">
        <f t="shared" si="33"/>
        <v>41659.12823078387</v>
      </c>
      <c r="J59" s="148">
        <f t="shared" si="33"/>
        <v>46684.048562639196</v>
      </c>
      <c r="K59" s="148">
        <f t="shared" si="33"/>
        <v>52315.074336778729</v>
      </c>
      <c r="L59" s="148">
        <f t="shared" si="33"/>
        <v>58625.313937595638</v>
      </c>
      <c r="M59" s="148">
        <f t="shared" si="33"/>
        <v>65696.69407628855</v>
      </c>
      <c r="N59" s="148">
        <f t="shared" si="33"/>
        <v>73621.02345665422</v>
      </c>
      <c r="O59" s="148">
        <f t="shared" si="33"/>
        <v>82501.184740153534</v>
      </c>
      <c r="P59" s="148">
        <f t="shared" si="33"/>
        <v>92452.470285697244</v>
      </c>
      <c r="Q59" s="154">
        <f t="shared" si="33"/>
        <v>103604.07900624559</v>
      </c>
    </row>
    <row r="60" spans="2:18" x14ac:dyDescent="0.25">
      <c r="B60" s="153"/>
      <c r="C60" s="272">
        <f>C59/C$10</f>
        <v>0.79460022759940097</v>
      </c>
      <c r="D60" s="273">
        <f>D59/D$10</f>
        <v>0.73756324417737285</v>
      </c>
      <c r="E60" s="273">
        <f>E59/E$10</f>
        <v>0.65467944857336768</v>
      </c>
      <c r="F60" s="273">
        <f>F59/F$10</f>
        <v>0.64200169916303307</v>
      </c>
      <c r="G60" s="273">
        <f>G59/G$10</f>
        <v>0.6727640920118515</v>
      </c>
      <c r="H60" s="274">
        <f t="shared" si="25"/>
        <v>0.7003217423050051</v>
      </c>
      <c r="I60" s="275">
        <f>H60</f>
        <v>0.7003217423050051</v>
      </c>
      <c r="J60" s="275">
        <f t="shared" ref="J60:Q60" si="34">I60</f>
        <v>0.7003217423050051</v>
      </c>
      <c r="K60" s="275">
        <f t="shared" si="34"/>
        <v>0.7003217423050051</v>
      </c>
      <c r="L60" s="275">
        <f t="shared" si="34"/>
        <v>0.7003217423050051</v>
      </c>
      <c r="M60" s="275">
        <f t="shared" si="34"/>
        <v>0.7003217423050051</v>
      </c>
      <c r="N60" s="275">
        <f t="shared" si="34"/>
        <v>0.7003217423050051</v>
      </c>
      <c r="O60" s="275">
        <f t="shared" si="34"/>
        <v>0.7003217423050051</v>
      </c>
      <c r="P60" s="275">
        <f t="shared" si="34"/>
        <v>0.7003217423050051</v>
      </c>
      <c r="Q60" s="276">
        <f t="shared" si="34"/>
        <v>0.7003217423050051</v>
      </c>
    </row>
    <row r="61" spans="2:18" x14ac:dyDescent="0.25">
      <c r="Q61" s="44"/>
      <c r="R61" s="44"/>
    </row>
    <row r="62" spans="2:18" x14ac:dyDescent="0.25">
      <c r="B62" s="39"/>
      <c r="C62" s="39"/>
      <c r="D62" s="39"/>
      <c r="E62" s="39"/>
      <c r="F62" s="39"/>
      <c r="G62" s="39"/>
      <c r="H62" s="39"/>
      <c r="I62" s="39"/>
      <c r="J62" s="39"/>
      <c r="K62" s="39"/>
      <c r="L62" s="39"/>
      <c r="M62" s="39"/>
      <c r="N62" s="39"/>
      <c r="O62" s="39"/>
      <c r="P62" s="39"/>
      <c r="Q62" s="39"/>
    </row>
  </sheetData>
  <mergeCells count="2">
    <mergeCell ref="B7:B8"/>
    <mergeCell ref="B6:Q6"/>
  </mergeCells>
  <pageMargins left="0.7" right="0.7" top="0.75" bottom="0.75" header="0.3" footer="0.3"/>
  <ignoredErrors>
    <ignoredError sqref="H14:Q14 C15:G15 H15:Q15" formula="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EAAE-7AF4-4BC2-89D5-CB9F96E2DB58}">
  <dimension ref="B5:S47"/>
  <sheetViews>
    <sheetView showGridLines="0" topLeftCell="G37" zoomScaleNormal="100" workbookViewId="0">
      <selection activeCell="S13" sqref="S13"/>
    </sheetView>
  </sheetViews>
  <sheetFormatPr defaultRowHeight="15" x14ac:dyDescent="0.25"/>
  <cols>
    <col min="1" max="1" width="0.85546875" customWidth="1"/>
    <col min="2" max="2" width="64" customWidth="1"/>
    <col min="3" max="7" width="15" bestFit="1" customWidth="1"/>
    <col min="8" max="8" width="14.28515625" bestFit="1" customWidth="1"/>
    <col min="9" max="9" width="15" bestFit="1" customWidth="1"/>
    <col min="10" max="10" width="14.5703125" bestFit="1" customWidth="1"/>
    <col min="11" max="11" width="15" bestFit="1" customWidth="1"/>
    <col min="12" max="12" width="14.5703125" bestFit="1" customWidth="1"/>
    <col min="13" max="13" width="15" bestFit="1" customWidth="1"/>
    <col min="14" max="14" width="15.7109375" bestFit="1" customWidth="1"/>
    <col min="15" max="15" width="15.28515625" bestFit="1" customWidth="1"/>
    <col min="16" max="16" width="16" bestFit="1" customWidth="1"/>
    <col min="17" max="17" width="15.7109375" bestFit="1" customWidth="1"/>
  </cols>
  <sheetData>
    <row r="5" spans="2:19" x14ac:dyDescent="0.25">
      <c r="Q5" t="s">
        <v>259</v>
      </c>
    </row>
    <row r="6" spans="2:19" ht="18" x14ac:dyDescent="0.25">
      <c r="B6" s="303" t="s">
        <v>265</v>
      </c>
      <c r="C6" s="303"/>
      <c r="D6" s="303"/>
      <c r="E6" s="303"/>
      <c r="F6" s="303"/>
      <c r="G6" s="303"/>
      <c r="H6" s="303"/>
      <c r="I6" s="303"/>
      <c r="J6" s="303"/>
      <c r="K6" s="303"/>
      <c r="L6" s="303"/>
      <c r="M6" s="303"/>
      <c r="N6" s="303"/>
      <c r="O6" s="303"/>
      <c r="P6" s="303"/>
      <c r="Q6" s="303"/>
    </row>
    <row r="7" spans="2:19" x14ac:dyDescent="0.25">
      <c r="B7" s="306" t="s">
        <v>63</v>
      </c>
      <c r="C7" s="7">
        <v>2020</v>
      </c>
      <c r="D7" s="8">
        <v>2021</v>
      </c>
      <c r="E7" s="8">
        <v>2022</v>
      </c>
      <c r="F7" s="8">
        <v>2023</v>
      </c>
      <c r="G7" s="8">
        <v>2024</v>
      </c>
      <c r="H7" s="2">
        <f>G7+1</f>
        <v>2025</v>
      </c>
      <c r="I7" s="2">
        <f t="shared" ref="I7:Q7" si="0">H7+1</f>
        <v>2026</v>
      </c>
      <c r="J7" s="2">
        <f t="shared" si="0"/>
        <v>2027</v>
      </c>
      <c r="K7" s="2">
        <f t="shared" si="0"/>
        <v>2028</v>
      </c>
      <c r="L7" s="2">
        <f t="shared" si="0"/>
        <v>2029</v>
      </c>
      <c r="M7" s="2">
        <f t="shared" si="0"/>
        <v>2030</v>
      </c>
      <c r="N7" s="2">
        <f t="shared" si="0"/>
        <v>2031</v>
      </c>
      <c r="O7" s="2">
        <f t="shared" si="0"/>
        <v>2032</v>
      </c>
      <c r="P7" s="2">
        <f t="shared" si="0"/>
        <v>2033</v>
      </c>
      <c r="Q7" s="105">
        <f t="shared" si="0"/>
        <v>2034</v>
      </c>
    </row>
    <row r="8" spans="2:19"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9" x14ac:dyDescent="0.25">
      <c r="B9" s="130"/>
      <c r="Q9" s="17"/>
    </row>
    <row r="10" spans="2:19" x14ac:dyDescent="0.25">
      <c r="B10" s="59" t="s">
        <v>64</v>
      </c>
      <c r="C10" s="147">
        <f>'Revenue Bulid Up'!C21</f>
        <v>29929.78</v>
      </c>
      <c r="D10" s="147">
        <f>'Revenue Bulid Up'!D21</f>
        <v>35552.68</v>
      </c>
      <c r="E10" s="147">
        <f>'Revenue Bulid Up'!E21</f>
        <v>39269.049999999996</v>
      </c>
      <c r="F10" s="147">
        <f>'Revenue Bulid Up'!F21</f>
        <v>39478.259999999995</v>
      </c>
      <c r="G10" s="147">
        <f>'Revenue Bulid Up'!G21</f>
        <v>47504.75</v>
      </c>
      <c r="H10" s="148">
        <f>'Revenue Bulid Up'!H21</f>
        <v>53082.850155457418</v>
      </c>
      <c r="I10" s="148">
        <f>'Revenue Bulid Up'!I21</f>
        <v>59485.698807049783</v>
      </c>
      <c r="J10" s="148">
        <f>'Revenue Bulid Up'!J21</f>
        <v>66660.858491963387</v>
      </c>
      <c r="K10" s="148">
        <f>'Revenue Bulid Up'!K21</f>
        <v>74701.485298159416</v>
      </c>
      <c r="L10" s="148">
        <f>'Revenue Bulid Up'!L21</f>
        <v>83711.971792620796</v>
      </c>
      <c r="M10" s="148">
        <f>'Revenue Bulid Up'!M21</f>
        <v>93809.302364449846</v>
      </c>
      <c r="N10" s="148">
        <f>'Revenue Bulid Up'!N21</f>
        <v>105124.57204932914</v>
      </c>
      <c r="O10" s="148">
        <f>'Revenue Bulid Up'!O21</f>
        <v>117804.68855445374</v>
      </c>
      <c r="P10" s="148">
        <f>'Revenue Bulid Up'!P21</f>
        <v>132014.27958155869</v>
      </c>
      <c r="Q10" s="154">
        <f>'Revenue Bulid Up'!Q21</f>
        <v>147937.83021108003</v>
      </c>
    </row>
    <row r="11" spans="2:19" x14ac:dyDescent="0.25">
      <c r="B11" s="59"/>
      <c r="C11" s="147"/>
      <c r="D11" s="147"/>
      <c r="E11" s="147"/>
      <c r="F11" s="147"/>
      <c r="G11" s="147"/>
      <c r="H11" s="148"/>
      <c r="I11" s="148"/>
      <c r="J11" s="148"/>
      <c r="K11" s="148"/>
      <c r="L11" s="148"/>
      <c r="M11" s="148"/>
      <c r="N11" s="148"/>
      <c r="O11" s="148"/>
      <c r="P11" s="148"/>
      <c r="Q11" s="154"/>
    </row>
    <row r="12" spans="2:19" x14ac:dyDescent="0.25">
      <c r="B12" s="76" t="s">
        <v>14</v>
      </c>
      <c r="C12" s="157">
        <f>SUM(C10:C11)</f>
        <v>29929.78</v>
      </c>
      <c r="D12" s="157">
        <f t="shared" ref="D12:Q12" si="1">SUM(D10:D11)</f>
        <v>35552.68</v>
      </c>
      <c r="E12" s="157">
        <f t="shared" si="1"/>
        <v>39269.049999999996</v>
      </c>
      <c r="F12" s="157">
        <f t="shared" si="1"/>
        <v>39478.259999999995</v>
      </c>
      <c r="G12" s="157">
        <f t="shared" si="1"/>
        <v>47504.75</v>
      </c>
      <c r="H12" s="157">
        <f t="shared" si="1"/>
        <v>53082.850155457418</v>
      </c>
      <c r="I12" s="157">
        <f t="shared" si="1"/>
        <v>59485.698807049783</v>
      </c>
      <c r="J12" s="157">
        <f t="shared" si="1"/>
        <v>66660.858491963387</v>
      </c>
      <c r="K12" s="157">
        <f t="shared" si="1"/>
        <v>74701.485298159416</v>
      </c>
      <c r="L12" s="157">
        <f t="shared" si="1"/>
        <v>83711.971792620796</v>
      </c>
      <c r="M12" s="157">
        <f t="shared" si="1"/>
        <v>93809.302364449846</v>
      </c>
      <c r="N12" s="157">
        <f t="shared" si="1"/>
        <v>105124.57204932914</v>
      </c>
      <c r="O12" s="157">
        <f t="shared" si="1"/>
        <v>117804.68855445374</v>
      </c>
      <c r="P12" s="157">
        <f t="shared" si="1"/>
        <v>132014.27958155869</v>
      </c>
      <c r="Q12" s="158">
        <f t="shared" si="1"/>
        <v>147937.83021108003</v>
      </c>
    </row>
    <row r="13" spans="2:19" x14ac:dyDescent="0.25">
      <c r="B13" s="64"/>
      <c r="C13" s="299"/>
      <c r="D13" s="299"/>
      <c r="E13" s="299"/>
      <c r="F13" s="299"/>
      <c r="G13" s="299"/>
      <c r="H13" s="299"/>
      <c r="I13" s="299"/>
      <c r="J13" s="299"/>
      <c r="K13" s="299"/>
      <c r="L13" s="299"/>
      <c r="M13" s="299"/>
      <c r="N13" s="299"/>
      <c r="O13" s="299"/>
      <c r="P13" s="299"/>
      <c r="Q13" s="300"/>
    </row>
    <row r="14" spans="2:19" x14ac:dyDescent="0.25">
      <c r="B14" s="59" t="s">
        <v>287</v>
      </c>
      <c r="C14" s="147">
        <f>'Cost Build Up'!C12</f>
        <v>15579.15</v>
      </c>
      <c r="D14" s="147">
        <f>'Cost Build Up'!D12</f>
        <v>17933.3</v>
      </c>
      <c r="E14" s="147">
        <f>'Cost Build Up'!E12</f>
        <v>17862.55</v>
      </c>
      <c r="F14" s="147">
        <f>'Cost Build Up'!F12</f>
        <v>17094.660000000003</v>
      </c>
      <c r="G14" s="147">
        <f>'Cost Build Up'!G12</f>
        <v>18889.510000000002</v>
      </c>
      <c r="H14" s="148">
        <f>'Cost Build Up'!H12</f>
        <v>24529.191459097812</v>
      </c>
      <c r="I14" s="148">
        <f>'Cost Build Up'!I12</f>
        <v>27487.900345274462</v>
      </c>
      <c r="J14" s="148">
        <f>'Cost Build Up'!J12</f>
        <v>30803.488433431237</v>
      </c>
      <c r="K14" s="148">
        <f>'Cost Build Up'!K12</f>
        <v>34519.002461082964</v>
      </c>
      <c r="L14" s="148">
        <f>'Cost Build Up'!L12</f>
        <v>38682.681459384366</v>
      </c>
      <c r="M14" s="148">
        <f>'Cost Build Up'!M12</f>
        <v>43348.583047125932</v>
      </c>
      <c r="N14" s="148">
        <f>'Cost Build Up'!N12</f>
        <v>48577.285268255524</v>
      </c>
      <c r="O14" s="148">
        <f>'Cost Build Up'!O12</f>
        <v>54436.673084979418</v>
      </c>
      <c r="P14" s="148">
        <f>'Cost Build Up'!P12</f>
        <v>61002.819737590944</v>
      </c>
      <c r="Q14" s="154">
        <f>'Cost Build Up'!Q12</f>
        <v>68360.974413842996</v>
      </c>
      <c r="R14" s="147"/>
      <c r="S14" s="147"/>
    </row>
    <row r="15" spans="2:19" x14ac:dyDescent="0.25">
      <c r="B15" s="59" t="s">
        <v>0</v>
      </c>
      <c r="C15" s="147">
        <f>'Cost Build Up'!C15</f>
        <v>2357.9</v>
      </c>
      <c r="D15" s="147">
        <f>'Cost Build Up'!D15</f>
        <v>330.26</v>
      </c>
      <c r="E15" s="147">
        <f>'Cost Build Up'!E15</f>
        <v>799.05</v>
      </c>
      <c r="F15" s="147">
        <f>'Cost Build Up'!F15</f>
        <v>1114.04</v>
      </c>
      <c r="G15" s="147">
        <f>'Cost Build Up'!G15</f>
        <v>166.57</v>
      </c>
      <c r="H15" s="148">
        <f>'Cost Build Up'!H15</f>
        <v>814.3288931620757</v>
      </c>
      <c r="I15" s="148">
        <f>'Cost Build Up'!I15</f>
        <v>912.55317162990116</v>
      </c>
      <c r="J15" s="148">
        <f>'Cost Build Up'!J15</f>
        <v>1022.6252538064482</v>
      </c>
      <c r="K15" s="148">
        <f>'Cost Build Up'!K15</f>
        <v>1145.9742207184247</v>
      </c>
      <c r="L15" s="148">
        <f>'Cost Build Up'!L15</f>
        <v>1284.2015290185275</v>
      </c>
      <c r="M15" s="148">
        <f>'Cost Build Up'!M15</f>
        <v>1439.1018029180777</v>
      </c>
      <c r="N15" s="148">
        <f>'Cost Build Up'!N15</f>
        <v>1612.6861340407129</v>
      </c>
      <c r="O15" s="148">
        <f>'Cost Build Up'!O15</f>
        <v>1807.2081917023565</v>
      </c>
      <c r="P15" s="148">
        <f>'Cost Build Up'!P15</f>
        <v>2025.1934826108272</v>
      </c>
      <c r="Q15" s="154">
        <f>'Cost Build Up'!Q15</f>
        <v>2269.472139867803</v>
      </c>
    </row>
    <row r="16" spans="2:19" x14ac:dyDescent="0.25">
      <c r="B16" s="59" t="s">
        <v>1</v>
      </c>
      <c r="C16" s="147">
        <f>'Cost Build Up'!C18</f>
        <v>25.44</v>
      </c>
      <c r="D16" s="147">
        <f>'Cost Build Up'!D18</f>
        <v>9.9499999999999993</v>
      </c>
      <c r="E16" s="147">
        <f>'Cost Build Up'!E18</f>
        <v>16.73</v>
      </c>
      <c r="F16" s="147">
        <f>'Cost Build Up'!F18</f>
        <v>16.29</v>
      </c>
      <c r="G16" s="147">
        <f>'Cost Build Up'!G18</f>
        <v>24.26</v>
      </c>
      <c r="H16" s="148">
        <f>'Cost Build Up'!H18</f>
        <v>26.320697344588897</v>
      </c>
      <c r="I16" s="148">
        <f>'Cost Build Up'!I18</f>
        <v>29.495497510899209</v>
      </c>
      <c r="J16" s="148">
        <f>'Cost Build Up'!J18</f>
        <v>33.053241790127416</v>
      </c>
      <c r="K16" s="148">
        <f>'Cost Build Up'!K18</f>
        <v>37.040120867021074</v>
      </c>
      <c r="L16" s="148">
        <f>'Cost Build Up'!L18</f>
        <v>41.507896942602443</v>
      </c>
      <c r="M16" s="148">
        <f>'Cost Build Up'!M18</f>
        <v>46.5145757699648</v>
      </c>
      <c r="N16" s="148">
        <f>'Cost Build Up'!N18</f>
        <v>52.125159750966255</v>
      </c>
      <c r="O16" s="148">
        <f>'Cost Build Up'!O18</f>
        <v>58.412491871379878</v>
      </c>
      <c r="P16" s="148">
        <f>'Cost Build Up'!P18</f>
        <v>65.458201431426247</v>
      </c>
      <c r="Q16" s="154">
        <f>'Cost Build Up'!Q18</f>
        <v>73.353763850238451</v>
      </c>
    </row>
    <row r="17" spans="2:17" x14ac:dyDescent="0.25">
      <c r="B17" s="59" t="s">
        <v>2</v>
      </c>
      <c r="C17" s="147">
        <f>'Cost Build Up'!C21</f>
        <v>25.85</v>
      </c>
      <c r="D17" s="147">
        <f>'Cost Build Up'!D21</f>
        <v>0</v>
      </c>
      <c r="E17" s="147">
        <f>'Cost Build Up'!E21</f>
        <v>0</v>
      </c>
      <c r="F17" s="147">
        <f>'Cost Build Up'!F21</f>
        <v>0</v>
      </c>
      <c r="G17" s="147">
        <f>'Cost Build Up'!G21</f>
        <v>0</v>
      </c>
      <c r="H17" s="148">
        <f>'Cost Build Up'!H21</f>
        <v>0</v>
      </c>
      <c r="I17" s="148">
        <f>'Cost Build Up'!I21</f>
        <v>0</v>
      </c>
      <c r="J17" s="148">
        <f>'Cost Build Up'!J21</f>
        <v>0</v>
      </c>
      <c r="K17" s="148">
        <f>'Cost Build Up'!K21</f>
        <v>0</v>
      </c>
      <c r="L17" s="148">
        <f>'Cost Build Up'!L21</f>
        <v>0</v>
      </c>
      <c r="M17" s="148">
        <f>'Cost Build Up'!M21</f>
        <v>0</v>
      </c>
      <c r="N17" s="148">
        <f>'Cost Build Up'!N21</f>
        <v>0</v>
      </c>
      <c r="O17" s="148">
        <f>'Cost Build Up'!O21</f>
        <v>0</v>
      </c>
      <c r="P17" s="148">
        <f>'Cost Build Up'!P21</f>
        <v>0</v>
      </c>
      <c r="Q17" s="154">
        <f>'Cost Build Up'!Q21</f>
        <v>0</v>
      </c>
    </row>
    <row r="18" spans="2:17" x14ac:dyDescent="0.25">
      <c r="B18" s="59" t="s">
        <v>3</v>
      </c>
      <c r="C18" s="147">
        <f>'Cost Build Up'!C27</f>
        <v>919.49</v>
      </c>
      <c r="D18" s="147">
        <f>'Cost Build Up'!D27</f>
        <v>2445.94</v>
      </c>
      <c r="E18" s="147">
        <f>'Cost Build Up'!E27</f>
        <v>3470.02</v>
      </c>
      <c r="F18" s="147">
        <f>'Cost Build Up'!F27</f>
        <v>142.16999999999999</v>
      </c>
      <c r="G18" s="147">
        <f>'Cost Build Up'!G27</f>
        <v>-1379.58</v>
      </c>
      <c r="H18" s="148">
        <f>'Cost Build Up'!H27</f>
        <v>1724.60663849771</v>
      </c>
      <c r="I18" s="148">
        <f>'Cost Build Up'!I27</f>
        <v>1932.6285374254005</v>
      </c>
      <c r="J18" s="148">
        <f>'Cost Build Up'!J27</f>
        <v>2165.7420192494533</v>
      </c>
      <c r="K18" s="148">
        <f>'Cost Build Up'!K27</f>
        <v>2426.9736284610522</v>
      </c>
      <c r="L18" s="148">
        <f>'Cost Build Up'!L27</f>
        <v>2719.714971077985</v>
      </c>
      <c r="M18" s="148">
        <f>'Cost Build Up'!M27</f>
        <v>3047.7667483334294</v>
      </c>
      <c r="N18" s="148">
        <f>'Cost Build Up'!N27</f>
        <v>3415.3881017043441</v>
      </c>
      <c r="O18" s="148">
        <f>'Cost Build Up'!O27</f>
        <v>3827.3519099327914</v>
      </c>
      <c r="P18" s="148">
        <f>'Cost Build Up'!P27</f>
        <v>4289.0067559690351</v>
      </c>
      <c r="Q18" s="154">
        <f>'Cost Build Up'!Q27</f>
        <v>4806.3463683617874</v>
      </c>
    </row>
    <row r="19" spans="2:17" x14ac:dyDescent="0.25">
      <c r="B19" s="59" t="s">
        <v>4</v>
      </c>
      <c r="C19" s="147">
        <f>'Cost Build Up'!C24</f>
        <v>71.61</v>
      </c>
      <c r="D19" s="147">
        <f>'Cost Build Up'!D24</f>
        <v>88.51</v>
      </c>
      <c r="E19" s="147">
        <f>'Cost Build Up'!E24</f>
        <v>65.11</v>
      </c>
      <c r="F19" s="147">
        <f>'Cost Build Up'!F24</f>
        <v>54.06</v>
      </c>
      <c r="G19" s="147">
        <f>'Cost Build Up'!G24</f>
        <v>168.06</v>
      </c>
      <c r="H19" s="148">
        <f>'Cost Build Up'!H24</f>
        <v>121.53113528651501</v>
      </c>
      <c r="I19" s="148">
        <f>'Cost Build Up'!I24</f>
        <v>136.19020998610048</v>
      </c>
      <c r="J19" s="148">
        <f>'Cost Build Up'!J24</f>
        <v>152.61746096859002</v>
      </c>
      <c r="K19" s="148">
        <f>'Cost Build Up'!K24</f>
        <v>171.02616549953399</v>
      </c>
      <c r="L19" s="148">
        <f>'Cost Build Up'!L24</f>
        <v>191.65532632923222</v>
      </c>
      <c r="M19" s="148">
        <f>'Cost Build Up'!M24</f>
        <v>214.77277469841061</v>
      </c>
      <c r="N19" s="148">
        <f>'Cost Build Up'!N24</f>
        <v>240.67864762816492</v>
      </c>
      <c r="O19" s="148">
        <f>'Cost Build Up'!O24</f>
        <v>269.709284640308</v>
      </c>
      <c r="P19" s="148">
        <f>'Cost Build Up'!P24</f>
        <v>302.24159449977776</v>
      </c>
      <c r="Q19" s="154">
        <f>'Cost Build Up'!Q24</f>
        <v>338.69794867312413</v>
      </c>
    </row>
    <row r="20" spans="2:17" x14ac:dyDescent="0.25">
      <c r="B20" s="59" t="s">
        <v>5</v>
      </c>
      <c r="C20" s="147">
        <f>'Cost Build Up'!C30</f>
        <v>193.15</v>
      </c>
      <c r="D20" s="147">
        <f>'Cost Build Up'!D30</f>
        <v>163.62</v>
      </c>
      <c r="E20" s="147">
        <f>'Cost Build Up'!E30</f>
        <v>180.09</v>
      </c>
      <c r="F20" s="147">
        <f>'Cost Build Up'!F30</f>
        <v>204.1</v>
      </c>
      <c r="G20" s="147">
        <f>'Cost Build Up'!G30</f>
        <v>238.03</v>
      </c>
      <c r="H20" s="148">
        <f>'Cost Build Up'!H30</f>
        <v>274.14392358281469</v>
      </c>
      <c r="I20" s="148">
        <f>'Cost Build Up'!I30</f>
        <v>307.21113919602914</v>
      </c>
      <c r="J20" s="148">
        <f>'Cost Build Up'!J30</f>
        <v>344.26691940743177</v>
      </c>
      <c r="K20" s="148">
        <f>'Cost Build Up'!K30</f>
        <v>385.79236452313859</v>
      </c>
      <c r="L20" s="148">
        <f>'Cost Build Up'!L30</f>
        <v>432.32660512528241</v>
      </c>
      <c r="M20" s="148">
        <f>'Cost Build Up'!M30</f>
        <v>484.47380167873149</v>
      </c>
      <c r="N20" s="148">
        <f>'Cost Build Up'!N30</f>
        <v>542.91098842974418</v>
      </c>
      <c r="O20" s="148">
        <f>'Cost Build Up'!O30</f>
        <v>608.39686343498215</v>
      </c>
      <c r="P20" s="148">
        <f>'Cost Build Up'!P30</f>
        <v>681.78163884303774</v>
      </c>
      <c r="Q20" s="154">
        <f>'Cost Build Up'!Q30</f>
        <v>764.01807931604014</v>
      </c>
    </row>
    <row r="21" spans="2:17" x14ac:dyDescent="0.25">
      <c r="B21" s="59" t="s">
        <v>6</v>
      </c>
      <c r="C21" s="147">
        <f>'Cost Build Up'!C33</f>
        <v>259.29000000000002</v>
      </c>
      <c r="D21" s="147">
        <f>'Cost Build Up'!D33</f>
        <v>146.27000000000001</v>
      </c>
      <c r="E21" s="147">
        <f>'Cost Build Up'!E33</f>
        <v>172.35</v>
      </c>
      <c r="F21" s="147">
        <f>'Cost Build Up'!F33</f>
        <v>203.91</v>
      </c>
      <c r="G21" s="147">
        <f>'Cost Build Up'!G33</f>
        <v>251.78</v>
      </c>
      <c r="H21" s="148">
        <f>'Cost Build Up'!H33</f>
        <v>293.35313263924257</v>
      </c>
      <c r="I21" s="148">
        <f>'Cost Build Up'!I33</f>
        <v>328.73736133568281</v>
      </c>
      <c r="J21" s="148">
        <f>'Cost Build Up'!J33</f>
        <v>368.38963254176849</v>
      </c>
      <c r="K21" s="148">
        <f>'Cost Build Up'!K33</f>
        <v>412.82475716437079</v>
      </c>
      <c r="L21" s="148">
        <f>'Cost Build Up'!L33</f>
        <v>462.61964255603397</v>
      </c>
      <c r="M21" s="148">
        <f>'Cost Build Up'!M33</f>
        <v>518.42078258271579</v>
      </c>
      <c r="N21" s="148">
        <f>'Cost Build Up'!N33</f>
        <v>580.95265114282802</v>
      </c>
      <c r="O21" s="148">
        <f>'Cost Build Up'!O33</f>
        <v>651.0271081117977</v>
      </c>
      <c r="P21" s="148">
        <f>'Cost Build Up'!P33</f>
        <v>729.55393983082047</v>
      </c>
      <c r="Q21" s="154">
        <f>'Cost Build Up'!Q33</f>
        <v>817.55267098842819</v>
      </c>
    </row>
    <row r="22" spans="2:17" x14ac:dyDescent="0.25">
      <c r="B22" s="59" t="s">
        <v>7</v>
      </c>
      <c r="C22" s="147">
        <f>'Cost Build Up'!C36</f>
        <v>130.41</v>
      </c>
      <c r="D22" s="147">
        <f>'Cost Build Up'!D36</f>
        <v>109.38</v>
      </c>
      <c r="E22" s="147">
        <f>'Cost Build Up'!E36</f>
        <v>124.31</v>
      </c>
      <c r="F22" s="147">
        <f>'Cost Build Up'!F36</f>
        <v>130.33000000000001</v>
      </c>
      <c r="G22" s="147">
        <f>'Cost Build Up'!G36</f>
        <v>170.44</v>
      </c>
      <c r="H22" s="148">
        <f>'Cost Build Up'!H36</f>
        <v>185.66809506521437</v>
      </c>
      <c r="I22" s="148">
        <f>'Cost Build Up'!I36</f>
        <v>208.06336413329419</v>
      </c>
      <c r="J22" s="148">
        <f>'Cost Build Up'!J36</f>
        <v>233.15994855905848</v>
      </c>
      <c r="K22" s="148">
        <f>'Cost Build Up'!K36</f>
        <v>261.28368076003625</v>
      </c>
      <c r="L22" s="148">
        <f>'Cost Build Up'!L36</f>
        <v>292.79969503089939</v>
      </c>
      <c r="M22" s="148">
        <f>'Cost Build Up'!M36</f>
        <v>328.11716813237922</v>
      </c>
      <c r="N22" s="148">
        <f>'Cost Build Up'!N36</f>
        <v>367.69463168959396</v>
      </c>
      <c r="O22" s="148">
        <f>'Cost Build Up'!O36</f>
        <v>412.04592537139001</v>
      </c>
      <c r="P22" s="148">
        <f>'Cost Build Up'!P36</f>
        <v>461.74686814164369</v>
      </c>
      <c r="Q22" s="154">
        <f>'Cost Build Up'!Q36</f>
        <v>517.44273419629951</v>
      </c>
    </row>
    <row r="23" spans="2:17" x14ac:dyDescent="0.25">
      <c r="B23" s="59"/>
      <c r="C23" s="147"/>
      <c r="D23" s="147"/>
      <c r="E23" s="147"/>
      <c r="F23" s="147"/>
      <c r="G23" s="147"/>
      <c r="H23" s="148"/>
      <c r="I23" s="148"/>
      <c r="J23" s="148"/>
      <c r="K23" s="148"/>
      <c r="L23" s="148"/>
      <c r="M23" s="148"/>
      <c r="N23" s="148"/>
      <c r="O23" s="148"/>
      <c r="P23" s="148"/>
      <c r="Q23" s="154"/>
    </row>
    <row r="24" spans="2:17" x14ac:dyDescent="0.25">
      <c r="B24" s="76" t="s">
        <v>8</v>
      </c>
      <c r="C24" s="157">
        <f>SUM(C14:C22)</f>
        <v>19562.29</v>
      </c>
      <c r="D24" s="157">
        <f t="shared" ref="D24:Q24" si="2">SUM(D14:D22)</f>
        <v>21227.229999999996</v>
      </c>
      <c r="E24" s="157">
        <f t="shared" si="2"/>
        <v>22690.21</v>
      </c>
      <c r="F24" s="157">
        <f t="shared" si="2"/>
        <v>18959.560000000005</v>
      </c>
      <c r="G24" s="157">
        <f t="shared" si="2"/>
        <v>18529.07</v>
      </c>
      <c r="H24" s="157">
        <f t="shared" si="2"/>
        <v>27969.143974675975</v>
      </c>
      <c r="I24" s="157">
        <f t="shared" si="2"/>
        <v>31342.779626491767</v>
      </c>
      <c r="J24" s="157">
        <f t="shared" si="2"/>
        <v>35123.342909754108</v>
      </c>
      <c r="K24" s="157">
        <f t="shared" si="2"/>
        <v>39359.917399076556</v>
      </c>
      <c r="L24" s="157">
        <f t="shared" si="2"/>
        <v>44107.50712546493</v>
      </c>
      <c r="M24" s="157">
        <f t="shared" si="2"/>
        <v>49427.750701239638</v>
      </c>
      <c r="N24" s="157">
        <f t="shared" si="2"/>
        <v>55389.721582641876</v>
      </c>
      <c r="O24" s="157">
        <f t="shared" si="2"/>
        <v>62070.82486004442</v>
      </c>
      <c r="P24" s="157">
        <f t="shared" si="2"/>
        <v>69557.80221891751</v>
      </c>
      <c r="Q24" s="157">
        <f t="shared" si="2"/>
        <v>77947.858119096723</v>
      </c>
    </row>
    <row r="25" spans="2:17" x14ac:dyDescent="0.25">
      <c r="B25" s="64"/>
      <c r="C25" s="147"/>
      <c r="D25" s="147"/>
      <c r="E25" s="147"/>
      <c r="F25" s="147"/>
      <c r="G25" s="147"/>
      <c r="H25" s="148"/>
      <c r="I25" s="148"/>
      <c r="J25" s="148"/>
      <c r="K25" s="148"/>
      <c r="L25" s="148"/>
      <c r="M25" s="148"/>
      <c r="N25" s="148"/>
      <c r="O25" s="148"/>
      <c r="P25" s="148"/>
      <c r="Q25" s="154"/>
    </row>
    <row r="26" spans="2:17" x14ac:dyDescent="0.25">
      <c r="B26" s="76" t="s">
        <v>9</v>
      </c>
      <c r="C26" s="157">
        <f>C12-C24</f>
        <v>10367.489999999998</v>
      </c>
      <c r="D26" s="157">
        <f t="shared" ref="D26:Q26" si="3">D12-D24</f>
        <v>14325.450000000004</v>
      </c>
      <c r="E26" s="157">
        <f t="shared" si="3"/>
        <v>16578.839999999997</v>
      </c>
      <c r="F26" s="157">
        <f t="shared" si="3"/>
        <v>20518.69999999999</v>
      </c>
      <c r="G26" s="157">
        <f t="shared" si="3"/>
        <v>28975.68</v>
      </c>
      <c r="H26" s="157">
        <f t="shared" si="3"/>
        <v>25113.706180781443</v>
      </c>
      <c r="I26" s="157">
        <f t="shared" si="3"/>
        <v>28142.919180558016</v>
      </c>
      <c r="J26" s="157">
        <f t="shared" si="3"/>
        <v>31537.515582209278</v>
      </c>
      <c r="K26" s="157">
        <f t="shared" si="3"/>
        <v>35341.56789908286</v>
      </c>
      <c r="L26" s="157">
        <f t="shared" si="3"/>
        <v>39604.464667155866</v>
      </c>
      <c r="M26" s="157">
        <f t="shared" si="3"/>
        <v>44381.551663210208</v>
      </c>
      <c r="N26" s="157">
        <f t="shared" si="3"/>
        <v>49734.850466687269</v>
      </c>
      <c r="O26" s="157">
        <f t="shared" si="3"/>
        <v>55733.863694409316</v>
      </c>
      <c r="P26" s="157">
        <f t="shared" si="3"/>
        <v>62456.477362641177</v>
      </c>
      <c r="Q26" s="158">
        <f t="shared" si="3"/>
        <v>69989.972091983305</v>
      </c>
    </row>
    <row r="27" spans="2:17" x14ac:dyDescent="0.25">
      <c r="B27" s="59"/>
      <c r="C27" s="147"/>
      <c r="D27" s="147"/>
      <c r="E27" s="147"/>
      <c r="F27" s="147"/>
      <c r="G27" s="147"/>
      <c r="H27" s="148"/>
      <c r="I27" s="148"/>
      <c r="J27" s="148"/>
      <c r="K27" s="148"/>
      <c r="L27" s="148"/>
      <c r="M27" s="148"/>
      <c r="N27" s="148"/>
      <c r="O27" s="148"/>
      <c r="P27" s="148"/>
      <c r="Q27" s="154"/>
    </row>
    <row r="28" spans="2:17" x14ac:dyDescent="0.25">
      <c r="B28" s="59" t="s">
        <v>10</v>
      </c>
      <c r="C28" s="147">
        <f>FAS!C142</f>
        <v>11.779999999999998</v>
      </c>
      <c r="D28" s="147">
        <f>FAS!D142</f>
        <v>10.86</v>
      </c>
      <c r="E28" s="147">
        <f>FAS!E142</f>
        <v>18.239999999999995</v>
      </c>
      <c r="F28" s="147">
        <f>FAS!F142</f>
        <v>24.259999999999998</v>
      </c>
      <c r="G28" s="147">
        <f>FAS!G142</f>
        <v>23.98</v>
      </c>
      <c r="H28" s="148">
        <f>FAS!H142</f>
        <v>24.099899999999998</v>
      </c>
      <c r="I28" s="148">
        <f>FAS!I142</f>
        <v>24.220399499999992</v>
      </c>
      <c r="J28" s="148">
        <f>FAS!J142</f>
        <v>24.341501497499998</v>
      </c>
      <c r="K28" s="148">
        <f>FAS!K142</f>
        <v>24.463209004987487</v>
      </c>
      <c r="L28" s="148">
        <f>FAS!L142</f>
        <v>24.585525050012421</v>
      </c>
      <c r="M28" s="148">
        <f>FAS!M142</f>
        <v>24.708452675262485</v>
      </c>
      <c r="N28" s="148">
        <f>FAS!N142</f>
        <v>24.831994938638797</v>
      </c>
      <c r="O28" s="148">
        <f>FAS!O142</f>
        <v>24.956154913331982</v>
      </c>
      <c r="P28" s="148">
        <f>FAS!P142</f>
        <v>25.080935687898641</v>
      </c>
      <c r="Q28" s="154">
        <f>FAS!Q142</f>
        <v>25.206340366338129</v>
      </c>
    </row>
    <row r="29" spans="2:17" x14ac:dyDescent="0.25">
      <c r="B29" s="59"/>
      <c r="C29" s="147"/>
      <c r="D29" s="147"/>
      <c r="E29" s="147"/>
      <c r="F29" s="147"/>
      <c r="G29" s="147"/>
      <c r="H29" s="148"/>
      <c r="I29" s="148"/>
      <c r="J29" s="148"/>
      <c r="K29" s="148"/>
      <c r="L29" s="148"/>
      <c r="M29" s="148"/>
      <c r="N29" s="148"/>
      <c r="O29" s="148"/>
      <c r="P29" s="148"/>
      <c r="Q29" s="154"/>
    </row>
    <row r="30" spans="2:17" x14ac:dyDescent="0.25">
      <c r="B30" s="76" t="s">
        <v>11</v>
      </c>
      <c r="C30" s="157">
        <f>C26-C28</f>
        <v>10355.709999999997</v>
      </c>
      <c r="D30" s="157">
        <f t="shared" ref="D30:Q30" si="4">D26-D28</f>
        <v>14314.590000000004</v>
      </c>
      <c r="E30" s="157">
        <f t="shared" si="4"/>
        <v>16560.599999999995</v>
      </c>
      <c r="F30" s="157">
        <f t="shared" si="4"/>
        <v>20494.439999999991</v>
      </c>
      <c r="G30" s="157">
        <f t="shared" si="4"/>
        <v>28951.7</v>
      </c>
      <c r="H30" s="157">
        <f t="shared" si="4"/>
        <v>25089.606280781441</v>
      </c>
      <c r="I30" s="157">
        <f t="shared" si="4"/>
        <v>28118.698781058014</v>
      </c>
      <c r="J30" s="157">
        <f t="shared" si="4"/>
        <v>31513.174080711779</v>
      </c>
      <c r="K30" s="157">
        <f t="shared" si="4"/>
        <v>35317.104690077875</v>
      </c>
      <c r="L30" s="157">
        <f t="shared" si="4"/>
        <v>39579.879142105856</v>
      </c>
      <c r="M30" s="157">
        <f t="shared" si="4"/>
        <v>44356.843210534942</v>
      </c>
      <c r="N30" s="157">
        <f t="shared" si="4"/>
        <v>49710.018471748626</v>
      </c>
      <c r="O30" s="157">
        <f t="shared" si="4"/>
        <v>55708.907539495987</v>
      </c>
      <c r="P30" s="157">
        <f t="shared" si="4"/>
        <v>62431.396426953281</v>
      </c>
      <c r="Q30" s="158">
        <f t="shared" si="4"/>
        <v>69964.765751616971</v>
      </c>
    </row>
    <row r="31" spans="2:17" x14ac:dyDescent="0.25">
      <c r="B31" s="64"/>
      <c r="C31" s="147"/>
      <c r="D31" s="147"/>
      <c r="E31" s="147"/>
      <c r="F31" s="147"/>
      <c r="G31" s="147"/>
      <c r="H31" s="148"/>
      <c r="I31" s="148"/>
      <c r="J31" s="148"/>
      <c r="K31" s="148"/>
      <c r="L31" s="148"/>
      <c r="M31" s="148"/>
      <c r="N31" s="148"/>
      <c r="O31" s="148"/>
      <c r="P31" s="148"/>
      <c r="Q31" s="154"/>
    </row>
    <row r="32" spans="2:17" x14ac:dyDescent="0.25">
      <c r="B32" s="59" t="s">
        <v>12</v>
      </c>
      <c r="C32" s="147">
        <f>'Cost Build Up'!C39</f>
        <v>3412.15</v>
      </c>
      <c r="D32" s="147">
        <f>'Cost Build Up'!D39</f>
        <v>3555.75</v>
      </c>
      <c r="E32" s="147">
        <f>'Cost Build Up'!E39</f>
        <v>4188.41</v>
      </c>
      <c r="F32" s="147">
        <f>'Cost Build Up'!F39</f>
        <v>6638.67</v>
      </c>
      <c r="G32" s="147">
        <f>'Cost Build Up'!G39</f>
        <v>11058.23</v>
      </c>
      <c r="H32" s="148">
        <f>'Cost Build Up'!H39</f>
        <v>7545.3720670390858</v>
      </c>
      <c r="I32" s="148">
        <f>'Cost Build Up'!I39</f>
        <v>8455.4941728363192</v>
      </c>
      <c r="J32" s="148">
        <f>'Cost Build Up'!J39</f>
        <v>9475.3951258661764</v>
      </c>
      <c r="K32" s="148">
        <f>'Cost Build Up'!K39</f>
        <v>10618.316440891304</v>
      </c>
      <c r="L32" s="148">
        <f>'Cost Build Up'!L39</f>
        <v>11899.096823004076</v>
      </c>
      <c r="M32" s="148">
        <f>'Cost Build Up'!M39</f>
        <v>13334.364820581744</v>
      </c>
      <c r="N32" s="148">
        <f>'Cost Build Up'!N39</f>
        <v>14942.754716023799</v>
      </c>
      <c r="O32" s="148">
        <f>'Cost Build Up'!O39</f>
        <v>16745.148457210886</v>
      </c>
      <c r="P32" s="148">
        <f>'Cost Build Up'!P39</f>
        <v>18764.946770714669</v>
      </c>
      <c r="Q32" s="154">
        <f>'Cost Build Up'!Q39</f>
        <v>21028.372976658895</v>
      </c>
    </row>
    <row r="33" spans="2:18" x14ac:dyDescent="0.25">
      <c r="B33" s="59"/>
      <c r="C33" s="147"/>
      <c r="D33" s="147"/>
      <c r="E33" s="147"/>
      <c r="F33" s="147"/>
      <c r="G33" s="147"/>
      <c r="H33" s="148"/>
      <c r="I33" s="148"/>
      <c r="J33" s="148"/>
      <c r="K33" s="148"/>
      <c r="L33" s="148"/>
      <c r="M33" s="148"/>
      <c r="N33" s="148"/>
      <c r="O33" s="148"/>
      <c r="P33" s="148"/>
      <c r="Q33" s="154"/>
    </row>
    <row r="34" spans="2:18" x14ac:dyDescent="0.25">
      <c r="B34" s="59" t="s">
        <v>13</v>
      </c>
      <c r="C34" s="147">
        <f>'Revenue Bulid Up'!C25</f>
        <v>77.27</v>
      </c>
      <c r="D34" s="147">
        <f>'Revenue Bulid Up'!D25</f>
        <v>22.72</v>
      </c>
      <c r="E34" s="147">
        <f>'Revenue Bulid Up'!E25</f>
        <v>70.150000000000006</v>
      </c>
      <c r="F34" s="147">
        <f>'Revenue Bulid Up'!F25</f>
        <v>41.9</v>
      </c>
      <c r="G34" s="147">
        <f>'Revenue Bulid Up'!G25</f>
        <v>66.48</v>
      </c>
      <c r="H34" s="148">
        <f>'Revenue Bulid Up'!H25</f>
        <v>79.283887086215373</v>
      </c>
      <c r="I34" s="148">
        <f>'Revenue Bulid Up'!I25</f>
        <v>88.847102475673609</v>
      </c>
      <c r="J34" s="148">
        <f>'Revenue Bulid Up'!J25</f>
        <v>99.563832052519231</v>
      </c>
      <c r="K34" s="148">
        <f>'Revenue Bulid Up'!K25</f>
        <v>111.57321259515956</v>
      </c>
      <c r="L34" s="148">
        <f>'Revenue Bulid Up'!L25</f>
        <v>125.03116354780445</v>
      </c>
      <c r="M34" s="148">
        <f>'Revenue Bulid Up'!M25</f>
        <v>140.11241134411895</v>
      </c>
      <c r="N34" s="148">
        <f>'Revenue Bulid Up'!N25</f>
        <v>157.01275790461378</v>
      </c>
      <c r="O34" s="148">
        <f>'Revenue Bulid Up'!O25</f>
        <v>175.95162275998922</v>
      </c>
      <c r="P34" s="148">
        <f>'Revenue Bulid Up'!P25</f>
        <v>197.17489180516998</v>
      </c>
      <c r="Q34" s="154">
        <f>'Revenue Bulid Up'!Q25</f>
        <v>220.95810966979718</v>
      </c>
    </row>
    <row r="35" spans="2:18" x14ac:dyDescent="0.25">
      <c r="B35" s="59"/>
      <c r="C35" s="147"/>
      <c r="D35" s="147"/>
      <c r="E35" s="147"/>
      <c r="F35" s="147"/>
      <c r="G35" s="147"/>
      <c r="H35" s="148"/>
      <c r="I35" s="148"/>
      <c r="J35" s="148"/>
      <c r="K35" s="148"/>
      <c r="L35" s="148"/>
      <c r="M35" s="148"/>
      <c r="N35" s="148"/>
      <c r="O35" s="148"/>
      <c r="P35" s="148"/>
      <c r="Q35" s="154"/>
    </row>
    <row r="36" spans="2:18" x14ac:dyDescent="0.25">
      <c r="B36" s="59" t="s">
        <v>15</v>
      </c>
      <c r="C36" s="147">
        <f>'Revenue Bulid Up'!C27</f>
        <v>9.14</v>
      </c>
      <c r="D36" s="147">
        <f>'Revenue Bulid Up'!D27</f>
        <v>-1.97</v>
      </c>
      <c r="E36" s="147">
        <f>'Revenue Bulid Up'!E27</f>
        <v>-11.81</v>
      </c>
      <c r="F36" s="147">
        <f>'Revenue Bulid Up'!F27</f>
        <v>0</v>
      </c>
      <c r="G36" s="147">
        <f>'Revenue Bulid Up'!G27</f>
        <v>0</v>
      </c>
      <c r="H36" s="148">
        <f>'Revenue Bulid Up'!H27</f>
        <v>0</v>
      </c>
      <c r="I36" s="148">
        <f>'Revenue Bulid Up'!I27</f>
        <v>0</v>
      </c>
      <c r="J36" s="148">
        <f>'Revenue Bulid Up'!J27</f>
        <v>0</v>
      </c>
      <c r="K36" s="148">
        <f>'Revenue Bulid Up'!K27</f>
        <v>0</v>
      </c>
      <c r="L36" s="148">
        <f>'Revenue Bulid Up'!L27</f>
        <v>0</v>
      </c>
      <c r="M36" s="148">
        <f>'Revenue Bulid Up'!M27</f>
        <v>0</v>
      </c>
      <c r="N36" s="148">
        <f>'Revenue Bulid Up'!N27</f>
        <v>0</v>
      </c>
      <c r="O36" s="148">
        <f>'Revenue Bulid Up'!O27</f>
        <v>0</v>
      </c>
      <c r="P36" s="148">
        <f>'Revenue Bulid Up'!P27</f>
        <v>0</v>
      </c>
      <c r="Q36" s="154">
        <f>'Revenue Bulid Up'!Q27</f>
        <v>0</v>
      </c>
    </row>
    <row r="37" spans="2:18" x14ac:dyDescent="0.25">
      <c r="B37" s="59"/>
      <c r="C37" s="147"/>
      <c r="D37" s="147"/>
      <c r="E37" s="147"/>
      <c r="F37" s="147"/>
      <c r="G37" s="147"/>
      <c r="H37" s="148"/>
      <c r="I37" s="148"/>
      <c r="J37" s="148"/>
      <c r="K37" s="148"/>
      <c r="L37" s="148"/>
      <c r="M37" s="148"/>
      <c r="N37" s="148"/>
      <c r="O37" s="148"/>
      <c r="P37" s="148"/>
      <c r="Q37" s="154"/>
    </row>
    <row r="38" spans="2:18" x14ac:dyDescent="0.25">
      <c r="B38" s="76" t="s">
        <v>16</v>
      </c>
      <c r="C38" s="157">
        <f>C30-C32+C34+C36</f>
        <v>7029.9699999999984</v>
      </c>
      <c r="D38" s="157">
        <f t="shared" ref="D38:Q38" si="5">D30-D32+D34+D36</f>
        <v>10779.590000000004</v>
      </c>
      <c r="E38" s="157">
        <f t="shared" si="5"/>
        <v>12430.529999999995</v>
      </c>
      <c r="F38" s="157">
        <f t="shared" si="5"/>
        <v>13897.669999999991</v>
      </c>
      <c r="G38" s="157">
        <f t="shared" si="5"/>
        <v>17959.95</v>
      </c>
      <c r="H38" s="157">
        <f t="shared" si="5"/>
        <v>17623.518100828569</v>
      </c>
      <c r="I38" s="157">
        <f t="shared" si="5"/>
        <v>19752.051710697368</v>
      </c>
      <c r="J38" s="157">
        <f t="shared" si="5"/>
        <v>22137.34278689812</v>
      </c>
      <c r="K38" s="157">
        <f t="shared" si="5"/>
        <v>24810.361461781729</v>
      </c>
      <c r="L38" s="157">
        <f t="shared" si="5"/>
        <v>27805.813482649584</v>
      </c>
      <c r="M38" s="157">
        <f t="shared" si="5"/>
        <v>31162.590801297316</v>
      </c>
      <c r="N38" s="157">
        <f t="shared" si="5"/>
        <v>34924.27651362944</v>
      </c>
      <c r="O38" s="157">
        <f t="shared" si="5"/>
        <v>39139.710705045094</v>
      </c>
      <c r="P38" s="157">
        <f t="shared" si="5"/>
        <v>43863.624548043779</v>
      </c>
      <c r="Q38" s="158">
        <f t="shared" si="5"/>
        <v>49157.350884627871</v>
      </c>
    </row>
    <row r="39" spans="2:18" x14ac:dyDescent="0.25">
      <c r="B39" s="59"/>
      <c r="C39" s="147"/>
      <c r="D39" s="147"/>
      <c r="E39" s="147"/>
      <c r="F39" s="147"/>
      <c r="G39" s="147"/>
      <c r="H39" s="148"/>
      <c r="I39" s="148"/>
      <c r="J39" s="148"/>
      <c r="K39" s="148"/>
      <c r="L39" s="148"/>
      <c r="M39" s="148"/>
      <c r="N39" s="148"/>
      <c r="O39" s="148"/>
      <c r="P39" s="148"/>
      <c r="Q39" s="154"/>
    </row>
    <row r="40" spans="2:18" x14ac:dyDescent="0.25">
      <c r="B40" s="59" t="s">
        <v>17</v>
      </c>
      <c r="C40" s="147">
        <f>'P&amp;L Input'!C40</f>
        <v>2057.71</v>
      </c>
      <c r="D40" s="147">
        <f>'P&amp;L Input'!D40</f>
        <v>2401.35</v>
      </c>
      <c r="E40" s="147">
        <f>'P&amp;L Input'!E40</f>
        <v>2394.83</v>
      </c>
      <c r="F40" s="147">
        <f>'P&amp;L Input'!F40</f>
        <v>2730.69</v>
      </c>
      <c r="G40" s="147">
        <f>'P&amp;L Input'!G40</f>
        <v>3814.48</v>
      </c>
      <c r="H40" s="148">
        <f>H38*'Cost Build Up'!H42</f>
        <v>3831.1455363240379</v>
      </c>
      <c r="I40" s="148">
        <f>I38*'Cost Build Up'!I42</f>
        <v>4293.8637059715129</v>
      </c>
      <c r="J40" s="148">
        <f>J38*'Cost Build Up'!J42</f>
        <v>4923.0846425928139</v>
      </c>
      <c r="K40" s="148">
        <f>K38*'Cost Build Up'!K42</f>
        <v>5517.5325541764787</v>
      </c>
      <c r="L40" s="148">
        <f>L38*'Cost Build Up'!L42</f>
        <v>6322.7149166584559</v>
      </c>
      <c r="M40" s="148">
        <f>M38*'Cost Build Up'!M42</f>
        <v>7086.0065944134767</v>
      </c>
      <c r="N40" s="148">
        <f>N38*'Cost Build Up'!N42</f>
        <v>8115.9910606757667</v>
      </c>
      <c r="O40" s="148">
        <f>O38*'Cost Build Up'!O42</f>
        <v>9095.6083821983702</v>
      </c>
      <c r="P40" s="148">
        <f>P38*'Cost Build Up'!P42</f>
        <v>10412.708516434737</v>
      </c>
      <c r="Q40" s="154">
        <f>Q38*'Cost Build Up'!Q42</f>
        <v>11669.376880633617</v>
      </c>
    </row>
    <row r="41" spans="2:18" x14ac:dyDescent="0.25">
      <c r="B41" s="59"/>
      <c r="C41" s="147"/>
      <c r="D41" s="147"/>
      <c r="E41" s="147"/>
      <c r="F41" s="147"/>
      <c r="G41" s="147"/>
      <c r="H41" s="148"/>
      <c r="I41" s="148"/>
      <c r="J41" s="148"/>
      <c r="K41" s="148"/>
      <c r="L41" s="148"/>
      <c r="M41" s="148"/>
      <c r="N41" s="148"/>
      <c r="O41" s="148"/>
      <c r="P41" s="148"/>
      <c r="Q41" s="154"/>
    </row>
    <row r="42" spans="2:18" x14ac:dyDescent="0.25">
      <c r="B42" s="60" t="s">
        <v>18</v>
      </c>
      <c r="C42" s="157">
        <f>C38-C40</f>
        <v>4972.2599999999984</v>
      </c>
      <c r="D42" s="157">
        <f t="shared" ref="D42:Q42" si="6">D38-D40</f>
        <v>8378.2400000000034</v>
      </c>
      <c r="E42" s="157">
        <f t="shared" si="6"/>
        <v>10035.699999999995</v>
      </c>
      <c r="F42" s="157">
        <f t="shared" si="6"/>
        <v>11166.97999999999</v>
      </c>
      <c r="G42" s="157">
        <f t="shared" si="6"/>
        <v>14145.470000000001</v>
      </c>
      <c r="H42" s="157">
        <f t="shared" si="6"/>
        <v>13792.372564504531</v>
      </c>
      <c r="I42" s="157">
        <f t="shared" si="6"/>
        <v>15458.188004725855</v>
      </c>
      <c r="J42" s="157">
        <f t="shared" si="6"/>
        <v>17214.258144305306</v>
      </c>
      <c r="K42" s="157">
        <f t="shared" si="6"/>
        <v>19292.82890760525</v>
      </c>
      <c r="L42" s="157">
        <f t="shared" si="6"/>
        <v>21483.098565991128</v>
      </c>
      <c r="M42" s="157">
        <f t="shared" si="6"/>
        <v>24076.584206883839</v>
      </c>
      <c r="N42" s="157">
        <f t="shared" si="6"/>
        <v>26808.285452953674</v>
      </c>
      <c r="O42" s="157">
        <f t="shared" si="6"/>
        <v>30044.102322846724</v>
      </c>
      <c r="P42" s="157">
        <f t="shared" si="6"/>
        <v>33450.916031609042</v>
      </c>
      <c r="Q42" s="158">
        <f t="shared" si="6"/>
        <v>37487.974003994255</v>
      </c>
      <c r="R42" s="1"/>
    </row>
    <row r="43" spans="2:18" x14ac:dyDescent="0.25">
      <c r="B43" s="59"/>
      <c r="C43" s="147"/>
      <c r="D43" s="147"/>
      <c r="E43" s="147"/>
      <c r="F43" s="147"/>
      <c r="G43" s="147"/>
      <c r="H43" s="148"/>
      <c r="I43" s="148"/>
      <c r="J43" s="148"/>
      <c r="K43" s="148"/>
      <c r="L43" s="148"/>
      <c r="M43" s="148"/>
      <c r="N43" s="148"/>
      <c r="O43" s="148"/>
      <c r="P43" s="148"/>
      <c r="Q43" s="154"/>
    </row>
    <row r="44" spans="2:18" x14ac:dyDescent="0.25">
      <c r="B44" s="59" t="s">
        <v>95</v>
      </c>
      <c r="C44" s="209">
        <v>2172.41</v>
      </c>
      <c r="D44" s="209">
        <v>2172.41</v>
      </c>
      <c r="E44" s="209">
        <v>2411.37</v>
      </c>
      <c r="F44" s="209">
        <v>3120.37</v>
      </c>
      <c r="G44" s="209">
        <v>2857.05</v>
      </c>
      <c r="H44" s="277">
        <f t="shared" ref="H44:Q44" si="7">H45*H42</f>
        <v>3382.4956909886801</v>
      </c>
      <c r="I44" s="277">
        <f t="shared" si="7"/>
        <v>3791.0268209432206</v>
      </c>
      <c r="J44" s="277">
        <f t="shared" si="7"/>
        <v>4221.6923683261311</v>
      </c>
      <c r="K44" s="277">
        <f t="shared" si="7"/>
        <v>4731.4492370153639</v>
      </c>
      <c r="L44" s="277">
        <f t="shared" si="7"/>
        <v>5268.5995820299622</v>
      </c>
      <c r="M44" s="277">
        <f t="shared" si="7"/>
        <v>5904.6362003806753</v>
      </c>
      <c r="N44" s="277">
        <f t="shared" si="7"/>
        <v>6574.5693573256385</v>
      </c>
      <c r="O44" s="277">
        <f t="shared" si="7"/>
        <v>7368.1338124658414</v>
      </c>
      <c r="P44" s="277">
        <f t="shared" si="7"/>
        <v>8203.6342048744827</v>
      </c>
      <c r="Q44" s="154">
        <f t="shared" si="7"/>
        <v>9193.6981791472826</v>
      </c>
    </row>
    <row r="45" spans="2:18" x14ac:dyDescent="0.25">
      <c r="B45" s="77"/>
      <c r="C45" s="278">
        <f>C44/C42</f>
        <v>0.43690595423409084</v>
      </c>
      <c r="D45" s="279">
        <f>D44/D42</f>
        <v>0.25929192766022446</v>
      </c>
      <c r="E45" s="279">
        <f>E44/E42</f>
        <v>0.24027920324441754</v>
      </c>
      <c r="F45" s="279">
        <f>F44/F42</f>
        <v>0.27942827872889558</v>
      </c>
      <c r="G45" s="279">
        <f>G44/G42</f>
        <v>0.2019763217482346</v>
      </c>
      <c r="H45" s="280">
        <f>AVERAGE(D45:G45)</f>
        <v>0.24524393284544305</v>
      </c>
      <c r="I45" s="273">
        <f t="shared" ref="I45:Q45" si="8">H45</f>
        <v>0.24524393284544305</v>
      </c>
      <c r="J45" s="273">
        <f t="shared" si="8"/>
        <v>0.24524393284544305</v>
      </c>
      <c r="K45" s="273">
        <f t="shared" si="8"/>
        <v>0.24524393284544305</v>
      </c>
      <c r="L45" s="273">
        <f t="shared" si="8"/>
        <v>0.24524393284544305</v>
      </c>
      <c r="M45" s="273">
        <f t="shared" si="8"/>
        <v>0.24524393284544305</v>
      </c>
      <c r="N45" s="273">
        <f t="shared" si="8"/>
        <v>0.24524393284544305</v>
      </c>
      <c r="O45" s="273">
        <f t="shared" si="8"/>
        <v>0.24524393284544305</v>
      </c>
      <c r="P45" s="273">
        <f t="shared" si="8"/>
        <v>0.24524393284544305</v>
      </c>
      <c r="Q45" s="281">
        <f t="shared" si="8"/>
        <v>0.24524393284544305</v>
      </c>
    </row>
    <row r="47" spans="2:18" x14ac:dyDescent="0.25">
      <c r="B47" s="39"/>
      <c r="C47" s="39"/>
      <c r="D47" s="39"/>
      <c r="E47" s="39"/>
      <c r="F47" s="39"/>
      <c r="G47" s="39"/>
      <c r="H47" s="39"/>
      <c r="I47" s="39"/>
      <c r="J47" s="39"/>
      <c r="K47" s="39"/>
      <c r="L47" s="39"/>
      <c r="M47" s="39"/>
      <c r="N47" s="39"/>
      <c r="O47" s="39"/>
      <c r="P47" s="39"/>
      <c r="Q47" s="39"/>
    </row>
  </sheetData>
  <mergeCells count="2">
    <mergeCell ref="B7:B8"/>
    <mergeCell ref="B6:Q6"/>
  </mergeCells>
  <pageMargins left="0.7" right="0.7" top="0.75" bottom="0.75" header="0.3" footer="0.3"/>
  <pageSetup orientation="portrait" horizontalDpi="300" verticalDpi="0" copies="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374F-E7DC-428A-952F-4E85EC4FAD15}">
  <dimension ref="B5:R70"/>
  <sheetViews>
    <sheetView showGridLines="0" topLeftCell="G61" zoomScaleNormal="100" workbookViewId="0">
      <selection activeCell="B11" sqref="B11"/>
    </sheetView>
  </sheetViews>
  <sheetFormatPr defaultRowHeight="15" x14ac:dyDescent="0.25"/>
  <cols>
    <col min="1" max="1" width="0.85546875" customWidth="1"/>
    <col min="2" max="2" width="60" customWidth="1"/>
    <col min="3" max="12" width="14.28515625" bestFit="1" customWidth="1"/>
    <col min="13" max="17" width="16" bestFit="1" customWidth="1"/>
  </cols>
  <sheetData>
    <row r="5" spans="2:18" x14ac:dyDescent="0.25">
      <c r="Q5" t="s">
        <v>259</v>
      </c>
    </row>
    <row r="6" spans="2:18" ht="18" x14ac:dyDescent="0.25">
      <c r="B6" s="303" t="s">
        <v>228</v>
      </c>
      <c r="C6" s="303"/>
      <c r="D6" s="303"/>
      <c r="E6" s="303"/>
      <c r="F6" s="303"/>
      <c r="G6" s="303"/>
      <c r="H6" s="303"/>
      <c r="I6" s="303"/>
      <c r="J6" s="303"/>
      <c r="K6" s="303"/>
      <c r="L6" s="303"/>
      <c r="M6" s="303"/>
      <c r="N6" s="303"/>
      <c r="O6" s="303"/>
      <c r="P6" s="303"/>
      <c r="Q6" s="303"/>
    </row>
    <row r="7" spans="2:18" x14ac:dyDescent="0.25">
      <c r="B7" s="306" t="s">
        <v>63</v>
      </c>
      <c r="C7" s="7">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24">
        <f t="shared" si="0"/>
        <v>2034</v>
      </c>
    </row>
    <row r="8" spans="2:18"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8" x14ac:dyDescent="0.25">
      <c r="B9" s="143"/>
      <c r="Q9" s="17"/>
    </row>
    <row r="10" spans="2:18" x14ac:dyDescent="0.25">
      <c r="B10" s="64" t="s">
        <v>38</v>
      </c>
      <c r="Q10" s="17"/>
    </row>
    <row r="11" spans="2:18" x14ac:dyDescent="0.25">
      <c r="B11" s="59" t="s">
        <v>29</v>
      </c>
      <c r="C11" s="147">
        <f>'BS Input'!C11</f>
        <v>409.94</v>
      </c>
      <c r="D11" s="147">
        <f>'BS Input'!D11</f>
        <v>168.92</v>
      </c>
      <c r="E11" s="147">
        <f>'BS Input'!E11</f>
        <v>191.56</v>
      </c>
      <c r="F11" s="147">
        <f>'BS Input'!F11</f>
        <v>305.95</v>
      </c>
      <c r="G11" s="147">
        <f>'BS Input'!G11</f>
        <v>309.68</v>
      </c>
      <c r="H11" s="148">
        <f>'BS Items'!H13</f>
        <v>399.12877579276847</v>
      </c>
      <c r="I11" s="148">
        <f>'BS Items'!I13</f>
        <v>447.2716531328561</v>
      </c>
      <c r="J11" s="148">
        <f>'BS Items'!J13</f>
        <v>501.22152004411441</v>
      </c>
      <c r="K11" s="148">
        <f>'BS Items'!K13</f>
        <v>561.67881509072561</v>
      </c>
      <c r="L11" s="148">
        <f>'BS Items'!L13</f>
        <v>629.42846367401489</v>
      </c>
      <c r="M11" s="148">
        <f>'BS Items'!M13</f>
        <v>705.35006882721314</v>
      </c>
      <c r="N11" s="148">
        <f>'BS Items'!N13</f>
        <v>790.42933122297177</v>
      </c>
      <c r="O11" s="148">
        <f>'BS Items'!O13</f>
        <v>885.770846661169</v>
      </c>
      <c r="P11" s="148">
        <f>'BS Items'!P13</f>
        <v>992.61244718855187</v>
      </c>
      <c r="Q11" s="154">
        <f>'BS Items'!Q13</f>
        <v>1112.3412720429501</v>
      </c>
      <c r="R11" s="11"/>
    </row>
    <row r="12" spans="2:18" x14ac:dyDescent="0.25">
      <c r="B12" s="59" t="s">
        <v>30</v>
      </c>
      <c r="C12" s="147">
        <f>'BS Input'!C12</f>
        <v>2050.5700000000002</v>
      </c>
      <c r="D12" s="147">
        <f>'BS Input'!D12</f>
        <v>2461.0300000000002</v>
      </c>
      <c r="E12" s="147">
        <f>'BS Input'!E12</f>
        <v>3160.12</v>
      </c>
      <c r="F12" s="147">
        <f>'BS Input'!F12</f>
        <v>3307.56</v>
      </c>
      <c r="G12" s="147">
        <f>'BS Input'!G12</f>
        <v>2500.96</v>
      </c>
      <c r="H12" s="148">
        <f>'BS Items'!H15</f>
        <v>3765.0248541219098</v>
      </c>
      <c r="I12" s="148">
        <f>'BS Items'!I15</f>
        <v>4219.1618162448412</v>
      </c>
      <c r="J12" s="148">
        <f>'BS Items'!J15</f>
        <v>4728.076738237135</v>
      </c>
      <c r="K12" s="148">
        <f>'BS Items'!K15</f>
        <v>5298.3769327329001</v>
      </c>
      <c r="L12" s="148">
        <f>'BS Items'!L15</f>
        <v>5937.4666858268965</v>
      </c>
      <c r="M12" s="148">
        <f>'BS Items'!M15</f>
        <v>6653.6433879422957</v>
      </c>
      <c r="N12" s="148">
        <f>'BS Items'!N15</f>
        <v>7456.2052599951066</v>
      </c>
      <c r="O12" s="148">
        <f>'BS Items'!O15</f>
        <v>8355.5720734789775</v>
      </c>
      <c r="P12" s="148">
        <f>'BS Items'!P15</f>
        <v>9363.4204317958411</v>
      </c>
      <c r="Q12" s="154">
        <f>'BS Items'!Q15</f>
        <v>10492.835369208593</v>
      </c>
      <c r="R12" s="11"/>
    </row>
    <row r="13" spans="2:18" x14ac:dyDescent="0.25">
      <c r="B13" s="61" t="s">
        <v>31</v>
      </c>
      <c r="C13" s="147">
        <f>'BS Input'!C13</f>
        <v>0.01</v>
      </c>
      <c r="D13" s="147">
        <f>'BS Input'!D13</f>
        <v>0.01</v>
      </c>
      <c r="E13" s="147">
        <f>'BS Input'!E13</f>
        <v>0</v>
      </c>
      <c r="F13" s="147">
        <f>'BS Input'!F13</f>
        <v>0</v>
      </c>
      <c r="G13" s="147">
        <f>'BS Input'!G13</f>
        <v>0</v>
      </c>
      <c r="H13" s="148">
        <f>G13</f>
        <v>0</v>
      </c>
      <c r="I13" s="148">
        <f t="shared" ref="I13:Q13" si="1">H13</f>
        <v>0</v>
      </c>
      <c r="J13" s="148">
        <f t="shared" si="1"/>
        <v>0</v>
      </c>
      <c r="K13" s="148">
        <f t="shared" si="1"/>
        <v>0</v>
      </c>
      <c r="L13" s="148">
        <f t="shared" si="1"/>
        <v>0</v>
      </c>
      <c r="M13" s="148">
        <f t="shared" si="1"/>
        <v>0</v>
      </c>
      <c r="N13" s="148">
        <f t="shared" si="1"/>
        <v>0</v>
      </c>
      <c r="O13" s="148">
        <f t="shared" si="1"/>
        <v>0</v>
      </c>
      <c r="P13" s="148">
        <f t="shared" si="1"/>
        <v>0</v>
      </c>
      <c r="Q13" s="154">
        <f t="shared" si="1"/>
        <v>0</v>
      </c>
      <c r="R13" s="11"/>
    </row>
    <row r="14" spans="2:18" x14ac:dyDescent="0.25">
      <c r="B14" s="59" t="s">
        <v>32</v>
      </c>
      <c r="C14" s="147">
        <f>'BS Input'!C14</f>
        <v>156.97</v>
      </c>
      <c r="D14" s="147">
        <f>'BS Input'!D14</f>
        <v>260.7</v>
      </c>
      <c r="E14" s="147">
        <f>'BS Input'!E14</f>
        <v>624.04</v>
      </c>
      <c r="F14" s="147">
        <f>'BS Input'!F14</f>
        <v>639.16999999999996</v>
      </c>
      <c r="G14" s="147">
        <f>'BS Input'!G14</f>
        <v>630.98</v>
      </c>
      <c r="H14" s="148">
        <f>FAS!H110</f>
        <v>622.76910000000009</v>
      </c>
      <c r="I14" s="148">
        <f>FAS!I110</f>
        <v>614.50709549999999</v>
      </c>
      <c r="J14" s="148">
        <f>FAS!J110</f>
        <v>606.20378097749995</v>
      </c>
      <c r="K14" s="148">
        <f>FAS!K110</f>
        <v>597.85894988238738</v>
      </c>
      <c r="L14" s="148">
        <f>FAS!L110</f>
        <v>589.47239463179938</v>
      </c>
      <c r="M14" s="148">
        <f>FAS!M110</f>
        <v>581.04390660495824</v>
      </c>
      <c r="N14" s="148">
        <f>FAS!N110</f>
        <v>572.57327613798316</v>
      </c>
      <c r="O14" s="148">
        <f>FAS!O110</f>
        <v>564.06029251867312</v>
      </c>
      <c r="P14" s="148">
        <f>FAS!P110</f>
        <v>555.50474398126653</v>
      </c>
      <c r="Q14" s="154">
        <f>FAS!Q110</f>
        <v>546.90641770117281</v>
      </c>
      <c r="R14" s="11"/>
    </row>
    <row r="15" spans="2:18" x14ac:dyDescent="0.25">
      <c r="B15" s="59" t="s">
        <v>33</v>
      </c>
      <c r="C15" s="147">
        <f>'BS Input'!C15</f>
        <v>287.62</v>
      </c>
      <c r="D15" s="147">
        <f>'BS Input'!D15</f>
        <v>335.67</v>
      </c>
      <c r="E15" s="147">
        <f>'BS Input'!E15</f>
        <v>6.07</v>
      </c>
      <c r="F15" s="147">
        <f>'BS Input'!F15</f>
        <v>2.72</v>
      </c>
      <c r="G15" s="147">
        <f>'BS Input'!G15</f>
        <v>23.59</v>
      </c>
      <c r="H15" s="148">
        <f>FAS!H146</f>
        <v>44.564349999999997</v>
      </c>
      <c r="I15" s="148">
        <f>FAS!I146</f>
        <v>65.643571749999992</v>
      </c>
      <c r="J15" s="148">
        <f>FAS!J146</f>
        <v>86.82818960874998</v>
      </c>
      <c r="K15" s="148">
        <f>FAS!K146</f>
        <v>108.11873055679372</v>
      </c>
      <c r="L15" s="148">
        <f>FAS!L146</f>
        <v>129.51572420957768</v>
      </c>
      <c r="M15" s="148">
        <f>FAS!M146</f>
        <v>151.01970283062556</v>
      </c>
      <c r="N15" s="148">
        <f>FAS!N146</f>
        <v>172.63120134477867</v>
      </c>
      <c r="O15" s="148">
        <f>FAS!O146</f>
        <v>194.35075735150255</v>
      </c>
      <c r="P15" s="148">
        <f>FAS!P146</f>
        <v>216.17891113826005</v>
      </c>
      <c r="Q15" s="154">
        <f>FAS!Q146</f>
        <v>238.11620569395131</v>
      </c>
      <c r="R15" s="11"/>
    </row>
    <row r="16" spans="2:18" x14ac:dyDescent="0.25">
      <c r="B16" s="61" t="s">
        <v>34</v>
      </c>
      <c r="C16" s="147">
        <f>'BS Input'!C16</f>
        <v>0.77</v>
      </c>
      <c r="D16" s="147">
        <f>'BS Input'!D16</f>
        <v>0.77</v>
      </c>
      <c r="E16" s="147">
        <f>'BS Input'!E16</f>
        <v>0</v>
      </c>
      <c r="F16" s="147">
        <f>'BS Input'!F16</f>
        <v>0</v>
      </c>
      <c r="G16" s="147">
        <f>'BS Input'!G16</f>
        <v>0</v>
      </c>
      <c r="H16" s="148">
        <f>G16</f>
        <v>0</v>
      </c>
      <c r="I16" s="148">
        <f t="shared" ref="I16:Q16" si="2">H16</f>
        <v>0</v>
      </c>
      <c r="J16" s="148">
        <f t="shared" si="2"/>
        <v>0</v>
      </c>
      <c r="K16" s="148">
        <f t="shared" si="2"/>
        <v>0</v>
      </c>
      <c r="L16" s="148">
        <f t="shared" si="2"/>
        <v>0</v>
      </c>
      <c r="M16" s="148">
        <f t="shared" si="2"/>
        <v>0</v>
      </c>
      <c r="N16" s="148">
        <f t="shared" si="2"/>
        <v>0</v>
      </c>
      <c r="O16" s="148">
        <f t="shared" si="2"/>
        <v>0</v>
      </c>
      <c r="P16" s="148">
        <f t="shared" si="2"/>
        <v>0</v>
      </c>
      <c r="Q16" s="154">
        <f t="shared" si="2"/>
        <v>0</v>
      </c>
      <c r="R16" s="11"/>
    </row>
    <row r="17" spans="2:18" x14ac:dyDescent="0.25">
      <c r="B17" s="59" t="s">
        <v>35</v>
      </c>
      <c r="C17" s="147">
        <f>'BS Input'!C17</f>
        <v>8.82</v>
      </c>
      <c r="D17" s="147">
        <f>'BS Input'!D17</f>
        <v>6.15</v>
      </c>
      <c r="E17" s="147">
        <f>'BS Input'!E17</f>
        <v>4.28</v>
      </c>
      <c r="F17" s="147">
        <f>'BS Input'!F17</f>
        <v>1.63</v>
      </c>
      <c r="G17" s="147">
        <f>'BS Input'!G17</f>
        <v>0.52</v>
      </c>
      <c r="H17" s="148">
        <f>FAS!H135</f>
        <v>-0.59555000000000113</v>
      </c>
      <c r="I17" s="148">
        <f>FAS!I135</f>
        <v>-1.7166777500000006</v>
      </c>
      <c r="J17" s="148">
        <f>FAS!J135</f>
        <v>-2.8434111387500032</v>
      </c>
      <c r="K17" s="148">
        <f>FAS!K135</f>
        <v>-3.9757781944437518</v>
      </c>
      <c r="L17" s="148">
        <f>FAS!L135</f>
        <v>-5.1138070854159707</v>
      </c>
      <c r="M17" s="148">
        <f>FAS!M135</f>
        <v>-6.2575261208430497</v>
      </c>
      <c r="N17" s="148">
        <f>FAS!N135</f>
        <v>-7.4069637514472646</v>
      </c>
      <c r="O17" s="148">
        <f>FAS!O135</f>
        <v>-8.562148570204501</v>
      </c>
      <c r="P17" s="148">
        <f>FAS!P135</f>
        <v>-9.723109313055522</v>
      </c>
      <c r="Q17" s="154">
        <f>FAS!Q135</f>
        <v>-10.889874859620798</v>
      </c>
      <c r="R17" s="11"/>
    </row>
    <row r="18" spans="2:18" x14ac:dyDescent="0.25">
      <c r="B18" s="59" t="s">
        <v>36</v>
      </c>
      <c r="C18" s="147">
        <f>'BS Input'!C18</f>
        <v>132.37</v>
      </c>
      <c r="D18" s="147">
        <f>'BS Input'!D18</f>
        <v>102.67</v>
      </c>
      <c r="E18" s="147">
        <f>'BS Input'!E18</f>
        <v>68.680000000000007</v>
      </c>
      <c r="F18" s="147">
        <f>'BS Input'!F18</f>
        <v>74.400000000000006</v>
      </c>
      <c r="G18" s="147">
        <f>'BS Input'!G18</f>
        <v>117.03</v>
      </c>
      <c r="H18" s="148">
        <f>'BS Items'!H18</f>
        <v>142.34269659858001</v>
      </c>
      <c r="I18" s="148">
        <f>'BS Items'!I18</f>
        <v>159.51205996756141</v>
      </c>
      <c r="J18" s="148">
        <f>'BS Items'!J18</f>
        <v>178.752390414871</v>
      </c>
      <c r="K18" s="148">
        <f>'BS Items'!K18</f>
        <v>200.31348780479897</v>
      </c>
      <c r="L18" s="148">
        <f>'BS Items'!L18</f>
        <v>224.47528283898777</v>
      </c>
      <c r="M18" s="148">
        <f>'BS Items'!M18</f>
        <v>251.55147143534677</v>
      </c>
      <c r="N18" s="148">
        <f>'BS Items'!N18</f>
        <v>281.89358748542651</v>
      </c>
      <c r="O18" s="148">
        <f>'BS Items'!O18</f>
        <v>315.89556686742537</v>
      </c>
      <c r="P18" s="148">
        <f>'BS Items'!P18</f>
        <v>353.99886197003696</v>
      </c>
      <c r="Q18" s="154">
        <f>'BS Items'!Q18</f>
        <v>396.69817312970827</v>
      </c>
      <c r="R18" s="11"/>
    </row>
    <row r="19" spans="2:18" x14ac:dyDescent="0.25">
      <c r="B19" s="61" t="s">
        <v>37</v>
      </c>
      <c r="C19" s="147">
        <f>'BS Input'!C19</f>
        <v>258.47000000000003</v>
      </c>
      <c r="D19" s="147">
        <f>'BS Input'!D19</f>
        <v>257.74</v>
      </c>
      <c r="E19" s="147">
        <f>'BS Input'!E19</f>
        <v>0</v>
      </c>
      <c r="F19" s="147">
        <f>'BS Input'!F19</f>
        <v>0</v>
      </c>
      <c r="G19" s="147">
        <f>'BS Input'!G19</f>
        <v>0</v>
      </c>
      <c r="H19" s="148">
        <f>G19</f>
        <v>0</v>
      </c>
      <c r="I19" s="148">
        <f t="shared" ref="I19:Q19" si="3">H19</f>
        <v>0</v>
      </c>
      <c r="J19" s="148">
        <f t="shared" si="3"/>
        <v>0</v>
      </c>
      <c r="K19" s="148">
        <f t="shared" si="3"/>
        <v>0</v>
      </c>
      <c r="L19" s="148">
        <f t="shared" si="3"/>
        <v>0</v>
      </c>
      <c r="M19" s="148">
        <f t="shared" si="3"/>
        <v>0</v>
      </c>
      <c r="N19" s="148">
        <f t="shared" si="3"/>
        <v>0</v>
      </c>
      <c r="O19" s="148">
        <f t="shared" si="3"/>
        <v>0</v>
      </c>
      <c r="P19" s="148">
        <f t="shared" si="3"/>
        <v>0</v>
      </c>
      <c r="Q19" s="154">
        <f t="shared" si="3"/>
        <v>0</v>
      </c>
      <c r="R19" s="11"/>
    </row>
    <row r="20" spans="2:18" x14ac:dyDescent="0.25">
      <c r="B20" s="59"/>
      <c r="C20" s="147"/>
      <c r="D20" s="147"/>
      <c r="E20" s="147"/>
      <c r="F20" s="147"/>
      <c r="G20" s="147"/>
      <c r="H20" s="148"/>
      <c r="I20" s="148"/>
      <c r="J20" s="148"/>
      <c r="K20" s="148"/>
      <c r="L20" s="148"/>
      <c r="M20" s="148"/>
      <c r="N20" s="148"/>
      <c r="O20" s="148"/>
      <c r="P20" s="148"/>
      <c r="Q20" s="154"/>
    </row>
    <row r="21" spans="2:18" x14ac:dyDescent="0.25">
      <c r="B21" s="67" t="s">
        <v>39</v>
      </c>
      <c r="C21" s="25">
        <f>SUM(C11:C19)</f>
        <v>3305.54</v>
      </c>
      <c r="D21" s="25">
        <f t="shared" ref="D21:Q21" si="4">SUM(D11:D19)</f>
        <v>3593.6600000000008</v>
      </c>
      <c r="E21" s="25">
        <f t="shared" si="4"/>
        <v>4054.75</v>
      </c>
      <c r="F21" s="25">
        <f t="shared" si="4"/>
        <v>4331.4299999999994</v>
      </c>
      <c r="G21" s="25">
        <f t="shared" si="4"/>
        <v>3582.76</v>
      </c>
      <c r="H21" s="25">
        <f t="shared" si="4"/>
        <v>4973.2342265132584</v>
      </c>
      <c r="I21" s="25">
        <f t="shared" si="4"/>
        <v>5504.3795188452586</v>
      </c>
      <c r="J21" s="25">
        <f t="shared" si="4"/>
        <v>6098.239208143621</v>
      </c>
      <c r="K21" s="25">
        <f t="shared" si="4"/>
        <v>6762.3711378731623</v>
      </c>
      <c r="L21" s="25">
        <f t="shared" si="4"/>
        <v>7505.2447440958595</v>
      </c>
      <c r="M21" s="25">
        <f t="shared" si="4"/>
        <v>8336.3510115195968</v>
      </c>
      <c r="N21" s="25">
        <f t="shared" si="4"/>
        <v>9266.3256924348188</v>
      </c>
      <c r="O21" s="25">
        <f t="shared" si="4"/>
        <v>10307.087388307544</v>
      </c>
      <c r="P21" s="25">
        <f t="shared" si="4"/>
        <v>11471.9922867609</v>
      </c>
      <c r="Q21" s="160">
        <f t="shared" si="4"/>
        <v>12776.007562916755</v>
      </c>
    </row>
    <row r="22" spans="2:18" x14ac:dyDescent="0.25">
      <c r="B22" s="59"/>
      <c r="C22" s="147"/>
      <c r="D22" s="147"/>
      <c r="E22" s="147"/>
      <c r="F22" s="147"/>
      <c r="G22" s="147"/>
      <c r="H22" s="148"/>
      <c r="I22" s="148"/>
      <c r="J22" s="148"/>
      <c r="K22" s="148"/>
      <c r="L22" s="148"/>
      <c r="M22" s="148"/>
      <c r="N22" s="148"/>
      <c r="O22" s="148"/>
      <c r="P22" s="148"/>
      <c r="Q22" s="154"/>
    </row>
    <row r="23" spans="2:18" x14ac:dyDescent="0.25">
      <c r="B23" s="64" t="s">
        <v>27</v>
      </c>
      <c r="C23" s="147"/>
      <c r="D23" s="147"/>
      <c r="E23" s="147"/>
      <c r="F23" s="147"/>
      <c r="G23" s="147"/>
      <c r="H23" s="148"/>
      <c r="I23" s="148"/>
      <c r="J23" s="148"/>
      <c r="K23" s="148"/>
      <c r="L23" s="148"/>
      <c r="M23" s="148"/>
      <c r="N23" s="148"/>
      <c r="O23" s="148"/>
      <c r="P23" s="148"/>
      <c r="Q23" s="154"/>
    </row>
    <row r="24" spans="2:18" x14ac:dyDescent="0.25">
      <c r="B24" s="59" t="s">
        <v>20</v>
      </c>
      <c r="C24" s="147">
        <f>'BS Input'!C24</f>
        <v>1717.71</v>
      </c>
      <c r="D24" s="147">
        <f>'BS Input'!D24</f>
        <v>1179.24</v>
      </c>
      <c r="E24" s="147">
        <f>'BS Input'!E24</f>
        <v>140.99</v>
      </c>
      <c r="F24" s="147">
        <f>'BS Input'!F24</f>
        <v>48.7</v>
      </c>
      <c r="G24" s="147">
        <f>'BS Input'!G24</f>
        <v>262.75</v>
      </c>
      <c r="H24" s="148">
        <f>H66-H21-SUM(H25,H26,H27,H28,H29,H30,H31,H64)</f>
        <v>10558.840947002522</v>
      </c>
      <c r="I24" s="148">
        <f t="shared" ref="I24:Q24" si="5">I66-I21-SUM(I25,I26,I27,I28,I29,I30,I31,I64)</f>
        <v>13947.674970535445</v>
      </c>
      <c r="J24" s="148">
        <f t="shared" si="5"/>
        <v>17664.73480331758</v>
      </c>
      <c r="K24" s="148">
        <f t="shared" si="5"/>
        <v>21833.156893401174</v>
      </c>
      <c r="L24" s="148">
        <f t="shared" si="5"/>
        <v>26402.46653802495</v>
      </c>
      <c r="M24" s="148">
        <f t="shared" si="5"/>
        <v>31525.956192577025</v>
      </c>
      <c r="N24" s="148">
        <f t="shared" si="5"/>
        <v>37138.689603923354</v>
      </c>
      <c r="O24" s="148">
        <f t="shared" si="5"/>
        <v>43431.480250722496</v>
      </c>
      <c r="P24" s="148">
        <f t="shared" si="5"/>
        <v>50320.840141448891</v>
      </c>
      <c r="Q24" s="154">
        <f t="shared" si="5"/>
        <v>58044.263470862526</v>
      </c>
    </row>
    <row r="25" spans="2:18" x14ac:dyDescent="0.25">
      <c r="B25" s="59" t="s">
        <v>65</v>
      </c>
      <c r="C25" s="147">
        <f>'BS Input'!C25</f>
        <v>2257.4499999999998</v>
      </c>
      <c r="D25" s="147">
        <f>'BS Input'!D25</f>
        <v>2223.58</v>
      </c>
      <c r="E25" s="147">
        <f>'BS Input'!E25</f>
        <v>2518.96</v>
      </c>
      <c r="F25" s="147">
        <f>'BS Input'!F25</f>
        <v>2346.91</v>
      </c>
      <c r="G25" s="147">
        <f>'BS Input'!G25</f>
        <v>2699.75</v>
      </c>
      <c r="H25" s="148">
        <f>'BS Items'!H22</f>
        <v>3380.2483348309065</v>
      </c>
      <c r="I25" s="148">
        <f>'BS Items'!I22</f>
        <v>3787.9735875129968</v>
      </c>
      <c r="J25" s="148">
        <f>'BS Items'!J22</f>
        <v>4244.8786238108933</v>
      </c>
      <c r="K25" s="148">
        <f>'BS Items'!K22</f>
        <v>4756.8955048382695</v>
      </c>
      <c r="L25" s="148">
        <f>'BS Items'!L22</f>
        <v>5330.6718163912783</v>
      </c>
      <c r="M25" s="148">
        <f>'BS Items'!M22</f>
        <v>5973.6569754719521</v>
      </c>
      <c r="N25" s="148">
        <f>'BS Items'!N22</f>
        <v>6694.1989470967292</v>
      </c>
      <c r="O25" s="148">
        <f>'BS Items'!O22</f>
        <v>7501.6526270778277</v>
      </c>
      <c r="P25" s="148">
        <f>'BS Items'!P22</f>
        <v>8406.5012979260246</v>
      </c>
      <c r="Q25" s="154">
        <f>'BS Items'!Q22</f>
        <v>9420.4927347536013</v>
      </c>
    </row>
    <row r="26" spans="2:18" x14ac:dyDescent="0.25">
      <c r="B26" s="59" t="s">
        <v>89</v>
      </c>
      <c r="C26" s="147">
        <f>'BS Input'!C26</f>
        <v>0</v>
      </c>
      <c r="D26" s="147">
        <f>'BS Input'!D26</f>
        <v>0</v>
      </c>
      <c r="E26" s="147">
        <f>'BS Input'!E26</f>
        <v>0</v>
      </c>
      <c r="F26" s="147">
        <f>'BS Input'!F26</f>
        <v>0</v>
      </c>
      <c r="G26" s="147">
        <f>'BS Input'!G26</f>
        <v>0</v>
      </c>
      <c r="H26" s="148">
        <f>'working Capital'!H13</f>
        <v>0</v>
      </c>
      <c r="I26" s="148">
        <f>'working Capital'!I13</f>
        <v>0</v>
      </c>
      <c r="J26" s="148">
        <f>'working Capital'!J13</f>
        <v>0</v>
      </c>
      <c r="K26" s="148">
        <f>'working Capital'!K13</f>
        <v>0</v>
      </c>
      <c r="L26" s="148">
        <f>'working Capital'!L13</f>
        <v>0</v>
      </c>
      <c r="M26" s="148">
        <f>'working Capital'!M13</f>
        <v>0</v>
      </c>
      <c r="N26" s="148">
        <f>'working Capital'!N13</f>
        <v>0</v>
      </c>
      <c r="O26" s="148">
        <f>'working Capital'!O13</f>
        <v>0</v>
      </c>
      <c r="P26" s="148">
        <f>'working Capital'!P13</f>
        <v>0</v>
      </c>
      <c r="Q26" s="154">
        <f>'working Capital'!Q13</f>
        <v>0</v>
      </c>
    </row>
    <row r="27" spans="2:18" x14ac:dyDescent="0.25">
      <c r="B27" s="59" t="s">
        <v>22</v>
      </c>
      <c r="C27" s="147">
        <f>'BS Input'!C27</f>
        <v>110.72</v>
      </c>
      <c r="D27" s="147">
        <f>'BS Input'!D27</f>
        <v>140.07</v>
      </c>
      <c r="E27" s="147">
        <f>'BS Input'!E27</f>
        <v>94.55</v>
      </c>
      <c r="F27" s="147">
        <f>'BS Input'!F27</f>
        <v>113</v>
      </c>
      <c r="G27" s="147">
        <f>'BS Input'!G27</f>
        <v>153.82</v>
      </c>
      <c r="H27" s="148">
        <f>'working Capital'!H11</f>
        <v>165.19200935729805</v>
      </c>
      <c r="I27" s="148">
        <f>'working Capital'!I11</f>
        <v>185.11745479343517</v>
      </c>
      <c r="J27" s="148">
        <f>'working Capital'!J11</f>
        <v>207.44630568104145</v>
      </c>
      <c r="K27" s="148">
        <f>'working Capital'!K11</f>
        <v>232.46846057132703</v>
      </c>
      <c r="L27" s="148">
        <f>'working Capital'!L11</f>
        <v>260.50878555289444</v>
      </c>
      <c r="M27" s="148">
        <f>'working Capital'!M11</f>
        <v>291.93133203298072</v>
      </c>
      <c r="N27" s="148">
        <f>'working Capital'!N11</f>
        <v>327.14406326709593</v>
      </c>
      <c r="O27" s="148">
        <f>'working Capital'!O11</f>
        <v>366.60415100224594</v>
      </c>
      <c r="P27" s="148">
        <f>'working Capital'!P11</f>
        <v>410.82391100078803</v>
      </c>
      <c r="Q27" s="154">
        <f>'working Capital'!Q11</f>
        <v>460.37745450664414</v>
      </c>
    </row>
    <row r="28" spans="2:18" x14ac:dyDescent="0.25">
      <c r="B28" s="59" t="s">
        <v>23</v>
      </c>
      <c r="C28" s="147">
        <f>'BS Input'!C28</f>
        <v>3318.85</v>
      </c>
      <c r="D28" s="147">
        <f>'BS Input'!D28</f>
        <v>2311.2199999999998</v>
      </c>
      <c r="E28" s="147">
        <f>'BS Input'!E28</f>
        <v>5510.17</v>
      </c>
      <c r="F28" s="147">
        <f>'BS Input'!F28</f>
        <v>8981.61</v>
      </c>
      <c r="G28" s="147">
        <f>'BS Input'!G28</f>
        <v>12482.02</v>
      </c>
      <c r="H28" s="148">
        <f>'BS Items'!H25</f>
        <v>8562.0029723506068</v>
      </c>
      <c r="I28" s="148">
        <f>'BS Items'!I25</f>
        <v>9594.751007278961</v>
      </c>
      <c r="J28" s="148">
        <f>'BS Items'!J25</f>
        <v>10752.069018075421</v>
      </c>
      <c r="K28" s="148">
        <f>'BS Items'!K25</f>
        <v>12048.982624119511</v>
      </c>
      <c r="L28" s="148">
        <f>'BS Items'!L25</f>
        <v>13502.329833660253</v>
      </c>
      <c r="M28" s="148">
        <f>'BS Items'!M25</f>
        <v>15130.979653999992</v>
      </c>
      <c r="N28" s="148">
        <f>'BS Items'!N25</f>
        <v>16956.077070419047</v>
      </c>
      <c r="O28" s="148">
        <f>'BS Items'!O25</f>
        <v>19001.317574436463</v>
      </c>
      <c r="P28" s="148">
        <f>'BS Items'!P25</f>
        <v>21293.254805645047</v>
      </c>
      <c r="Q28" s="154">
        <f>'BS Items'!Q25</f>
        <v>23861.645301277098</v>
      </c>
    </row>
    <row r="29" spans="2:18" x14ac:dyDescent="0.25">
      <c r="B29" s="59" t="s">
        <v>24</v>
      </c>
      <c r="C29" s="147">
        <f>'BS Input'!C29</f>
        <v>312083.5</v>
      </c>
      <c r="D29" s="147">
        <f>'BS Input'!D29</f>
        <v>365261.49</v>
      </c>
      <c r="E29" s="147">
        <f>'BS Input'!E29</f>
        <v>371930.54</v>
      </c>
      <c r="F29" s="147">
        <f>'BS Input'!F29</f>
        <v>422083.91</v>
      </c>
      <c r="G29" s="147">
        <f>'BS Input'!G29</f>
        <v>499192.05</v>
      </c>
      <c r="H29" s="148">
        <f>'BS Items'!H28</f>
        <v>545396.01887228142</v>
      </c>
      <c r="I29" s="148">
        <f>'BS Items'!I28</f>
        <v>611181.63802787254</v>
      </c>
      <c r="J29" s="148">
        <f>'BS Items'!J28</f>
        <v>684902.31269896403</v>
      </c>
      <c r="K29" s="148">
        <f>'BS Items'!K28</f>
        <v>767515.1685741531</v>
      </c>
      <c r="L29" s="148">
        <f>'BS Items'!L28</f>
        <v>860092.77975723427</v>
      </c>
      <c r="M29" s="148">
        <f>'BS Items'!M28</f>
        <v>963837.09414474585</v>
      </c>
      <c r="N29" s="148">
        <f>'BS Items'!N28</f>
        <v>1080095.0384813107</v>
      </c>
      <c r="O29" s="148">
        <f>'BS Items'!O28</f>
        <v>1210376.0056953642</v>
      </c>
      <c r="P29" s="148">
        <f>'BS Items'!P28</f>
        <v>1356371.4515557552</v>
      </c>
      <c r="Q29" s="154">
        <f>'BS Items'!Q28</f>
        <v>1519976.8550753191</v>
      </c>
    </row>
    <row r="30" spans="2:18" x14ac:dyDescent="0.25">
      <c r="B30" s="59" t="s">
        <v>25</v>
      </c>
      <c r="C30" s="147">
        <f>'BS Input'!C30</f>
        <v>2127.11</v>
      </c>
      <c r="D30" s="147">
        <f>'BS Input'!D30</f>
        <v>1723.68</v>
      </c>
      <c r="E30" s="147">
        <f>'BS Input'!E30</f>
        <v>2190.44</v>
      </c>
      <c r="F30" s="147">
        <f>'BS Input'!F30</f>
        <v>3170</v>
      </c>
      <c r="G30" s="147">
        <f>'BS Input'!G30</f>
        <v>5352.32</v>
      </c>
      <c r="H30" s="148">
        <f>'BS Items'!H31</f>
        <v>3910.0749624111845</v>
      </c>
      <c r="I30" s="148">
        <f>'BS Items'!I31</f>
        <v>4381.7078556597698</v>
      </c>
      <c r="J30" s="148">
        <f>'BS Items'!J31</f>
        <v>4910.2290664297316</v>
      </c>
      <c r="K30" s="148">
        <f>'BS Items'!K31</f>
        <v>5502.5004585069528</v>
      </c>
      <c r="L30" s="148">
        <f>'BS Items'!L31</f>
        <v>6166.2115730751939</v>
      </c>
      <c r="M30" s="148">
        <f>'BS Items'!M31</f>
        <v>6909.9794630900205</v>
      </c>
      <c r="N30" s="148">
        <f>'BS Items'!N31</f>
        <v>7743.4605696659864</v>
      </c>
      <c r="O30" s="148">
        <f>'BS Items'!O31</f>
        <v>8677.4760929836848</v>
      </c>
      <c r="P30" s="148">
        <f>'BS Items'!P31</f>
        <v>9724.152485424409</v>
      </c>
      <c r="Q30" s="154">
        <f>'BS Items'!Q31</f>
        <v>10897.078890974188</v>
      </c>
    </row>
    <row r="31" spans="2:18" x14ac:dyDescent="0.25">
      <c r="B31" s="59" t="s">
        <v>26</v>
      </c>
      <c r="C31" s="147">
        <f>'BS Input'!C31</f>
        <v>22099.67</v>
      </c>
      <c r="D31" s="147">
        <f>'BS Input'!D31</f>
        <v>24419.88</v>
      </c>
      <c r="E31" s="147">
        <f>'BS Input'!E31</f>
        <v>24415.31</v>
      </c>
      <c r="F31" s="147">
        <f>'BS Input'!F31</f>
        <v>24422.54</v>
      </c>
      <c r="G31" s="147">
        <f>'BS Input'!G31</f>
        <v>24445.42</v>
      </c>
      <c r="H31" s="148">
        <f>'BS Items'!H34</f>
        <v>33762.971018722419</v>
      </c>
      <c r="I31" s="148">
        <f>'BS Items'!I34</f>
        <v>37835.457571872459</v>
      </c>
      <c r="J31" s="148">
        <f>'BS Items'!J34</f>
        <v>42399.167089861432</v>
      </c>
      <c r="K31" s="148">
        <f>'BS Items'!K34</f>
        <v>47513.350842898828</v>
      </c>
      <c r="L31" s="148">
        <f>'BS Items'!L34</f>
        <v>53244.406984122485</v>
      </c>
      <c r="M31" s="148">
        <f>'BS Items'!M34</f>
        <v>59666.7426059801</v>
      </c>
      <c r="N31" s="148">
        <f>'BS Items'!N34</f>
        <v>66863.739777774405</v>
      </c>
      <c r="O31" s="148">
        <f>'BS Items'!O34</f>
        <v>74928.838106571115</v>
      </c>
      <c r="P31" s="148">
        <f>'BS Items'!P34</f>
        <v>83966.747876506823</v>
      </c>
      <c r="Q31" s="154">
        <f>'BS Items'!Q34</f>
        <v>94094.809516852169</v>
      </c>
    </row>
    <row r="32" spans="2:18" x14ac:dyDescent="0.25">
      <c r="B32" s="59"/>
      <c r="C32" s="147"/>
      <c r="D32" s="147"/>
      <c r="E32" s="147"/>
      <c r="F32" s="147"/>
      <c r="G32" s="147"/>
      <c r="H32" s="148"/>
      <c r="I32" s="148"/>
      <c r="J32" s="148"/>
      <c r="K32" s="148"/>
      <c r="L32" s="148"/>
      <c r="M32" s="148"/>
      <c r="N32" s="148"/>
      <c r="O32" s="148"/>
      <c r="P32" s="148"/>
      <c r="Q32" s="154"/>
    </row>
    <row r="33" spans="2:17" x14ac:dyDescent="0.25">
      <c r="B33" s="67" t="s">
        <v>28</v>
      </c>
      <c r="C33" s="25">
        <f>SUM(C24:C31)</f>
        <v>343715.00999999995</v>
      </c>
      <c r="D33" s="25">
        <f t="shared" ref="D33:Q33" si="6">SUM(D24:D31)</f>
        <v>397259.16</v>
      </c>
      <c r="E33" s="25">
        <f t="shared" si="6"/>
        <v>406800.95999999996</v>
      </c>
      <c r="F33" s="25">
        <f t="shared" si="6"/>
        <v>461166.67</v>
      </c>
      <c r="G33" s="25">
        <f t="shared" si="6"/>
        <v>544588.13</v>
      </c>
      <c r="H33" s="25">
        <f t="shared" si="6"/>
        <v>605735.34911695635</v>
      </c>
      <c r="I33" s="25">
        <f t="shared" si="6"/>
        <v>680914.32047552569</v>
      </c>
      <c r="J33" s="25">
        <f t="shared" si="6"/>
        <v>765080.83760614018</v>
      </c>
      <c r="K33" s="25">
        <f t="shared" si="6"/>
        <v>859402.52335848915</v>
      </c>
      <c r="L33" s="25">
        <f t="shared" si="6"/>
        <v>964999.37528806122</v>
      </c>
      <c r="M33" s="25">
        <f t="shared" si="6"/>
        <v>1083336.3403678979</v>
      </c>
      <c r="N33" s="25">
        <f t="shared" si="6"/>
        <v>1215818.3485134572</v>
      </c>
      <c r="O33" s="25">
        <f t="shared" si="6"/>
        <v>1364283.3744981582</v>
      </c>
      <c r="P33" s="25">
        <f t="shared" si="6"/>
        <v>1530493.7720737071</v>
      </c>
      <c r="Q33" s="160">
        <f t="shared" si="6"/>
        <v>1716755.5224445453</v>
      </c>
    </row>
    <row r="34" spans="2:17" x14ac:dyDescent="0.25">
      <c r="B34" s="59" t="s">
        <v>56</v>
      </c>
      <c r="C34" s="147">
        <f>'BS Input'!C34</f>
        <v>9.5299999999999994</v>
      </c>
      <c r="D34" s="147">
        <f>'BS Input'!D34</f>
        <v>14.05</v>
      </c>
      <c r="E34" s="147">
        <f>'BS Input'!E34</f>
        <v>4.38</v>
      </c>
      <c r="F34" s="147">
        <f>'BS Input'!F34</f>
        <v>4.6500000000000004</v>
      </c>
      <c r="G34" s="147">
        <f>'BS Input'!G34</f>
        <v>20.2</v>
      </c>
      <c r="H34" s="148">
        <v>0</v>
      </c>
      <c r="I34" s="148">
        <v>0</v>
      </c>
      <c r="J34" s="148">
        <v>0</v>
      </c>
      <c r="K34" s="148">
        <v>0</v>
      </c>
      <c r="L34" s="148">
        <v>0</v>
      </c>
      <c r="M34" s="148">
        <v>0</v>
      </c>
      <c r="N34" s="148">
        <v>0</v>
      </c>
      <c r="O34" s="148">
        <v>0</v>
      </c>
      <c r="P34" s="148">
        <v>0</v>
      </c>
      <c r="Q34" s="154">
        <v>0</v>
      </c>
    </row>
    <row r="35" spans="2:17" x14ac:dyDescent="0.25">
      <c r="B35" s="59"/>
      <c r="C35" s="147"/>
      <c r="D35" s="147"/>
      <c r="E35" s="147"/>
      <c r="F35" s="147"/>
      <c r="G35" s="147"/>
      <c r="H35" s="148"/>
      <c r="I35" s="148"/>
      <c r="J35" s="148"/>
      <c r="K35" s="148"/>
      <c r="L35" s="148"/>
      <c r="M35" s="148"/>
      <c r="N35" s="148"/>
      <c r="O35" s="148"/>
      <c r="P35" s="148"/>
      <c r="Q35" s="154"/>
    </row>
    <row r="36" spans="2:17" x14ac:dyDescent="0.25">
      <c r="B36" s="67" t="s">
        <v>57</v>
      </c>
      <c r="C36" s="25">
        <f>SUM(C21,C33,C34)</f>
        <v>347030.07999999996</v>
      </c>
      <c r="D36" s="25">
        <f t="shared" ref="D36:Q36" si="7">SUM(D21,D33,D34)</f>
        <v>400866.86999999994</v>
      </c>
      <c r="E36" s="25">
        <f t="shared" si="7"/>
        <v>410860.08999999997</v>
      </c>
      <c r="F36" s="25">
        <f t="shared" si="7"/>
        <v>465502.75</v>
      </c>
      <c r="G36" s="25">
        <f t="shared" si="7"/>
        <v>548191.09</v>
      </c>
      <c r="H36" s="25">
        <f t="shared" si="7"/>
        <v>610708.58334346965</v>
      </c>
      <c r="I36" s="25">
        <f t="shared" si="7"/>
        <v>686418.69999437092</v>
      </c>
      <c r="J36" s="25">
        <f t="shared" si="7"/>
        <v>771179.07681428385</v>
      </c>
      <c r="K36" s="25">
        <f t="shared" si="7"/>
        <v>866164.89449636231</v>
      </c>
      <c r="L36" s="25">
        <f t="shared" si="7"/>
        <v>972504.62003215705</v>
      </c>
      <c r="M36" s="25">
        <f t="shared" si="7"/>
        <v>1091672.6913794174</v>
      </c>
      <c r="N36" s="25">
        <f t="shared" si="7"/>
        <v>1225084.674205892</v>
      </c>
      <c r="O36" s="25">
        <f t="shared" si="7"/>
        <v>1374590.4618864658</v>
      </c>
      <c r="P36" s="25">
        <f t="shared" si="7"/>
        <v>1541965.7643604679</v>
      </c>
      <c r="Q36" s="160">
        <f t="shared" si="7"/>
        <v>1729531.530007462</v>
      </c>
    </row>
    <row r="37" spans="2:17" x14ac:dyDescent="0.25">
      <c r="B37" s="59"/>
      <c r="C37" s="147"/>
      <c r="D37" s="147"/>
      <c r="E37" s="147"/>
      <c r="F37" s="147"/>
      <c r="G37" s="147"/>
      <c r="H37" s="148"/>
      <c r="I37" s="148"/>
      <c r="J37" s="148"/>
      <c r="K37" s="148"/>
      <c r="L37" s="148"/>
      <c r="M37" s="148"/>
      <c r="N37" s="148"/>
      <c r="O37" s="148"/>
      <c r="P37" s="148"/>
      <c r="Q37" s="154"/>
    </row>
    <row r="38" spans="2:17" x14ac:dyDescent="0.25">
      <c r="B38" s="59" t="s">
        <v>40</v>
      </c>
      <c r="C38" s="147"/>
      <c r="D38" s="147"/>
      <c r="E38" s="147"/>
      <c r="F38" s="147"/>
      <c r="G38" s="147"/>
      <c r="H38" s="148"/>
      <c r="I38" s="148"/>
      <c r="J38" s="148"/>
      <c r="K38" s="148"/>
      <c r="L38" s="148"/>
      <c r="M38" s="148"/>
      <c r="N38" s="148"/>
      <c r="O38" s="148"/>
      <c r="P38" s="148"/>
      <c r="Q38" s="154"/>
    </row>
    <row r="39" spans="2:17" x14ac:dyDescent="0.25">
      <c r="B39" s="59" t="s">
        <v>41</v>
      </c>
      <c r="C39" s="147">
        <f>'BS Input'!C39</f>
        <v>1974.92</v>
      </c>
      <c r="D39" s="147">
        <f>'BS Input'!D39</f>
        <v>1974.92</v>
      </c>
      <c r="E39" s="147">
        <f>'BS Input'!E39</f>
        <v>1974.92</v>
      </c>
      <c r="F39" s="147">
        <f>'BS Input'!F39</f>
        <v>2633.22</v>
      </c>
      <c r="G39" s="147">
        <f>'BS Input'!G39</f>
        <v>2633.22</v>
      </c>
      <c r="H39" s="148">
        <f>G39</f>
        <v>2633.22</v>
      </c>
      <c r="I39" s="148">
        <f t="shared" ref="I39:Q39" si="8">H39</f>
        <v>2633.22</v>
      </c>
      <c r="J39" s="148">
        <f t="shared" si="8"/>
        <v>2633.22</v>
      </c>
      <c r="K39" s="148">
        <f t="shared" si="8"/>
        <v>2633.22</v>
      </c>
      <c r="L39" s="148">
        <f t="shared" si="8"/>
        <v>2633.22</v>
      </c>
      <c r="M39" s="148">
        <f t="shared" si="8"/>
        <v>2633.22</v>
      </c>
      <c r="N39" s="148">
        <f t="shared" si="8"/>
        <v>2633.22</v>
      </c>
      <c r="O39" s="148">
        <f t="shared" si="8"/>
        <v>2633.22</v>
      </c>
      <c r="P39" s="148">
        <f t="shared" si="8"/>
        <v>2633.22</v>
      </c>
      <c r="Q39" s="154">
        <f t="shared" si="8"/>
        <v>2633.22</v>
      </c>
    </row>
    <row r="40" spans="2:17" x14ac:dyDescent="0.25">
      <c r="B40" s="59" t="s">
        <v>60</v>
      </c>
      <c r="C40" s="147">
        <f>'BS Input'!C40</f>
        <v>0</v>
      </c>
      <c r="D40" s="147">
        <f>'BS Input'!D40</f>
        <v>558.4</v>
      </c>
      <c r="E40" s="147">
        <f>'BS Input'!E40</f>
        <v>558.4</v>
      </c>
      <c r="F40" s="147">
        <f>'BS Input'!F40</f>
        <v>558.4</v>
      </c>
      <c r="G40" s="147">
        <f>'BS Input'!G40</f>
        <v>558.4</v>
      </c>
      <c r="H40" s="148">
        <f>G40</f>
        <v>558.4</v>
      </c>
      <c r="I40" s="148">
        <f t="shared" ref="I40:Q40" si="9">H40</f>
        <v>558.4</v>
      </c>
      <c r="J40" s="148">
        <f t="shared" si="9"/>
        <v>558.4</v>
      </c>
      <c r="K40" s="148">
        <f t="shared" si="9"/>
        <v>558.4</v>
      </c>
      <c r="L40" s="148">
        <f t="shared" si="9"/>
        <v>558.4</v>
      </c>
      <c r="M40" s="148">
        <f t="shared" si="9"/>
        <v>558.4</v>
      </c>
      <c r="N40" s="148">
        <f t="shared" si="9"/>
        <v>558.4</v>
      </c>
      <c r="O40" s="148">
        <f t="shared" si="9"/>
        <v>558.4</v>
      </c>
      <c r="P40" s="148">
        <f t="shared" si="9"/>
        <v>558.4</v>
      </c>
      <c r="Q40" s="154">
        <f t="shared" si="9"/>
        <v>558.4</v>
      </c>
    </row>
    <row r="41" spans="2:17" x14ac:dyDescent="0.25">
      <c r="B41" s="59" t="s">
        <v>42</v>
      </c>
      <c r="C41" s="147">
        <f>'BS Input'!C41</f>
        <v>33421.51</v>
      </c>
      <c r="D41" s="147">
        <f>'BS Input'!D41</f>
        <v>41230.61</v>
      </c>
      <c r="E41" s="147">
        <f>'BS Input'!E41</f>
        <v>48780.78</v>
      </c>
      <c r="F41" s="147">
        <f>'BS Input'!F41</f>
        <v>54928.89</v>
      </c>
      <c r="G41" s="147">
        <f>'BS Input'!G41</f>
        <v>66158.63</v>
      </c>
      <c r="H41" s="148">
        <f>G41+'Income Statement'!H42-'Income Statement'!H44</f>
        <v>76568.506873515857</v>
      </c>
      <c r="I41" s="148">
        <f>H41+'Income Statement'!I42-'Income Statement'!I44</f>
        <v>88235.668057298491</v>
      </c>
      <c r="J41" s="148">
        <f>I41+'Income Statement'!J42-'Income Statement'!J44</f>
        <v>101228.23383327767</v>
      </c>
      <c r="K41" s="148">
        <f>J41+'Income Statement'!K42-'Income Statement'!K44</f>
        <v>115789.61350386756</v>
      </c>
      <c r="L41" s="148">
        <f>K41+'Income Statement'!L42-'Income Statement'!L44</f>
        <v>132004.11248782871</v>
      </c>
      <c r="M41" s="148">
        <f>L41+'Income Statement'!M42-'Income Statement'!M44</f>
        <v>150176.06049433188</v>
      </c>
      <c r="N41" s="148">
        <f>M41+'Income Statement'!N42-'Income Statement'!N44</f>
        <v>170409.77658995992</v>
      </c>
      <c r="O41" s="148">
        <f>N41+'Income Statement'!O42-'Income Statement'!O44</f>
        <v>193085.74510034078</v>
      </c>
      <c r="P41" s="148">
        <f>O41+'Income Statement'!P42-'Income Statement'!P44</f>
        <v>218333.02692707532</v>
      </c>
      <c r="Q41" s="154">
        <f>P41+'Income Statement'!Q42-'Income Statement'!Q44</f>
        <v>246627.30275192228</v>
      </c>
    </row>
    <row r="42" spans="2:17" x14ac:dyDescent="0.25">
      <c r="B42" s="59"/>
      <c r="C42" s="147"/>
      <c r="D42" s="147"/>
      <c r="E42" s="147"/>
      <c r="F42" s="147"/>
      <c r="G42" s="147"/>
      <c r="H42" s="148"/>
      <c r="I42" s="148"/>
      <c r="J42" s="148"/>
      <c r="K42" s="148"/>
      <c r="L42" s="148"/>
      <c r="M42" s="148"/>
      <c r="N42" s="148"/>
      <c r="O42" s="148"/>
      <c r="P42" s="148"/>
      <c r="Q42" s="154"/>
    </row>
    <row r="43" spans="2:17" x14ac:dyDescent="0.25">
      <c r="B43" s="67" t="s">
        <v>58</v>
      </c>
      <c r="C43" s="25">
        <f>SUM(C39:C41)</f>
        <v>35396.43</v>
      </c>
      <c r="D43" s="25">
        <f t="shared" ref="D43:Q43" si="10">SUM(D39:D41)</f>
        <v>43763.93</v>
      </c>
      <c r="E43" s="25">
        <f t="shared" si="10"/>
        <v>51314.1</v>
      </c>
      <c r="F43" s="25">
        <f t="shared" si="10"/>
        <v>58120.51</v>
      </c>
      <c r="G43" s="25">
        <f t="shared" si="10"/>
        <v>69350.25</v>
      </c>
      <c r="H43" s="25">
        <f t="shared" si="10"/>
        <v>79760.126873515852</v>
      </c>
      <c r="I43" s="25">
        <f t="shared" si="10"/>
        <v>91427.288057298487</v>
      </c>
      <c r="J43" s="25">
        <f t="shared" si="10"/>
        <v>104419.85383327767</v>
      </c>
      <c r="K43" s="25">
        <f t="shared" si="10"/>
        <v>118981.23350386755</v>
      </c>
      <c r="L43" s="25">
        <f t="shared" si="10"/>
        <v>135195.7324878287</v>
      </c>
      <c r="M43" s="25">
        <f t="shared" si="10"/>
        <v>153367.68049433187</v>
      </c>
      <c r="N43" s="25">
        <f t="shared" si="10"/>
        <v>173601.39658995991</v>
      </c>
      <c r="O43" s="25">
        <f t="shared" si="10"/>
        <v>196277.36510034077</v>
      </c>
      <c r="P43" s="25">
        <f t="shared" si="10"/>
        <v>221524.64692707532</v>
      </c>
      <c r="Q43" s="160">
        <f t="shared" si="10"/>
        <v>249818.92275192228</v>
      </c>
    </row>
    <row r="44" spans="2:17" x14ac:dyDescent="0.25">
      <c r="B44" s="59"/>
      <c r="C44" s="147"/>
      <c r="D44" s="147"/>
      <c r="E44" s="147"/>
      <c r="F44" s="147"/>
      <c r="G44" s="147"/>
      <c r="H44" s="148"/>
      <c r="I44" s="148"/>
      <c r="J44" s="148"/>
      <c r="K44" s="148"/>
      <c r="L44" s="148"/>
      <c r="M44" s="148"/>
      <c r="N44" s="148"/>
      <c r="O44" s="148"/>
      <c r="P44" s="148"/>
      <c r="Q44" s="154"/>
    </row>
    <row r="45" spans="2:17" x14ac:dyDescent="0.25">
      <c r="B45" s="64" t="s">
        <v>43</v>
      </c>
      <c r="C45" s="147"/>
      <c r="D45" s="147"/>
      <c r="E45" s="147"/>
      <c r="F45" s="147"/>
      <c r="G45" s="147"/>
      <c r="H45" s="148"/>
      <c r="I45" s="148"/>
      <c r="J45" s="148"/>
      <c r="K45" s="148"/>
      <c r="L45" s="148"/>
      <c r="M45" s="148"/>
      <c r="N45" s="148"/>
      <c r="O45" s="148"/>
      <c r="P45" s="148"/>
      <c r="Q45" s="154"/>
    </row>
    <row r="46" spans="2:17" x14ac:dyDescent="0.25">
      <c r="B46" s="59"/>
      <c r="C46" s="147"/>
      <c r="D46" s="147"/>
      <c r="E46" s="147"/>
      <c r="F46" s="147"/>
      <c r="G46" s="147"/>
      <c r="H46" s="148"/>
      <c r="I46" s="148"/>
      <c r="J46" s="148"/>
      <c r="K46" s="148"/>
      <c r="L46" s="148"/>
      <c r="M46" s="148"/>
      <c r="N46" s="148"/>
      <c r="O46" s="148"/>
      <c r="P46" s="148"/>
      <c r="Q46" s="154"/>
    </row>
    <row r="47" spans="2:17" x14ac:dyDescent="0.25">
      <c r="B47" s="64" t="s">
        <v>53</v>
      </c>
      <c r="C47" s="147"/>
      <c r="D47" s="147"/>
      <c r="E47" s="147"/>
      <c r="F47" s="147"/>
      <c r="G47" s="147"/>
      <c r="H47" s="148"/>
      <c r="I47" s="148"/>
      <c r="J47" s="148"/>
      <c r="K47" s="148"/>
      <c r="L47" s="148"/>
      <c r="M47" s="148"/>
      <c r="N47" s="148"/>
      <c r="O47" s="148"/>
      <c r="P47" s="148"/>
      <c r="Q47" s="154"/>
    </row>
    <row r="48" spans="2:17" x14ac:dyDescent="0.25">
      <c r="B48" s="59" t="s">
        <v>61</v>
      </c>
      <c r="C48" s="147">
        <f>'BS Input'!C48</f>
        <v>0</v>
      </c>
      <c r="D48" s="147">
        <f>'BS Input'!D48</f>
        <v>14.4</v>
      </c>
      <c r="E48" s="147">
        <f>'BS Input'!E48</f>
        <v>10.25</v>
      </c>
      <c r="F48" s="147">
        <f>'BS Input'!F48</f>
        <v>10.65</v>
      </c>
      <c r="G48" s="147">
        <f>'BS Input'!G48</f>
        <v>66.510000000000005</v>
      </c>
      <c r="H48" s="148">
        <f>'BS Items'!H37</f>
        <v>24.799159043927983</v>
      </c>
      <c r="I48" s="148">
        <f>'BS Items'!I37</f>
        <v>27.790431396109966</v>
      </c>
      <c r="J48" s="148">
        <f>'BS Items'!J37</f>
        <v>31.142510752637492</v>
      </c>
      <c r="K48" s="148">
        <f>'BS Items'!K37</f>
        <v>34.898917622196393</v>
      </c>
      <c r="L48" s="148">
        <f>'BS Items'!L37</f>
        <v>39.10842195334881</v>
      </c>
      <c r="M48" s="148">
        <f>'BS Items'!M37</f>
        <v>43.825676321502982</v>
      </c>
      <c r="N48" s="148">
        <f>'BS Items'!N37</f>
        <v>49.111925490838694</v>
      </c>
      <c r="O48" s="148">
        <f>'BS Items'!O37</f>
        <v>55.035801563529034</v>
      </c>
      <c r="P48" s="148">
        <f>'BS Items'!P37</f>
        <v>61.674215039790333</v>
      </c>
      <c r="Q48" s="154">
        <f>'BS Items'!Q37</f>
        <v>69.113353357515734</v>
      </c>
    </row>
    <row r="49" spans="2:17" x14ac:dyDescent="0.25">
      <c r="B49" s="59" t="s">
        <v>50</v>
      </c>
      <c r="C49" s="147">
        <f>'BS Input'!C49</f>
        <v>107.09</v>
      </c>
      <c r="D49" s="147">
        <f>'BS Input'!D49</f>
        <v>104.68</v>
      </c>
      <c r="E49" s="147">
        <f>'BS Input'!E49</f>
        <v>105.67</v>
      </c>
      <c r="F49" s="147">
        <f>'BS Input'!F49</f>
        <v>111.62</v>
      </c>
      <c r="G49" s="147">
        <f>'BS Input'!G49</f>
        <v>137.34</v>
      </c>
      <c r="H49" s="148">
        <f>'BS Items'!H40</f>
        <v>158.52435477155717</v>
      </c>
      <c r="I49" s="148">
        <f>'BS Items'!I40</f>
        <v>177.64554830621259</v>
      </c>
      <c r="J49" s="148">
        <f>'BS Items'!J40</f>
        <v>199.07313849970711</v>
      </c>
      <c r="K49" s="148">
        <f>'BS Items'!K40</f>
        <v>223.08532271133555</v>
      </c>
      <c r="L49" s="148">
        <f>'BS Items'!L40</f>
        <v>249.99385444105971</v>
      </c>
      <c r="M49" s="148">
        <f>'BS Items'!M40</f>
        <v>280.14809086820367</v>
      </c>
      <c r="N49" s="148">
        <f>'BS Items'!N40</f>
        <v>313.93952860390408</v>
      </c>
      <c r="O49" s="148">
        <f>'BS Items'!O40</f>
        <v>351.80688654561754</v>
      </c>
      <c r="P49" s="148">
        <f>'BS Items'!P40</f>
        <v>394.24180182508536</v>
      </c>
      <c r="Q49" s="154">
        <f>'BS Items'!Q40</f>
        <v>441.79521280103268</v>
      </c>
    </row>
    <row r="50" spans="2:17" x14ac:dyDescent="0.25">
      <c r="B50" s="59" t="s">
        <v>51</v>
      </c>
      <c r="C50" s="147">
        <f>'BS Input'!C50</f>
        <v>83.23</v>
      </c>
      <c r="D50" s="147">
        <f>'BS Input'!D50</f>
        <v>130.25</v>
      </c>
      <c r="E50" s="147">
        <f>'BS Input'!E50</f>
        <v>89.13</v>
      </c>
      <c r="F50" s="147">
        <f>'BS Input'!F50</f>
        <v>106.45</v>
      </c>
      <c r="G50" s="147">
        <f>'BS Input'!G50</f>
        <v>259.79000000000002</v>
      </c>
      <c r="H50" s="148">
        <f>'BS Items'!H43</f>
        <v>179.20009390562615</v>
      </c>
      <c r="I50" s="148">
        <f>'BS Items'!I43</f>
        <v>200.81519325068084</v>
      </c>
      <c r="J50" s="148">
        <f>'BS Items'!J43</f>
        <v>225.03750395100766</v>
      </c>
      <c r="K50" s="148">
        <f>'BS Items'!K43</f>
        <v>252.18150760775717</v>
      </c>
      <c r="L50" s="148">
        <f>'BS Items'!L43</f>
        <v>282.59961856476372</v>
      </c>
      <c r="M50" s="148">
        <f>'BS Items'!M43</f>
        <v>316.68675935258534</v>
      </c>
      <c r="N50" s="148">
        <f>'BS Items'!N43</f>
        <v>354.88548802219481</v>
      </c>
      <c r="O50" s="148">
        <f>'BS Items'!O43</f>
        <v>397.69174393720419</v>
      </c>
      <c r="P50" s="148">
        <f>'BS Items'!P43</f>
        <v>445.66128662303453</v>
      </c>
      <c r="Q50" s="154">
        <f>'BS Items'!Q43</f>
        <v>499.41691126949769</v>
      </c>
    </row>
    <row r="51" spans="2:17" x14ac:dyDescent="0.25">
      <c r="B51" s="59"/>
      <c r="C51" s="147"/>
      <c r="D51" s="147"/>
      <c r="E51" s="147"/>
      <c r="F51" s="147"/>
      <c r="G51" s="147"/>
      <c r="H51" s="148"/>
      <c r="I51" s="148"/>
      <c r="J51" s="148"/>
      <c r="K51" s="148"/>
      <c r="L51" s="148"/>
      <c r="M51" s="148"/>
      <c r="N51" s="148"/>
      <c r="O51" s="148"/>
      <c r="P51" s="148"/>
      <c r="Q51" s="154"/>
    </row>
    <row r="52" spans="2:17" x14ac:dyDescent="0.25">
      <c r="B52" s="67" t="s">
        <v>49</v>
      </c>
      <c r="C52" s="25">
        <f>SUM(C48:C50)</f>
        <v>190.32</v>
      </c>
      <c r="D52" s="25">
        <f t="shared" ref="D52:Q52" si="11">SUM(D48:D50)</f>
        <v>249.33</v>
      </c>
      <c r="E52" s="25">
        <f t="shared" si="11"/>
        <v>205.05</v>
      </c>
      <c r="F52" s="25">
        <f t="shared" si="11"/>
        <v>228.72000000000003</v>
      </c>
      <c r="G52" s="25">
        <f t="shared" si="11"/>
        <v>463.64000000000004</v>
      </c>
      <c r="H52" s="25">
        <f t="shared" si="11"/>
        <v>362.52360772111126</v>
      </c>
      <c r="I52" s="25">
        <f t="shared" si="11"/>
        <v>406.25117295300339</v>
      </c>
      <c r="J52" s="25">
        <f t="shared" si="11"/>
        <v>455.25315320335227</v>
      </c>
      <c r="K52" s="25">
        <f t="shared" si="11"/>
        <v>510.16574794128911</v>
      </c>
      <c r="L52" s="25">
        <f t="shared" si="11"/>
        <v>571.70189495917225</v>
      </c>
      <c r="M52" s="25">
        <f t="shared" si="11"/>
        <v>640.66052654229202</v>
      </c>
      <c r="N52" s="25">
        <f t="shared" si="11"/>
        <v>717.93694211693764</v>
      </c>
      <c r="O52" s="25">
        <f t="shared" si="11"/>
        <v>804.53443204635073</v>
      </c>
      <c r="P52" s="25">
        <f t="shared" si="11"/>
        <v>901.57730348791029</v>
      </c>
      <c r="Q52" s="160">
        <f t="shared" si="11"/>
        <v>1010.325477428046</v>
      </c>
    </row>
    <row r="53" spans="2:17" x14ac:dyDescent="0.25">
      <c r="B53" s="59"/>
      <c r="C53" s="147"/>
      <c r="D53" s="147"/>
      <c r="E53" s="147"/>
      <c r="F53" s="147"/>
      <c r="G53" s="147"/>
      <c r="H53" s="148"/>
      <c r="I53" s="148"/>
      <c r="J53" s="148"/>
      <c r="K53" s="148"/>
      <c r="L53" s="148"/>
      <c r="M53" s="148"/>
      <c r="N53" s="148"/>
      <c r="O53" s="148"/>
      <c r="P53" s="148"/>
      <c r="Q53" s="154"/>
    </row>
    <row r="54" spans="2:17" x14ac:dyDescent="0.25">
      <c r="B54" s="64" t="s">
        <v>54</v>
      </c>
      <c r="C54" s="147"/>
      <c r="D54" s="147"/>
      <c r="E54" s="147"/>
      <c r="F54" s="147"/>
      <c r="G54" s="147"/>
      <c r="H54" s="148"/>
      <c r="I54" s="148"/>
      <c r="J54" s="148"/>
      <c r="K54" s="148"/>
      <c r="L54" s="148"/>
      <c r="M54" s="148"/>
      <c r="N54" s="148"/>
      <c r="O54" s="148"/>
      <c r="P54" s="148"/>
      <c r="Q54" s="154"/>
    </row>
    <row r="55" spans="2:17" x14ac:dyDescent="0.25">
      <c r="B55" s="59" t="s">
        <v>23</v>
      </c>
      <c r="C55" s="147">
        <f>'BS Input'!C55</f>
        <v>1325.73</v>
      </c>
      <c r="D55" s="147">
        <f>'BS Input'!D55</f>
        <v>846.31</v>
      </c>
      <c r="E55" s="147">
        <f>'BS Input'!E55</f>
        <v>553.14</v>
      </c>
      <c r="F55" s="147">
        <f>'BS Input'!F55</f>
        <v>976.95</v>
      </c>
      <c r="G55" s="147">
        <f>'BS Input'!G55</f>
        <v>759.7</v>
      </c>
      <c r="H55" s="148">
        <f>'BS Items'!H47</f>
        <v>1305.0269192218552</v>
      </c>
      <c r="I55" s="148">
        <f>'BS Items'!I47</f>
        <v>1462.4391498304321</v>
      </c>
      <c r="J55" s="148">
        <f>'BS Items'!J47</f>
        <v>1638.8384296563097</v>
      </c>
      <c r="K55" s="148">
        <f>'BS Items'!K47</f>
        <v>1836.5149748827318</v>
      </c>
      <c r="L55" s="148">
        <f>'BS Items'!L47</f>
        <v>2058.0352473647122</v>
      </c>
      <c r="M55" s="148">
        <f>'BS Items'!M47</f>
        <v>2306.2752753573309</v>
      </c>
      <c r="N55" s="148">
        <f>'BS Items'!N47</f>
        <v>2584.4579933872956</v>
      </c>
      <c r="O55" s="148">
        <f>'BS Items'!O47</f>
        <v>2896.195086056493</v>
      </c>
      <c r="P55" s="148">
        <f>'BS Items'!P47</f>
        <v>3245.533879041383</v>
      </c>
      <c r="Q55" s="154">
        <f>'BS Items'!Q47</f>
        <v>3637.009886080561</v>
      </c>
    </row>
    <row r="56" spans="2:17" x14ac:dyDescent="0.25">
      <c r="B56" s="59" t="s">
        <v>44</v>
      </c>
      <c r="C56" s="147">
        <f>'BS Input'!C56</f>
        <v>46.15</v>
      </c>
      <c r="D56" s="147">
        <f>'BS Input'!D56</f>
        <v>61.51</v>
      </c>
      <c r="E56" s="147">
        <f>'BS Input'!E56</f>
        <v>36.479999999999997</v>
      </c>
      <c r="F56" s="147">
        <f>'BS Input'!F56</f>
        <v>41.68</v>
      </c>
      <c r="G56" s="147">
        <f>'BS Input'!G56</f>
        <v>90.51</v>
      </c>
      <c r="H56" s="148">
        <f>'working Capital'!H15</f>
        <v>74.583244448138643</v>
      </c>
      <c r="I56" s="148">
        <f>'working Capital'!I15</f>
        <v>83.579468741815759</v>
      </c>
      <c r="J56" s="148">
        <f>'working Capital'!J15</f>
        <v>93.660816807473878</v>
      </c>
      <c r="K56" s="148">
        <f>'working Capital'!K15</f>
        <v>104.95817617771336</v>
      </c>
      <c r="L56" s="148">
        <f>'working Capital'!L15</f>
        <v>117.61822202764354</v>
      </c>
      <c r="M56" s="148">
        <f>'working Capital'!M15</f>
        <v>131.80532147891452</v>
      </c>
      <c r="N56" s="148">
        <f>'working Capital'!N15</f>
        <v>147.70366760073071</v>
      </c>
      <c r="O56" s="148">
        <f>'working Capital'!O15</f>
        <v>165.51967081387684</v>
      </c>
      <c r="P56" s="148">
        <f>'working Capital'!P15</f>
        <v>185.48463874568426</v>
      </c>
      <c r="Q56" s="154">
        <f>'working Capital'!Q15</f>
        <v>207.85777932886378</v>
      </c>
    </row>
    <row r="57" spans="2:17" x14ac:dyDescent="0.25">
      <c r="B57" s="59" t="s">
        <v>45</v>
      </c>
      <c r="C57" s="147">
        <f>'BS Input'!C57</f>
        <v>219918.25</v>
      </c>
      <c r="D57" s="147">
        <f>'BS Input'!D57</f>
        <v>237269.11</v>
      </c>
      <c r="E57" s="147">
        <f>'BS Input'!E57</f>
        <v>219574.61</v>
      </c>
      <c r="F57" s="147">
        <f>'BS Input'!F57</f>
        <v>236902.33</v>
      </c>
      <c r="G57" s="147">
        <f>'BS Input'!G57</f>
        <v>266063.24</v>
      </c>
      <c r="H57" s="148">
        <f>'BS Items'!H50</f>
        <v>331392.89617969311</v>
      </c>
      <c r="I57" s="148">
        <f>'BS Items'!I50</f>
        <v>371365.47776183125</v>
      </c>
      <c r="J57" s="148">
        <f>'BS Items'!J50</f>
        <v>416159.54856947856</v>
      </c>
      <c r="K57" s="148">
        <f>'BS Items'!K50</f>
        <v>466356.67620301491</v>
      </c>
      <c r="L57" s="148">
        <f>'BS Items'!L50</f>
        <v>522608.57689491048</v>
      </c>
      <c r="M57" s="148">
        <f>'BS Items'!M50</f>
        <v>585645.57683147409</v>
      </c>
      <c r="N57" s="148">
        <f>'BS Items'!N50</f>
        <v>656286.09407847282</v>
      </c>
      <c r="O57" s="148">
        <f>'BS Items'!O50</f>
        <v>735447.26421577658</v>
      </c>
      <c r="P57" s="148">
        <f>'BS Items'!P50</f>
        <v>824156.84763510549</v>
      </c>
      <c r="Q57" s="154">
        <f>'BS Items'!Q50</f>
        <v>923566.57309496822</v>
      </c>
    </row>
    <row r="58" spans="2:17" x14ac:dyDescent="0.25">
      <c r="B58" s="59" t="s">
        <v>46</v>
      </c>
      <c r="C58" s="147">
        <f>'BS Input'!C58</f>
        <v>61550.66</v>
      </c>
      <c r="D58" s="147">
        <f>'BS Input'!D58</f>
        <v>85507.36</v>
      </c>
      <c r="E58" s="147">
        <f>'BS Input'!E58</f>
        <v>106651.59</v>
      </c>
      <c r="F58" s="147">
        <f>'BS Input'!F58</f>
        <v>137114.13</v>
      </c>
      <c r="G58" s="147">
        <f>'BS Input'!G58</f>
        <v>172092.05</v>
      </c>
      <c r="H58" s="148">
        <f>'BS Items'!H53</f>
        <v>151533.43242873187</v>
      </c>
      <c r="I58" s="148">
        <f>'BS Items'!I53</f>
        <v>169811.3815338765</v>
      </c>
      <c r="J58" s="148">
        <f>'BS Items'!J53</f>
        <v>190294.01522997682</v>
      </c>
      <c r="K58" s="148">
        <f>'BS Items'!K53</f>
        <v>213247.26237577066</v>
      </c>
      <c r="L58" s="148">
        <f>'BS Items'!L53</f>
        <v>238969.12814521993</v>
      </c>
      <c r="M58" s="148">
        <f>'BS Items'!M53</f>
        <v>267793.56306979264</v>
      </c>
      <c r="N58" s="148">
        <f>'BS Items'!N53</f>
        <v>300094.79876427905</v>
      </c>
      <c r="O58" s="148">
        <f>'BS Items'!O53</f>
        <v>336292.20662747009</v>
      </c>
      <c r="P58" s="148">
        <f>'BS Items'!P53</f>
        <v>376855.7425988774</v>
      </c>
      <c r="Q58" s="154">
        <f>'BS Items'!Q53</f>
        <v>422312.04866152367</v>
      </c>
    </row>
    <row r="59" spans="2:17" x14ac:dyDescent="0.25">
      <c r="B59" s="59" t="s">
        <v>47</v>
      </c>
      <c r="C59" s="147">
        <f>'BS Input'!C59</f>
        <v>4819.6499999999996</v>
      </c>
      <c r="D59" s="147">
        <f>'BS Input'!D59</f>
        <v>6946.89</v>
      </c>
      <c r="E59" s="147">
        <f>'BS Input'!E59</f>
        <v>6816.47</v>
      </c>
      <c r="F59" s="147">
        <f>'BS Input'!F59</f>
        <v>6773.3</v>
      </c>
      <c r="G59" s="147">
        <f>'BS Input'!G59</f>
        <v>7412.21</v>
      </c>
      <c r="H59" s="148">
        <f>'BS Items'!H56</f>
        <v>9104.9199827522989</v>
      </c>
      <c r="I59" s="148">
        <f>'BS Items'!I56</f>
        <v>10203.154619055611</v>
      </c>
      <c r="J59" s="148">
        <f>'BS Items'!J56</f>
        <v>11433.858219244496</v>
      </c>
      <c r="K59" s="148">
        <f>'BS Items'!K56</f>
        <v>12813.009177928681</v>
      </c>
      <c r="L59" s="148">
        <f>'BS Items'!L56</f>
        <v>14358.51320225068</v>
      </c>
      <c r="M59" s="148">
        <f>'BS Items'!M56</f>
        <v>16090.435784151648</v>
      </c>
      <c r="N59" s="148">
        <f>'BS Items'!N56</f>
        <v>18031.262713421136</v>
      </c>
      <c r="O59" s="148">
        <f>'BS Items'!O56</f>
        <v>20206.192013807744</v>
      </c>
      <c r="P59" s="148">
        <f>'BS Items'!P56</f>
        <v>22643.461092437359</v>
      </c>
      <c r="Q59" s="154">
        <f>'BS Items'!Q56</f>
        <v>25374.713349965044</v>
      </c>
    </row>
    <row r="60" spans="2:17" x14ac:dyDescent="0.25">
      <c r="B60" s="59" t="s">
        <v>48</v>
      </c>
      <c r="C60" s="147">
        <f>'BS Input'!C60</f>
        <v>23782.21</v>
      </c>
      <c r="D60" s="147">
        <f>'BS Input'!D60</f>
        <v>26222.35</v>
      </c>
      <c r="E60" s="147">
        <f>'BS Input'!E60</f>
        <v>25708.639999999999</v>
      </c>
      <c r="F60" s="147">
        <f>'BS Input'!F60</f>
        <v>25345.11</v>
      </c>
      <c r="G60" s="147">
        <f>'BS Input'!G60</f>
        <v>31959.49</v>
      </c>
      <c r="H60" s="148">
        <f>'BS Items'!H59</f>
        <v>37175.074107385451</v>
      </c>
      <c r="I60" s="148">
        <f>'BS Items'!I59</f>
        <v>41659.12823078387</v>
      </c>
      <c r="J60" s="148">
        <f>'BS Items'!J59</f>
        <v>46684.048562639196</v>
      </c>
      <c r="K60" s="148">
        <f>'BS Items'!K59</f>
        <v>52315.074336778729</v>
      </c>
      <c r="L60" s="148">
        <f>'BS Items'!L59</f>
        <v>58625.313937595638</v>
      </c>
      <c r="M60" s="148">
        <f>'BS Items'!M59</f>
        <v>65696.69407628855</v>
      </c>
      <c r="N60" s="148">
        <f>'BS Items'!N59</f>
        <v>73621.02345665422</v>
      </c>
      <c r="O60" s="148">
        <f>'BS Items'!O59</f>
        <v>82501.184740153534</v>
      </c>
      <c r="P60" s="148">
        <f>'BS Items'!P59</f>
        <v>92452.470285697244</v>
      </c>
      <c r="Q60" s="154">
        <f>'BS Items'!Q59</f>
        <v>103604.07900624559</v>
      </c>
    </row>
    <row r="61" spans="2:17" x14ac:dyDescent="0.25">
      <c r="B61" s="59"/>
      <c r="C61" s="147"/>
      <c r="D61" s="147"/>
      <c r="E61" s="147"/>
      <c r="F61" s="147"/>
      <c r="G61" s="147"/>
      <c r="H61" s="148"/>
      <c r="I61" s="148"/>
      <c r="J61" s="148"/>
      <c r="K61" s="148"/>
      <c r="L61" s="148"/>
      <c r="M61" s="148"/>
      <c r="N61" s="148"/>
      <c r="O61" s="148"/>
      <c r="P61" s="148"/>
      <c r="Q61" s="154"/>
    </row>
    <row r="62" spans="2:17" x14ac:dyDescent="0.25">
      <c r="B62" s="67" t="s">
        <v>52</v>
      </c>
      <c r="C62" s="25">
        <f>SUM(C55:C60)</f>
        <v>311442.65000000008</v>
      </c>
      <c r="D62" s="25">
        <f t="shared" ref="D62:Q62" si="12">SUM(D55:D60)</f>
        <v>356853.52999999997</v>
      </c>
      <c r="E62" s="25">
        <f t="shared" si="12"/>
        <v>359340.92999999993</v>
      </c>
      <c r="F62" s="25">
        <f t="shared" si="12"/>
        <v>407153.49999999994</v>
      </c>
      <c r="G62" s="25">
        <f t="shared" si="12"/>
        <v>478377.2</v>
      </c>
      <c r="H62" s="25">
        <f t="shared" si="12"/>
        <v>530585.93286223267</v>
      </c>
      <c r="I62" s="25">
        <f t="shared" si="12"/>
        <v>594585.16076411947</v>
      </c>
      <c r="J62" s="25">
        <f t="shared" si="12"/>
        <v>666303.96982780285</v>
      </c>
      <c r="K62" s="25">
        <f t="shared" si="12"/>
        <v>746673.49524455343</v>
      </c>
      <c r="L62" s="25">
        <f t="shared" si="12"/>
        <v>836737.18564936914</v>
      </c>
      <c r="M62" s="25">
        <f t="shared" si="12"/>
        <v>937664.35035854322</v>
      </c>
      <c r="N62" s="25">
        <f t="shared" si="12"/>
        <v>1050765.3406738152</v>
      </c>
      <c r="O62" s="25">
        <f t="shared" si="12"/>
        <v>1177508.5623540785</v>
      </c>
      <c r="P62" s="25">
        <f t="shared" si="12"/>
        <v>1319539.5401299046</v>
      </c>
      <c r="Q62" s="160">
        <f t="shared" si="12"/>
        <v>1478702.2817781118</v>
      </c>
    </row>
    <row r="63" spans="2:17" x14ac:dyDescent="0.25">
      <c r="B63" s="59"/>
      <c r="C63" s="147"/>
      <c r="D63" s="147"/>
      <c r="E63" s="147"/>
      <c r="F63" s="147"/>
      <c r="G63" s="147"/>
      <c r="H63" s="148"/>
      <c r="I63" s="148"/>
      <c r="J63" s="148"/>
      <c r="K63" s="148"/>
      <c r="L63" s="148"/>
      <c r="M63" s="148"/>
      <c r="N63" s="148"/>
      <c r="O63" s="148"/>
      <c r="P63" s="148"/>
      <c r="Q63" s="154"/>
    </row>
    <row r="64" spans="2:17" x14ac:dyDescent="0.25">
      <c r="B64" s="59" t="s">
        <v>55</v>
      </c>
      <c r="C64" s="147">
        <f>'BS Input'!C64</f>
        <v>0.68</v>
      </c>
      <c r="D64" s="147">
        <f>'BS Input'!D64</f>
        <v>0.08</v>
      </c>
      <c r="E64" s="147">
        <f>'BS Input'!E64</f>
        <v>0.01</v>
      </c>
      <c r="F64" s="147">
        <f>'BS Input'!F64</f>
        <v>0.02</v>
      </c>
      <c r="G64" s="147">
        <f>'BS Input'!G64</f>
        <v>0</v>
      </c>
      <c r="H64" s="148">
        <v>0</v>
      </c>
      <c r="I64" s="148">
        <v>0</v>
      </c>
      <c r="J64" s="148">
        <v>0</v>
      </c>
      <c r="K64" s="148">
        <v>0</v>
      </c>
      <c r="L64" s="148">
        <v>0</v>
      </c>
      <c r="M64" s="148">
        <v>0</v>
      </c>
      <c r="N64" s="148">
        <v>0</v>
      </c>
      <c r="O64" s="148">
        <v>0</v>
      </c>
      <c r="P64" s="148">
        <v>0</v>
      </c>
      <c r="Q64" s="154">
        <v>0</v>
      </c>
    </row>
    <row r="65" spans="2:17" x14ac:dyDescent="0.25">
      <c r="B65" s="59"/>
      <c r="C65" s="147"/>
      <c r="D65" s="147"/>
      <c r="E65" s="147"/>
      <c r="F65" s="147"/>
      <c r="G65" s="147"/>
      <c r="H65" s="148"/>
      <c r="I65" s="148"/>
      <c r="J65" s="148"/>
      <c r="K65" s="148"/>
      <c r="L65" s="148"/>
      <c r="M65" s="148"/>
      <c r="N65" s="148"/>
      <c r="O65" s="148"/>
      <c r="P65" s="148"/>
      <c r="Q65" s="154"/>
    </row>
    <row r="66" spans="2:17" x14ac:dyDescent="0.25">
      <c r="B66" s="67" t="s">
        <v>59</v>
      </c>
      <c r="C66" s="25">
        <f>SUM(C43,C52,C62,C64)</f>
        <v>347030.08000000007</v>
      </c>
      <c r="D66" s="25">
        <f t="shared" ref="D66:Q66" si="13">SUM(D43,D52,D62,D64)</f>
        <v>400866.87</v>
      </c>
      <c r="E66" s="25">
        <f t="shared" si="13"/>
        <v>410860.08999999997</v>
      </c>
      <c r="F66" s="25">
        <f t="shared" si="13"/>
        <v>465502.74999999994</v>
      </c>
      <c r="G66" s="25">
        <f t="shared" si="13"/>
        <v>548191.09</v>
      </c>
      <c r="H66" s="25">
        <f t="shared" si="13"/>
        <v>610708.58334346965</v>
      </c>
      <c r="I66" s="25">
        <f t="shared" si="13"/>
        <v>686418.69999437092</v>
      </c>
      <c r="J66" s="25">
        <f t="shared" si="13"/>
        <v>771179.07681428385</v>
      </c>
      <c r="K66" s="25">
        <f t="shared" si="13"/>
        <v>866164.89449636231</v>
      </c>
      <c r="L66" s="25">
        <f t="shared" si="13"/>
        <v>972504.62003215705</v>
      </c>
      <c r="M66" s="25">
        <f t="shared" si="13"/>
        <v>1091672.6913794174</v>
      </c>
      <c r="N66" s="25">
        <f t="shared" si="13"/>
        <v>1225084.674205892</v>
      </c>
      <c r="O66" s="25">
        <f t="shared" si="13"/>
        <v>1374590.4618864655</v>
      </c>
      <c r="P66" s="25">
        <f t="shared" si="13"/>
        <v>1541965.7643604679</v>
      </c>
      <c r="Q66" s="160">
        <f t="shared" si="13"/>
        <v>1729531.530007462</v>
      </c>
    </row>
    <row r="67" spans="2:17" x14ac:dyDescent="0.25">
      <c r="B67" s="27"/>
      <c r="H67" s="159"/>
      <c r="I67" s="159"/>
      <c r="J67" s="159"/>
      <c r="K67" s="159"/>
      <c r="L67" s="159"/>
      <c r="M67" s="159"/>
      <c r="N67" s="159"/>
      <c r="O67" s="159"/>
      <c r="P67" s="159"/>
      <c r="Q67" s="159"/>
    </row>
    <row r="68" spans="2:17" x14ac:dyDescent="0.25">
      <c r="B68" s="18" t="s">
        <v>267</v>
      </c>
      <c r="C68" s="4" t="str">
        <f>IF(C66=C36,"OK","Error")</f>
        <v>OK</v>
      </c>
      <c r="D68" s="4" t="str">
        <f t="shared" ref="D68:Q68" si="14">IF(D66=D36,"OK","Error")</f>
        <v>OK</v>
      </c>
      <c r="E68" s="4" t="str">
        <f t="shared" si="14"/>
        <v>OK</v>
      </c>
      <c r="F68" s="4" t="str">
        <f t="shared" si="14"/>
        <v>OK</v>
      </c>
      <c r="G68" s="4" t="str">
        <f t="shared" si="14"/>
        <v>OK</v>
      </c>
      <c r="H68" s="4" t="str">
        <f t="shared" si="14"/>
        <v>OK</v>
      </c>
      <c r="I68" s="4" t="str">
        <f t="shared" si="14"/>
        <v>OK</v>
      </c>
      <c r="J68" s="4" t="str">
        <f t="shared" si="14"/>
        <v>OK</v>
      </c>
      <c r="K68" s="4" t="str">
        <f t="shared" si="14"/>
        <v>OK</v>
      </c>
      <c r="L68" s="4" t="str">
        <f t="shared" si="14"/>
        <v>OK</v>
      </c>
      <c r="M68" s="4" t="str">
        <f t="shared" si="14"/>
        <v>OK</v>
      </c>
      <c r="N68" s="4" t="str">
        <f t="shared" si="14"/>
        <v>OK</v>
      </c>
      <c r="O68" s="4" t="str">
        <f t="shared" si="14"/>
        <v>OK</v>
      </c>
      <c r="P68" s="4" t="str">
        <f t="shared" si="14"/>
        <v>OK</v>
      </c>
      <c r="Q68" s="4" t="str">
        <f t="shared" si="14"/>
        <v>OK</v>
      </c>
    </row>
    <row r="70" spans="2:17" x14ac:dyDescent="0.25">
      <c r="B70" s="39"/>
      <c r="C70" s="39"/>
      <c r="D70" s="39"/>
      <c r="E70" s="39"/>
      <c r="F70" s="39"/>
      <c r="G70" s="39"/>
      <c r="H70" s="39"/>
      <c r="I70" s="39"/>
      <c r="J70" s="39"/>
      <c r="K70" s="39"/>
      <c r="L70" s="39"/>
      <c r="M70" s="39"/>
      <c r="N70" s="39"/>
      <c r="O70" s="39"/>
      <c r="P70" s="39"/>
      <c r="Q70" s="39"/>
    </row>
  </sheetData>
  <mergeCells count="2">
    <mergeCell ref="B7:B8"/>
    <mergeCell ref="B6:Q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FFE6-6D72-4B61-927D-393E53ECB52C}">
  <dimension ref="B5:R81"/>
  <sheetViews>
    <sheetView showGridLines="0" topLeftCell="F61" workbookViewId="0">
      <selection activeCell="D32" sqref="D32"/>
    </sheetView>
  </sheetViews>
  <sheetFormatPr defaultRowHeight="15" x14ac:dyDescent="0.25"/>
  <cols>
    <col min="1" max="1" width="0.85546875" customWidth="1"/>
    <col min="2" max="2" width="66.140625" customWidth="1"/>
    <col min="3" max="3" width="10.140625" bestFit="1" customWidth="1"/>
    <col min="4" max="7" width="13.85546875" bestFit="1" customWidth="1"/>
    <col min="8" max="16" width="14" bestFit="1" customWidth="1"/>
    <col min="17" max="17" width="15.140625" bestFit="1" customWidth="1"/>
  </cols>
  <sheetData>
    <row r="5" spans="2:17" x14ac:dyDescent="0.25">
      <c r="Q5" t="s">
        <v>259</v>
      </c>
    </row>
    <row r="6" spans="2:17" ht="18" x14ac:dyDescent="0.25">
      <c r="B6" s="309" t="s">
        <v>266</v>
      </c>
      <c r="C6" s="309"/>
      <c r="D6" s="309"/>
      <c r="E6" s="309"/>
      <c r="F6" s="309"/>
      <c r="G6" s="309"/>
      <c r="H6" s="309"/>
      <c r="I6" s="309"/>
      <c r="J6" s="309"/>
      <c r="K6" s="309"/>
      <c r="L6" s="309"/>
      <c r="M6" s="309"/>
      <c r="N6" s="309"/>
      <c r="O6" s="309"/>
      <c r="P6" s="309"/>
      <c r="Q6" s="309"/>
    </row>
    <row r="7" spans="2:17" x14ac:dyDescent="0.25">
      <c r="B7" s="304" t="s">
        <v>63</v>
      </c>
      <c r="C7" s="33">
        <v>2020</v>
      </c>
      <c r="D7" s="22">
        <v>2021</v>
      </c>
      <c r="E7" s="22">
        <v>2022</v>
      </c>
      <c r="F7" s="22">
        <v>2023</v>
      </c>
      <c r="G7" s="22">
        <v>2024</v>
      </c>
      <c r="H7" s="174">
        <f>G7+1</f>
        <v>2025</v>
      </c>
      <c r="I7" s="174">
        <f t="shared" ref="I7:Q7" si="0">H7+1</f>
        <v>2026</v>
      </c>
      <c r="J7" s="174">
        <f t="shared" si="0"/>
        <v>2027</v>
      </c>
      <c r="K7" s="174">
        <f t="shared" si="0"/>
        <v>2028</v>
      </c>
      <c r="L7" s="174">
        <f t="shared" si="0"/>
        <v>2029</v>
      </c>
      <c r="M7" s="174">
        <f t="shared" si="0"/>
        <v>2030</v>
      </c>
      <c r="N7" s="174">
        <f t="shared" si="0"/>
        <v>2031</v>
      </c>
      <c r="O7" s="174">
        <f t="shared" si="0"/>
        <v>2032</v>
      </c>
      <c r="P7" s="174">
        <f t="shared" si="0"/>
        <v>2033</v>
      </c>
      <c r="Q7" s="173">
        <f t="shared" si="0"/>
        <v>2034</v>
      </c>
    </row>
    <row r="8" spans="2:17" x14ac:dyDescent="0.25">
      <c r="B8" s="305"/>
      <c r="C8" s="9"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7" x14ac:dyDescent="0.25">
      <c r="B9" s="59"/>
      <c r="Q9" s="17"/>
    </row>
    <row r="10" spans="2:17" x14ac:dyDescent="0.25">
      <c r="B10" s="162" t="s">
        <v>280</v>
      </c>
      <c r="Q10" s="17"/>
    </row>
    <row r="11" spans="2:17" x14ac:dyDescent="0.25">
      <c r="B11" s="61"/>
      <c r="Q11" s="17"/>
    </row>
    <row r="12" spans="2:17" x14ac:dyDescent="0.25">
      <c r="B12" s="61" t="s">
        <v>16</v>
      </c>
      <c r="C12" s="1"/>
      <c r="D12" s="169">
        <f>'Income Statement'!D38</f>
        <v>10779.590000000004</v>
      </c>
      <c r="E12" s="169">
        <f>'Income Statement'!E38</f>
        <v>12430.529999999995</v>
      </c>
      <c r="F12" s="169">
        <f>'Income Statement'!F38</f>
        <v>13897.669999999991</v>
      </c>
      <c r="G12" s="169">
        <f>'Income Statement'!G38</f>
        <v>17959.95</v>
      </c>
      <c r="H12" s="148">
        <f>'Income Statement'!H38</f>
        <v>17623.518100828569</v>
      </c>
      <c r="I12" s="148">
        <f>'Income Statement'!I38</f>
        <v>19752.051710697368</v>
      </c>
      <c r="J12" s="148">
        <f>'Income Statement'!J38</f>
        <v>22137.34278689812</v>
      </c>
      <c r="K12" s="148">
        <f>'Income Statement'!K38</f>
        <v>24810.361461781729</v>
      </c>
      <c r="L12" s="148">
        <f>'Income Statement'!L38</f>
        <v>27805.813482649584</v>
      </c>
      <c r="M12" s="148">
        <f>'Income Statement'!M38</f>
        <v>31162.590801297316</v>
      </c>
      <c r="N12" s="148">
        <f>'Income Statement'!N38</f>
        <v>34924.27651362944</v>
      </c>
      <c r="O12" s="148">
        <f>'Income Statement'!O38</f>
        <v>39139.710705045094</v>
      </c>
      <c r="P12" s="148">
        <f>'Income Statement'!P38</f>
        <v>43863.624548043779</v>
      </c>
      <c r="Q12" s="154">
        <f>'Income Statement'!Q38</f>
        <v>49157.350884627871</v>
      </c>
    </row>
    <row r="13" spans="2:17" x14ac:dyDescent="0.25">
      <c r="B13" s="61" t="s">
        <v>96</v>
      </c>
      <c r="D13" s="169"/>
      <c r="E13" s="169"/>
      <c r="F13" s="169"/>
      <c r="G13" s="169"/>
      <c r="H13" s="148"/>
      <c r="I13" s="148"/>
      <c r="J13" s="148"/>
      <c r="K13" s="148"/>
      <c r="L13" s="148"/>
      <c r="M13" s="148"/>
      <c r="N13" s="148"/>
      <c r="O13" s="148"/>
      <c r="P13" s="148"/>
      <c r="Q13" s="154"/>
    </row>
    <row r="14" spans="2:17" x14ac:dyDescent="0.25">
      <c r="B14" s="61" t="s">
        <v>97</v>
      </c>
      <c r="D14" s="169">
        <f>'Income Statement'!D28</f>
        <v>10.86</v>
      </c>
      <c r="E14" s="169">
        <f>'Income Statement'!E28</f>
        <v>18.239999999999995</v>
      </c>
      <c r="F14" s="169">
        <f>'Income Statement'!F28</f>
        <v>24.259999999999998</v>
      </c>
      <c r="G14" s="169">
        <f>'Income Statement'!G28</f>
        <v>23.98</v>
      </c>
      <c r="H14" s="148">
        <f>'Income Statement'!H28</f>
        <v>24.099899999999998</v>
      </c>
      <c r="I14" s="148">
        <f>'Income Statement'!I28</f>
        <v>24.220399499999992</v>
      </c>
      <c r="J14" s="148">
        <f>'Income Statement'!J28</f>
        <v>24.341501497499998</v>
      </c>
      <c r="K14" s="148">
        <f>'Income Statement'!K28</f>
        <v>24.463209004987487</v>
      </c>
      <c r="L14" s="148">
        <f>'Income Statement'!L28</f>
        <v>24.585525050012421</v>
      </c>
      <c r="M14" s="148">
        <f>'Income Statement'!M28</f>
        <v>24.708452675262485</v>
      </c>
      <c r="N14" s="148">
        <f>'Income Statement'!N28</f>
        <v>24.831994938638797</v>
      </c>
      <c r="O14" s="148">
        <f>'Income Statement'!O28</f>
        <v>24.956154913331982</v>
      </c>
      <c r="P14" s="148">
        <f>'Income Statement'!P28</f>
        <v>25.080935687898641</v>
      </c>
      <c r="Q14" s="154">
        <f>'Income Statement'!Q28</f>
        <v>25.206340366338129</v>
      </c>
    </row>
    <row r="15" spans="2:17" x14ac:dyDescent="0.25">
      <c r="B15" s="61" t="s">
        <v>98</v>
      </c>
      <c r="C15" s="1"/>
      <c r="D15" s="169">
        <f>'Income Statement'!D32</f>
        <v>3555.75</v>
      </c>
      <c r="E15" s="169">
        <f>'Income Statement'!E32</f>
        <v>4188.41</v>
      </c>
      <c r="F15" s="169">
        <f>'Income Statement'!F32</f>
        <v>6638.67</v>
      </c>
      <c r="G15" s="169">
        <f>'Income Statement'!G32</f>
        <v>11058.23</v>
      </c>
      <c r="H15" s="148">
        <f>'Income Statement'!H32</f>
        <v>7545.3720670390858</v>
      </c>
      <c r="I15" s="148">
        <f>'Income Statement'!I32</f>
        <v>8455.4941728363192</v>
      </c>
      <c r="J15" s="148">
        <f>'Income Statement'!J32</f>
        <v>9475.3951258661764</v>
      </c>
      <c r="K15" s="148">
        <f>'Income Statement'!K32</f>
        <v>10618.316440891304</v>
      </c>
      <c r="L15" s="148">
        <f>'Income Statement'!L32</f>
        <v>11899.096823004076</v>
      </c>
      <c r="M15" s="148">
        <f>'Income Statement'!M32</f>
        <v>13334.364820581744</v>
      </c>
      <c r="N15" s="148">
        <f>'Income Statement'!N32</f>
        <v>14942.754716023799</v>
      </c>
      <c r="O15" s="148">
        <f>'Income Statement'!O32</f>
        <v>16745.148457210886</v>
      </c>
      <c r="P15" s="148">
        <f>'Income Statement'!P32</f>
        <v>18764.946770714669</v>
      </c>
      <c r="Q15" s="154">
        <f>'Income Statement'!Q32</f>
        <v>21028.372976658895</v>
      </c>
    </row>
    <row r="16" spans="2:17" x14ac:dyDescent="0.25">
      <c r="B16" s="59"/>
      <c r="D16" s="169"/>
      <c r="E16" s="169"/>
      <c r="F16" s="169"/>
      <c r="G16" s="169"/>
      <c r="H16" s="148"/>
      <c r="I16" s="148"/>
      <c r="J16" s="148"/>
      <c r="K16" s="148"/>
      <c r="L16" s="148"/>
      <c r="M16" s="148"/>
      <c r="N16" s="148"/>
      <c r="O16" s="148"/>
      <c r="P16" s="148"/>
      <c r="Q16" s="154"/>
    </row>
    <row r="17" spans="2:17" x14ac:dyDescent="0.25">
      <c r="B17" s="59" t="s">
        <v>99</v>
      </c>
      <c r="D17" s="169"/>
      <c r="E17" s="169"/>
      <c r="F17" s="169"/>
      <c r="G17" s="169"/>
      <c r="H17" s="148"/>
      <c r="I17" s="148"/>
      <c r="J17" s="148"/>
      <c r="K17" s="148"/>
      <c r="L17" s="148"/>
      <c r="M17" s="148"/>
      <c r="N17" s="148"/>
      <c r="O17" s="148"/>
      <c r="P17" s="148"/>
      <c r="Q17" s="154"/>
    </row>
    <row r="18" spans="2:17" x14ac:dyDescent="0.25">
      <c r="B18" s="59"/>
      <c r="D18" s="169"/>
      <c r="E18" s="169"/>
      <c r="F18" s="169"/>
      <c r="G18" s="169"/>
      <c r="H18" s="148"/>
      <c r="I18" s="148"/>
      <c r="J18" s="148"/>
      <c r="K18" s="148"/>
      <c r="L18" s="148"/>
      <c r="M18" s="148"/>
      <c r="N18" s="148"/>
      <c r="O18" s="148"/>
      <c r="P18" s="148"/>
      <c r="Q18" s="154"/>
    </row>
    <row r="19" spans="2:17" x14ac:dyDescent="0.25">
      <c r="B19" s="59" t="s">
        <v>23</v>
      </c>
      <c r="C19" s="1"/>
      <c r="D19" s="135">
        <f>'Balance Sheet'!D55-'Balance Sheet'!C55</f>
        <v>-479.42000000000007</v>
      </c>
      <c r="E19" s="169">
        <f>'Balance Sheet'!E55-'Balance Sheet'!D55</f>
        <v>-293.16999999999996</v>
      </c>
      <c r="F19" s="169">
        <f>'Balance Sheet'!F55-'Balance Sheet'!E55</f>
        <v>423.81000000000006</v>
      </c>
      <c r="G19" s="169">
        <f>'Balance Sheet'!G55-'Balance Sheet'!F55</f>
        <v>-217.25</v>
      </c>
      <c r="H19" s="148">
        <f>'Balance Sheet'!H55-'Balance Sheet'!G55</f>
        <v>545.32691922185518</v>
      </c>
      <c r="I19" s="148">
        <f>'Balance Sheet'!I55-'Balance Sheet'!H55</f>
        <v>157.41223060857692</v>
      </c>
      <c r="J19" s="148">
        <f>'Balance Sheet'!J55-'Balance Sheet'!I55</f>
        <v>176.39927982587756</v>
      </c>
      <c r="K19" s="148">
        <f>'Balance Sheet'!K55-'Balance Sheet'!J55</f>
        <v>197.67654522642215</v>
      </c>
      <c r="L19" s="148">
        <f>'Balance Sheet'!L55-'Balance Sheet'!K55</f>
        <v>221.52027248198033</v>
      </c>
      <c r="M19" s="148">
        <f>'Balance Sheet'!M55-'Balance Sheet'!L55</f>
        <v>248.24002799261871</v>
      </c>
      <c r="N19" s="148">
        <f>'Balance Sheet'!N55-'Balance Sheet'!M55</f>
        <v>278.18271802996469</v>
      </c>
      <c r="O19" s="148">
        <f>'Balance Sheet'!O55-'Balance Sheet'!N55</f>
        <v>311.73709266919741</v>
      </c>
      <c r="P19" s="148">
        <f>'Balance Sheet'!P55-'Balance Sheet'!O55</f>
        <v>349.33879298489001</v>
      </c>
      <c r="Q19" s="154">
        <f>'Balance Sheet'!Q55-'Balance Sheet'!P55</f>
        <v>391.47600703917806</v>
      </c>
    </row>
    <row r="20" spans="2:17" x14ac:dyDescent="0.25">
      <c r="B20" s="59" t="s">
        <v>44</v>
      </c>
      <c r="C20" s="1"/>
      <c r="D20" s="135">
        <f>'Balance Sheet'!D56-'Balance Sheet'!C56</f>
        <v>15.36</v>
      </c>
      <c r="E20" s="169">
        <f>'Balance Sheet'!E56-'Balance Sheet'!D56</f>
        <v>-25.03</v>
      </c>
      <c r="F20" s="169">
        <f>'Balance Sheet'!F56-'Balance Sheet'!E56</f>
        <v>5.2000000000000028</v>
      </c>
      <c r="G20" s="169">
        <f>'Balance Sheet'!G56-'Balance Sheet'!F56</f>
        <v>48.830000000000005</v>
      </c>
      <c r="H20" s="148">
        <f>'Balance Sheet'!H56-'Balance Sheet'!G56</f>
        <v>-15.926755551861362</v>
      </c>
      <c r="I20" s="148">
        <f>'Balance Sheet'!I56-'Balance Sheet'!H56</f>
        <v>8.9962242936771162</v>
      </c>
      <c r="J20" s="148">
        <f>'Balance Sheet'!J56-'Balance Sheet'!I56</f>
        <v>10.081348065658119</v>
      </c>
      <c r="K20" s="148">
        <f>'Balance Sheet'!K56-'Balance Sheet'!J56</f>
        <v>11.297359370239477</v>
      </c>
      <c r="L20" s="148">
        <f>'Balance Sheet'!L56-'Balance Sheet'!K56</f>
        <v>12.660045849930185</v>
      </c>
      <c r="M20" s="148">
        <f>'Balance Sheet'!M56-'Balance Sheet'!L56</f>
        <v>14.187099451270981</v>
      </c>
      <c r="N20" s="148">
        <f>'Balance Sheet'!N56-'Balance Sheet'!M56</f>
        <v>15.898346121816189</v>
      </c>
      <c r="O20" s="148">
        <f>'Balance Sheet'!O56-'Balance Sheet'!N56</f>
        <v>17.816003213146132</v>
      </c>
      <c r="P20" s="148">
        <f>'Balance Sheet'!P56-'Balance Sheet'!O56</f>
        <v>19.964967931807422</v>
      </c>
      <c r="Q20" s="154">
        <f>'Balance Sheet'!Q56-'Balance Sheet'!P56</f>
        <v>22.37314058317952</v>
      </c>
    </row>
    <row r="21" spans="2:17" x14ac:dyDescent="0.25">
      <c r="B21" s="59" t="s">
        <v>45</v>
      </c>
      <c r="C21" s="1"/>
      <c r="D21" s="135">
        <f>'Balance Sheet'!D57-'Balance Sheet'!C57</f>
        <v>17350.859999999986</v>
      </c>
      <c r="E21" s="169">
        <f>'Balance Sheet'!E57-'Balance Sheet'!D57</f>
        <v>-17694.5</v>
      </c>
      <c r="F21" s="169">
        <f>'Balance Sheet'!F57-'Balance Sheet'!E57</f>
        <v>17327.72</v>
      </c>
      <c r="G21" s="169">
        <f>'Balance Sheet'!G57-'Balance Sheet'!F57</f>
        <v>29160.910000000003</v>
      </c>
      <c r="H21" s="148">
        <f>'Balance Sheet'!H57-'Balance Sheet'!G57</f>
        <v>65329.65617969312</v>
      </c>
      <c r="I21" s="148">
        <f>'Balance Sheet'!I57-'Balance Sheet'!H57</f>
        <v>39972.58158213814</v>
      </c>
      <c r="J21" s="148">
        <f>'Balance Sheet'!J57-'Balance Sheet'!I57</f>
        <v>44794.070807647309</v>
      </c>
      <c r="K21" s="148">
        <f>'Balance Sheet'!K57-'Balance Sheet'!J57</f>
        <v>50197.127633536351</v>
      </c>
      <c r="L21" s="148">
        <f>'Balance Sheet'!L57-'Balance Sheet'!K57</f>
        <v>56251.900691895571</v>
      </c>
      <c r="M21" s="148">
        <f>'Balance Sheet'!M57-'Balance Sheet'!L57</f>
        <v>63036.999936563603</v>
      </c>
      <c r="N21" s="148">
        <f>'Balance Sheet'!N57-'Balance Sheet'!M57</f>
        <v>70640.51724699873</v>
      </c>
      <c r="O21" s="148">
        <f>'Balance Sheet'!O57-'Balance Sheet'!N57</f>
        <v>79161.170137303765</v>
      </c>
      <c r="P21" s="148">
        <f>'Balance Sheet'!P57-'Balance Sheet'!O57</f>
        <v>88709.583419328905</v>
      </c>
      <c r="Q21" s="154">
        <f>'Balance Sheet'!Q57-'Balance Sheet'!P57</f>
        <v>99409.725459862733</v>
      </c>
    </row>
    <row r="22" spans="2:17" x14ac:dyDescent="0.25">
      <c r="B22" s="59" t="s">
        <v>46</v>
      </c>
      <c r="C22" s="1"/>
      <c r="D22" s="135">
        <f>'Balance Sheet'!D58-'Balance Sheet'!C58</f>
        <v>23956.699999999997</v>
      </c>
      <c r="E22" s="169">
        <f>'Balance Sheet'!E58-'Balance Sheet'!D58</f>
        <v>21144.229999999996</v>
      </c>
      <c r="F22" s="169">
        <f>'Balance Sheet'!F58-'Balance Sheet'!E58</f>
        <v>30462.540000000008</v>
      </c>
      <c r="G22" s="169">
        <f>'Balance Sheet'!G58-'Balance Sheet'!F58</f>
        <v>34977.919999999984</v>
      </c>
      <c r="H22" s="148">
        <f>'Balance Sheet'!H58-'Balance Sheet'!G58</f>
        <v>-20558.617571268114</v>
      </c>
      <c r="I22" s="148">
        <f>'Balance Sheet'!I58-'Balance Sheet'!H58</f>
        <v>18277.949105144624</v>
      </c>
      <c r="J22" s="148">
        <f>'Balance Sheet'!J58-'Balance Sheet'!I58</f>
        <v>20482.633696100325</v>
      </c>
      <c r="K22" s="148">
        <f>'Balance Sheet'!K58-'Balance Sheet'!J58</f>
        <v>22953.247145793837</v>
      </c>
      <c r="L22" s="148">
        <f>'Balance Sheet'!L58-'Balance Sheet'!K58</f>
        <v>25721.865769449272</v>
      </c>
      <c r="M22" s="148">
        <f>'Balance Sheet'!M58-'Balance Sheet'!L58</f>
        <v>28824.434924572706</v>
      </c>
      <c r="N22" s="148">
        <f>'Balance Sheet'!N58-'Balance Sheet'!M58</f>
        <v>32301.235694486415</v>
      </c>
      <c r="O22" s="148">
        <f>'Balance Sheet'!O58-'Balance Sheet'!N58</f>
        <v>36197.407863191038</v>
      </c>
      <c r="P22" s="148">
        <f>'Balance Sheet'!P58-'Balance Sheet'!O58</f>
        <v>40563.535971407313</v>
      </c>
      <c r="Q22" s="154">
        <f>'Balance Sheet'!Q58-'Balance Sheet'!P58</f>
        <v>45456.306062646268</v>
      </c>
    </row>
    <row r="23" spans="2:17" x14ac:dyDescent="0.25">
      <c r="B23" s="59" t="s">
        <v>47</v>
      </c>
      <c r="C23" s="1"/>
      <c r="D23" s="135">
        <f>'Balance Sheet'!D59-'Balance Sheet'!C59</f>
        <v>2127.2400000000007</v>
      </c>
      <c r="E23" s="169">
        <f>'Balance Sheet'!E59-'Balance Sheet'!D59</f>
        <v>-130.42000000000007</v>
      </c>
      <c r="F23" s="169">
        <f>'Balance Sheet'!F59-'Balance Sheet'!E59</f>
        <v>-43.170000000000073</v>
      </c>
      <c r="G23" s="169">
        <f>'Balance Sheet'!G59-'Balance Sheet'!F59</f>
        <v>638.90999999999985</v>
      </c>
      <c r="H23" s="148">
        <f>'Balance Sheet'!H59-'Balance Sheet'!G59</f>
        <v>1692.7099827522989</v>
      </c>
      <c r="I23" s="148">
        <f>'Balance Sheet'!I59-'Balance Sheet'!H59</f>
        <v>1098.2346363033121</v>
      </c>
      <c r="J23" s="148">
        <f>'Balance Sheet'!J59-'Balance Sheet'!I59</f>
        <v>1230.7036001888846</v>
      </c>
      <c r="K23" s="148">
        <f>'Balance Sheet'!K59-'Balance Sheet'!J59</f>
        <v>1379.1509586841858</v>
      </c>
      <c r="L23" s="148">
        <f>'Balance Sheet'!L59-'Balance Sheet'!K59</f>
        <v>1545.5040243219992</v>
      </c>
      <c r="M23" s="148">
        <f>'Balance Sheet'!M59-'Balance Sheet'!L59</f>
        <v>1731.922581900968</v>
      </c>
      <c r="N23" s="148">
        <f>'Balance Sheet'!N59-'Balance Sheet'!M59</f>
        <v>1940.8269292694877</v>
      </c>
      <c r="O23" s="148">
        <f>'Balance Sheet'!O59-'Balance Sheet'!N59</f>
        <v>2174.9293003866078</v>
      </c>
      <c r="P23" s="148">
        <f>'Balance Sheet'!P59-'Balance Sheet'!O59</f>
        <v>2437.2690786296153</v>
      </c>
      <c r="Q23" s="154">
        <f>'Balance Sheet'!Q59-'Balance Sheet'!P59</f>
        <v>2731.2522575276853</v>
      </c>
    </row>
    <row r="24" spans="2:17" x14ac:dyDescent="0.25">
      <c r="B24" s="59" t="s">
        <v>48</v>
      </c>
      <c r="C24" s="1"/>
      <c r="D24" s="135">
        <f>'Balance Sheet'!D60-'Balance Sheet'!C60</f>
        <v>2440.1399999999994</v>
      </c>
      <c r="E24" s="169">
        <f>'Balance Sheet'!E60-'Balance Sheet'!D60</f>
        <v>-513.70999999999913</v>
      </c>
      <c r="F24" s="169">
        <f>'Balance Sheet'!F60-'Balance Sheet'!E60</f>
        <v>-363.52999999999884</v>
      </c>
      <c r="G24" s="169">
        <f>'Balance Sheet'!G60-'Balance Sheet'!F60</f>
        <v>6614.380000000001</v>
      </c>
      <c r="H24" s="148">
        <f>'Balance Sheet'!H60-'Balance Sheet'!G60</f>
        <v>5215.5841073854499</v>
      </c>
      <c r="I24" s="148">
        <f>'Balance Sheet'!I60-'Balance Sheet'!H60</f>
        <v>4484.0541233984186</v>
      </c>
      <c r="J24" s="148">
        <f>'Balance Sheet'!J60-'Balance Sheet'!I60</f>
        <v>5024.9203318553264</v>
      </c>
      <c r="K24" s="148">
        <f>'Balance Sheet'!K60-'Balance Sheet'!J60</f>
        <v>5631.0257741395326</v>
      </c>
      <c r="L24" s="148">
        <f>'Balance Sheet'!L60-'Balance Sheet'!K60</f>
        <v>6310.2396008169089</v>
      </c>
      <c r="M24" s="148">
        <f>'Balance Sheet'!M60-'Balance Sheet'!L60</f>
        <v>7071.3801386929117</v>
      </c>
      <c r="N24" s="148">
        <f>'Balance Sheet'!N60-'Balance Sheet'!M60</f>
        <v>7924.3293803656707</v>
      </c>
      <c r="O24" s="148">
        <f>'Balance Sheet'!O60-'Balance Sheet'!N60</f>
        <v>8880.1612834993139</v>
      </c>
      <c r="P24" s="148">
        <f>'Balance Sheet'!P60-'Balance Sheet'!O60</f>
        <v>9951.2855455437093</v>
      </c>
      <c r="Q24" s="154">
        <f>'Balance Sheet'!Q60-'Balance Sheet'!P60</f>
        <v>11151.608720548349</v>
      </c>
    </row>
    <row r="25" spans="2:17" x14ac:dyDescent="0.25">
      <c r="B25" s="59" t="s">
        <v>55</v>
      </c>
      <c r="D25" s="135">
        <f>'Balance Sheet'!D64-'Balance Sheet'!C64</f>
        <v>-0.60000000000000009</v>
      </c>
      <c r="E25" s="169">
        <f>'Balance Sheet'!E64-'Balance Sheet'!D64</f>
        <v>-7.0000000000000007E-2</v>
      </c>
      <c r="F25" s="169">
        <f>'Balance Sheet'!F64-'Balance Sheet'!E64</f>
        <v>0.01</v>
      </c>
      <c r="G25" s="169">
        <f>'Balance Sheet'!G64-'Balance Sheet'!F64</f>
        <v>-0.02</v>
      </c>
      <c r="H25" s="148">
        <f>'Balance Sheet'!H64-'Balance Sheet'!G64</f>
        <v>0</v>
      </c>
      <c r="I25" s="148">
        <f>'Balance Sheet'!I64-'Balance Sheet'!H64</f>
        <v>0</v>
      </c>
      <c r="J25" s="148">
        <f>'Balance Sheet'!J64-'Balance Sheet'!I64</f>
        <v>0</v>
      </c>
      <c r="K25" s="148">
        <f>'Balance Sheet'!K64-'Balance Sheet'!J64</f>
        <v>0</v>
      </c>
      <c r="L25" s="148">
        <f>'Balance Sheet'!L64-'Balance Sheet'!K64</f>
        <v>0</v>
      </c>
      <c r="M25" s="148">
        <f>'Balance Sheet'!M64-'Balance Sheet'!L64</f>
        <v>0</v>
      </c>
      <c r="N25" s="148">
        <f>'Balance Sheet'!N64-'Balance Sheet'!M64</f>
        <v>0</v>
      </c>
      <c r="O25" s="148">
        <f>'Balance Sheet'!O64-'Balance Sheet'!N64</f>
        <v>0</v>
      </c>
      <c r="P25" s="148">
        <f>'Balance Sheet'!P64-'Balance Sheet'!O64</f>
        <v>0</v>
      </c>
      <c r="Q25" s="154">
        <f>'Balance Sheet'!Q64-'Balance Sheet'!P64</f>
        <v>0</v>
      </c>
    </row>
    <row r="26" spans="2:17" x14ac:dyDescent="0.25">
      <c r="B26" s="59"/>
      <c r="D26" s="169"/>
      <c r="E26" s="169"/>
      <c r="F26" s="169"/>
      <c r="G26" s="169"/>
      <c r="H26" s="148"/>
      <c r="I26" s="148"/>
      <c r="J26" s="148"/>
      <c r="K26" s="148"/>
      <c r="L26" s="148"/>
      <c r="M26" s="148"/>
      <c r="N26" s="148"/>
      <c r="O26" s="148"/>
      <c r="P26" s="148"/>
      <c r="Q26" s="154"/>
    </row>
    <row r="27" spans="2:17" x14ac:dyDescent="0.25">
      <c r="B27" s="59" t="s">
        <v>100</v>
      </c>
      <c r="D27" s="169"/>
      <c r="E27" s="169"/>
      <c r="F27" s="169"/>
      <c r="G27" s="169"/>
      <c r="H27" s="148"/>
      <c r="I27" s="148"/>
      <c r="J27" s="148"/>
      <c r="K27" s="148"/>
      <c r="L27" s="148"/>
      <c r="M27" s="148"/>
      <c r="N27" s="148"/>
      <c r="O27" s="148"/>
      <c r="P27" s="148"/>
      <c r="Q27" s="154"/>
    </row>
    <row r="28" spans="2:17" x14ac:dyDescent="0.25">
      <c r="B28" s="59" t="s">
        <v>101</v>
      </c>
      <c r="D28" s="169">
        <f>'Income Statement'!D34</f>
        <v>22.72</v>
      </c>
      <c r="E28" s="169">
        <f>'Income Statement'!E34</f>
        <v>70.150000000000006</v>
      </c>
      <c r="F28" s="169">
        <f>'Income Statement'!F34</f>
        <v>41.9</v>
      </c>
      <c r="G28" s="169">
        <f>'Income Statement'!G34</f>
        <v>66.48</v>
      </c>
      <c r="H28" s="148">
        <f>'Income Statement'!H34</f>
        <v>79.283887086215373</v>
      </c>
      <c r="I28" s="148">
        <f>'Income Statement'!I34</f>
        <v>88.847102475673609</v>
      </c>
      <c r="J28" s="148">
        <f>'Income Statement'!J34</f>
        <v>99.563832052519231</v>
      </c>
      <c r="K28" s="148">
        <f>'Income Statement'!K34</f>
        <v>111.57321259515956</v>
      </c>
      <c r="L28" s="148">
        <f>'Income Statement'!L34</f>
        <v>125.03116354780445</v>
      </c>
      <c r="M28" s="148">
        <f>'Income Statement'!M34</f>
        <v>140.11241134411895</v>
      </c>
      <c r="N28" s="148">
        <f>'Income Statement'!N34</f>
        <v>157.01275790461378</v>
      </c>
      <c r="O28" s="148">
        <f>'Income Statement'!O34</f>
        <v>175.95162275998922</v>
      </c>
      <c r="P28" s="148">
        <f>'Income Statement'!P34</f>
        <v>197.17489180516998</v>
      </c>
      <c r="Q28" s="154">
        <f>'Income Statement'!Q34</f>
        <v>220.95810966979718</v>
      </c>
    </row>
    <row r="29" spans="2:17" x14ac:dyDescent="0.25">
      <c r="B29" s="59" t="s">
        <v>102</v>
      </c>
      <c r="D29" s="169">
        <f>'Income Statement'!D36</f>
        <v>-1.97</v>
      </c>
      <c r="E29" s="169">
        <f>'Income Statement'!E36</f>
        <v>-11.81</v>
      </c>
      <c r="F29" s="169">
        <f>'Income Statement'!F36</f>
        <v>0</v>
      </c>
      <c r="G29" s="169">
        <f>'Income Statement'!G36</f>
        <v>0</v>
      </c>
      <c r="H29" s="148">
        <f>'Income Statement'!H36</f>
        <v>0</v>
      </c>
      <c r="I29" s="148">
        <f>'Income Statement'!I36</f>
        <v>0</v>
      </c>
      <c r="J29" s="148">
        <f>'Income Statement'!J36</f>
        <v>0</v>
      </c>
      <c r="K29" s="148">
        <f>'Income Statement'!K36</f>
        <v>0</v>
      </c>
      <c r="L29" s="148">
        <f>'Income Statement'!L36</f>
        <v>0</v>
      </c>
      <c r="M29" s="148">
        <f>'Income Statement'!M36</f>
        <v>0</v>
      </c>
      <c r="N29" s="148">
        <f>'Income Statement'!N36</f>
        <v>0</v>
      </c>
      <c r="O29" s="148">
        <f>'Income Statement'!O36</f>
        <v>0</v>
      </c>
      <c r="P29" s="148">
        <f>'Income Statement'!P36</f>
        <v>0</v>
      </c>
      <c r="Q29" s="154">
        <f>'Income Statement'!Q36</f>
        <v>0</v>
      </c>
    </row>
    <row r="30" spans="2:17" x14ac:dyDescent="0.25">
      <c r="B30" s="59" t="s">
        <v>103</v>
      </c>
      <c r="C30" s="1"/>
      <c r="D30" s="169">
        <f>'Income Statement'!D40</f>
        <v>2401.35</v>
      </c>
      <c r="E30" s="169">
        <f>'Income Statement'!E40</f>
        <v>2394.83</v>
      </c>
      <c r="F30" s="169">
        <f>'Income Statement'!F40</f>
        <v>2730.69</v>
      </c>
      <c r="G30" s="169">
        <f>'Income Statement'!G40</f>
        <v>3814.48</v>
      </c>
      <c r="H30" s="148">
        <f>'Income Statement'!H40</f>
        <v>3831.1455363240379</v>
      </c>
      <c r="I30" s="148">
        <f>'Income Statement'!I40</f>
        <v>4293.8637059715129</v>
      </c>
      <c r="J30" s="148">
        <f>'Income Statement'!J40</f>
        <v>4923.0846425928139</v>
      </c>
      <c r="K30" s="148">
        <f>'Income Statement'!K40</f>
        <v>5517.5325541764787</v>
      </c>
      <c r="L30" s="148">
        <f>'Income Statement'!L40</f>
        <v>6322.7149166584559</v>
      </c>
      <c r="M30" s="148">
        <f>'Income Statement'!M40</f>
        <v>7086.0065944134767</v>
      </c>
      <c r="N30" s="148">
        <f>'Income Statement'!N40</f>
        <v>8115.9910606757667</v>
      </c>
      <c r="O30" s="148">
        <f>'Income Statement'!O40</f>
        <v>9095.6083821983702</v>
      </c>
      <c r="P30" s="148">
        <f>'Income Statement'!P40</f>
        <v>10412.708516434737</v>
      </c>
      <c r="Q30" s="154">
        <f>'Income Statement'!Q40</f>
        <v>11669.376880633617</v>
      </c>
    </row>
    <row r="31" spans="2:17" x14ac:dyDescent="0.25">
      <c r="B31" s="59"/>
      <c r="D31" s="169"/>
      <c r="E31" s="169"/>
      <c r="F31" s="169"/>
      <c r="G31" s="169"/>
      <c r="H31" s="148"/>
      <c r="I31" s="148"/>
      <c r="J31" s="148"/>
      <c r="K31" s="148"/>
      <c r="L31" s="148"/>
      <c r="M31" s="148"/>
      <c r="N31" s="148"/>
      <c r="O31" s="148"/>
      <c r="P31" s="148"/>
      <c r="Q31" s="154"/>
    </row>
    <row r="32" spans="2:17" x14ac:dyDescent="0.25">
      <c r="B32" s="162" t="s">
        <v>104</v>
      </c>
      <c r="D32" s="169"/>
      <c r="E32" s="169"/>
      <c r="F32" s="169"/>
      <c r="G32" s="169"/>
      <c r="H32" s="148"/>
      <c r="I32" s="148"/>
      <c r="J32" s="148"/>
      <c r="K32" s="148"/>
      <c r="L32" s="148"/>
      <c r="M32" s="148"/>
      <c r="N32" s="148"/>
      <c r="O32" s="148"/>
      <c r="P32" s="148"/>
      <c r="Q32" s="154"/>
    </row>
    <row r="33" spans="2:17" x14ac:dyDescent="0.25">
      <c r="B33" s="59"/>
      <c r="D33" s="169"/>
      <c r="E33" s="169"/>
      <c r="F33" s="169"/>
      <c r="G33" s="169"/>
      <c r="H33" s="148"/>
      <c r="I33" s="148"/>
      <c r="J33" s="148"/>
      <c r="K33" s="148"/>
      <c r="L33" s="148"/>
      <c r="M33" s="148"/>
      <c r="N33" s="148"/>
      <c r="O33" s="148"/>
      <c r="P33" s="148"/>
      <c r="Q33" s="154"/>
    </row>
    <row r="34" spans="2:17" x14ac:dyDescent="0.25">
      <c r="B34" s="59" t="s">
        <v>65</v>
      </c>
      <c r="C34" s="1"/>
      <c r="D34" s="169">
        <f>'Balance Sheet'!D25-'Balance Sheet'!C25</f>
        <v>-33.869999999999891</v>
      </c>
      <c r="E34" s="169">
        <f>'Balance Sheet'!E25-'Balance Sheet'!D25</f>
        <v>295.38000000000011</v>
      </c>
      <c r="F34" s="169">
        <f>'Balance Sheet'!F25-'Balance Sheet'!E25</f>
        <v>-172.05000000000018</v>
      </c>
      <c r="G34" s="169">
        <f>'Balance Sheet'!G25-'Balance Sheet'!F25</f>
        <v>352.84000000000015</v>
      </c>
      <c r="H34" s="148">
        <f>'Balance Sheet'!H25-'Balance Sheet'!G25</f>
        <v>680.49833483090651</v>
      </c>
      <c r="I34" s="148">
        <f>'Balance Sheet'!I25-'Balance Sheet'!H25</f>
        <v>407.72525268209029</v>
      </c>
      <c r="J34" s="148">
        <f>'Balance Sheet'!J25-'Balance Sheet'!I25</f>
        <v>456.90503629789646</v>
      </c>
      <c r="K34" s="148">
        <f>'Balance Sheet'!K25-'Balance Sheet'!J25</f>
        <v>512.01688102737626</v>
      </c>
      <c r="L34" s="148">
        <f>'Balance Sheet'!L25-'Balance Sheet'!K25</f>
        <v>573.77631155300878</v>
      </c>
      <c r="M34" s="148">
        <f>'Balance Sheet'!M25-'Balance Sheet'!L25</f>
        <v>642.98515908067384</v>
      </c>
      <c r="N34" s="148">
        <f>'Balance Sheet'!N25-'Balance Sheet'!M25</f>
        <v>720.54197162477703</v>
      </c>
      <c r="O34" s="148">
        <f>'Balance Sheet'!O25-'Balance Sheet'!N25</f>
        <v>807.4536799810985</v>
      </c>
      <c r="P34" s="148">
        <f>'Balance Sheet'!P25-'Balance Sheet'!O25</f>
        <v>904.84867084819689</v>
      </c>
      <c r="Q34" s="154">
        <f>'Balance Sheet'!Q25-'Balance Sheet'!P25</f>
        <v>1013.9914368275768</v>
      </c>
    </row>
    <row r="35" spans="2:17" x14ac:dyDescent="0.25">
      <c r="B35" s="59" t="s">
        <v>89</v>
      </c>
      <c r="C35" s="1"/>
      <c r="D35" s="135">
        <f>'Balance Sheet'!D26-'Balance Sheet'!C26</f>
        <v>0</v>
      </c>
      <c r="E35" s="169">
        <f>'Balance Sheet'!E26-'Balance Sheet'!D26</f>
        <v>0</v>
      </c>
      <c r="F35" s="169">
        <f>'Balance Sheet'!F26-'Balance Sheet'!E26</f>
        <v>0</v>
      </c>
      <c r="G35" s="169">
        <f>'Balance Sheet'!G26-'Balance Sheet'!F26</f>
        <v>0</v>
      </c>
      <c r="H35" s="148">
        <f>'Balance Sheet'!H26-'Balance Sheet'!G26</f>
        <v>0</v>
      </c>
      <c r="I35" s="148">
        <f>'Balance Sheet'!I26-'Balance Sheet'!H26</f>
        <v>0</v>
      </c>
      <c r="J35" s="148">
        <f>'Balance Sheet'!J26-'Balance Sheet'!I26</f>
        <v>0</v>
      </c>
      <c r="K35" s="148">
        <f>'Balance Sheet'!K26-'Balance Sheet'!J26</f>
        <v>0</v>
      </c>
      <c r="L35" s="148">
        <f>'Balance Sheet'!L26-'Balance Sheet'!K26</f>
        <v>0</v>
      </c>
      <c r="M35" s="148">
        <f>'Balance Sheet'!M26-'Balance Sheet'!L26</f>
        <v>0</v>
      </c>
      <c r="N35" s="148">
        <f>'Balance Sheet'!N26-'Balance Sheet'!M26</f>
        <v>0</v>
      </c>
      <c r="O35" s="148">
        <f>'Balance Sheet'!O26-'Balance Sheet'!N26</f>
        <v>0</v>
      </c>
      <c r="P35" s="148">
        <f>'Balance Sheet'!P26-'Balance Sheet'!O26</f>
        <v>0</v>
      </c>
      <c r="Q35" s="154">
        <f>'Balance Sheet'!Q26-'Balance Sheet'!P26</f>
        <v>0</v>
      </c>
    </row>
    <row r="36" spans="2:17" x14ac:dyDescent="0.25">
      <c r="B36" s="59" t="s">
        <v>22</v>
      </c>
      <c r="C36" s="1"/>
      <c r="D36" s="135">
        <f>'Balance Sheet'!D27-'Balance Sheet'!C27</f>
        <v>29.349999999999994</v>
      </c>
      <c r="E36" s="169">
        <f>'Balance Sheet'!E27-'Balance Sheet'!D27</f>
        <v>-45.519999999999996</v>
      </c>
      <c r="F36" s="169">
        <f>'Balance Sheet'!F27-'Balance Sheet'!E27</f>
        <v>18.450000000000003</v>
      </c>
      <c r="G36" s="169">
        <f>'Balance Sheet'!G27-'Balance Sheet'!F27</f>
        <v>40.819999999999993</v>
      </c>
      <c r="H36" s="148">
        <f>'Balance Sheet'!H27-'Balance Sheet'!G27</f>
        <v>11.372009357298055</v>
      </c>
      <c r="I36" s="148">
        <f>'Balance Sheet'!I27-'Balance Sheet'!H27</f>
        <v>19.925445436137124</v>
      </c>
      <c r="J36" s="148">
        <f>'Balance Sheet'!J27-'Balance Sheet'!I27</f>
        <v>22.328850887606279</v>
      </c>
      <c r="K36" s="148">
        <f>'Balance Sheet'!K27-'Balance Sheet'!J27</f>
        <v>25.022154890285577</v>
      </c>
      <c r="L36" s="148">
        <f>'Balance Sheet'!L27-'Balance Sheet'!K27</f>
        <v>28.040324981567409</v>
      </c>
      <c r="M36" s="148">
        <f>'Balance Sheet'!M27-'Balance Sheet'!L27</f>
        <v>31.422546480086282</v>
      </c>
      <c r="N36" s="148">
        <f>'Balance Sheet'!N27-'Balance Sheet'!M27</f>
        <v>35.212731234115211</v>
      </c>
      <c r="O36" s="148">
        <f>'Balance Sheet'!O27-'Balance Sheet'!N27</f>
        <v>39.460087735150012</v>
      </c>
      <c r="P36" s="148">
        <f>'Balance Sheet'!P27-'Balance Sheet'!O27</f>
        <v>44.219759998542088</v>
      </c>
      <c r="Q36" s="154">
        <f>'Balance Sheet'!Q27-'Balance Sheet'!P27</f>
        <v>49.553543505856112</v>
      </c>
    </row>
    <row r="37" spans="2:17" x14ac:dyDescent="0.25">
      <c r="B37" s="59" t="s">
        <v>23</v>
      </c>
      <c r="C37" s="1"/>
      <c r="D37" s="135">
        <f>'Balance Sheet'!D28-'Balance Sheet'!C28</f>
        <v>-1007.6300000000001</v>
      </c>
      <c r="E37" s="169">
        <f>'Balance Sheet'!E28-'Balance Sheet'!D28</f>
        <v>3198.9500000000003</v>
      </c>
      <c r="F37" s="169">
        <f>'Balance Sheet'!F28-'Balance Sheet'!E28</f>
        <v>3471.4400000000005</v>
      </c>
      <c r="G37" s="169">
        <f>'Balance Sheet'!G28-'Balance Sheet'!F28</f>
        <v>3500.41</v>
      </c>
      <c r="H37" s="148">
        <f>'Balance Sheet'!H28-'Balance Sheet'!G28</f>
        <v>-3920.0170276493936</v>
      </c>
      <c r="I37" s="148">
        <f>'Balance Sheet'!I28-'Balance Sheet'!H28</f>
        <v>1032.7480349283542</v>
      </c>
      <c r="J37" s="148">
        <f>'Balance Sheet'!J28-'Balance Sheet'!I28</f>
        <v>1157.3180107964599</v>
      </c>
      <c r="K37" s="148">
        <f>'Balance Sheet'!K28-'Balance Sheet'!J28</f>
        <v>1296.9136060440906</v>
      </c>
      <c r="L37" s="148">
        <f>'Balance Sheet'!L28-'Balance Sheet'!K28</f>
        <v>1453.3472095407415</v>
      </c>
      <c r="M37" s="148">
        <f>'Balance Sheet'!M28-'Balance Sheet'!L28</f>
        <v>1628.6498203397387</v>
      </c>
      <c r="N37" s="148">
        <f>'Balance Sheet'!N28-'Balance Sheet'!M28</f>
        <v>1825.0974164190557</v>
      </c>
      <c r="O37" s="148">
        <f>'Balance Sheet'!O28-'Balance Sheet'!N28</f>
        <v>2045.2405040174162</v>
      </c>
      <c r="P37" s="148">
        <f>'Balance Sheet'!P28-'Balance Sheet'!O28</f>
        <v>2291.9372312085834</v>
      </c>
      <c r="Q37" s="154">
        <f>'Balance Sheet'!Q28-'Balance Sheet'!P28</f>
        <v>2568.3904956320512</v>
      </c>
    </row>
    <row r="38" spans="2:17" x14ac:dyDescent="0.25">
      <c r="B38" s="59" t="s">
        <v>24</v>
      </c>
      <c r="C38" s="1"/>
      <c r="D38" s="135">
        <f>'Balance Sheet'!D29-'Balance Sheet'!C29</f>
        <v>53177.989999999991</v>
      </c>
      <c r="E38" s="169">
        <f>'Balance Sheet'!E29-'Balance Sheet'!D29</f>
        <v>6669.0499999999884</v>
      </c>
      <c r="F38" s="169">
        <f>'Balance Sheet'!F29-'Balance Sheet'!E29</f>
        <v>50153.369999999995</v>
      </c>
      <c r="G38" s="169">
        <f>'Balance Sheet'!G29-'Balance Sheet'!F29</f>
        <v>77108.140000000014</v>
      </c>
      <c r="H38" s="148">
        <f>'Balance Sheet'!H29-'Balance Sheet'!G29</f>
        <v>46203.968872281432</v>
      </c>
      <c r="I38" s="148">
        <f>'Balance Sheet'!I29-'Balance Sheet'!H29</f>
        <v>65785.619155591121</v>
      </c>
      <c r="J38" s="148">
        <f>'Balance Sheet'!J29-'Balance Sheet'!I29</f>
        <v>73720.674671091489</v>
      </c>
      <c r="K38" s="148">
        <f>'Balance Sheet'!K29-'Balance Sheet'!J29</f>
        <v>82612.855875189067</v>
      </c>
      <c r="L38" s="148">
        <f>'Balance Sheet'!L29-'Balance Sheet'!K29</f>
        <v>92577.611183081171</v>
      </c>
      <c r="M38" s="148">
        <f>'Balance Sheet'!M29-'Balance Sheet'!L29</f>
        <v>103744.31438751158</v>
      </c>
      <c r="N38" s="148">
        <f>'Balance Sheet'!N29-'Balance Sheet'!M29</f>
        <v>116257.94433656486</v>
      </c>
      <c r="O38" s="148">
        <f>'Balance Sheet'!O29-'Balance Sheet'!N29</f>
        <v>130280.9672140535</v>
      </c>
      <c r="P38" s="148">
        <f>'Balance Sheet'!P29-'Balance Sheet'!O29</f>
        <v>145995.44586039102</v>
      </c>
      <c r="Q38" s="154">
        <f>'Balance Sheet'!Q29-'Balance Sheet'!P29</f>
        <v>163605.40351956384</v>
      </c>
    </row>
    <row r="39" spans="2:17" x14ac:dyDescent="0.25">
      <c r="B39" s="59" t="s">
        <v>25</v>
      </c>
      <c r="C39" s="1"/>
      <c r="D39" s="135">
        <f>'Balance Sheet'!D30-'Balance Sheet'!C30</f>
        <v>-403.43000000000006</v>
      </c>
      <c r="E39" s="169">
        <f>'Balance Sheet'!E30-'Balance Sheet'!D30</f>
        <v>466.76</v>
      </c>
      <c r="F39" s="169">
        <f>'Balance Sheet'!F30-'Balance Sheet'!E30</f>
        <v>979.56</v>
      </c>
      <c r="G39" s="169">
        <f>'Balance Sheet'!G30-'Balance Sheet'!F30</f>
        <v>2182.3199999999997</v>
      </c>
      <c r="H39" s="148">
        <f>'Balance Sheet'!H30-'Balance Sheet'!G30</f>
        <v>-1442.2450375888152</v>
      </c>
      <c r="I39" s="148">
        <f>'Balance Sheet'!I30-'Balance Sheet'!H30</f>
        <v>471.63289324858533</v>
      </c>
      <c r="J39" s="148">
        <f>'Balance Sheet'!J30-'Balance Sheet'!I30</f>
        <v>528.52121076996173</v>
      </c>
      <c r="K39" s="148">
        <f>'Balance Sheet'!K30-'Balance Sheet'!J30</f>
        <v>592.27139207722121</v>
      </c>
      <c r="L39" s="148">
        <f>'Balance Sheet'!L30-'Balance Sheet'!K30</f>
        <v>663.7111145682411</v>
      </c>
      <c r="M39" s="148">
        <f>'Balance Sheet'!M30-'Balance Sheet'!L30</f>
        <v>743.76789001482666</v>
      </c>
      <c r="N39" s="148">
        <f>'Balance Sheet'!N30-'Balance Sheet'!M30</f>
        <v>833.4811065759659</v>
      </c>
      <c r="O39" s="148">
        <f>'Balance Sheet'!O30-'Balance Sheet'!N30</f>
        <v>934.01552331769835</v>
      </c>
      <c r="P39" s="148">
        <f>'Balance Sheet'!P30-'Balance Sheet'!O30</f>
        <v>1046.6763924407242</v>
      </c>
      <c r="Q39" s="154">
        <f>'Balance Sheet'!Q30-'Balance Sheet'!P30</f>
        <v>1172.9264055497788</v>
      </c>
    </row>
    <row r="40" spans="2:17" x14ac:dyDescent="0.25">
      <c r="B40" s="59" t="s">
        <v>26</v>
      </c>
      <c r="C40" s="1"/>
      <c r="D40" s="135">
        <f>'Balance Sheet'!D31-'Balance Sheet'!C31</f>
        <v>2320.2100000000028</v>
      </c>
      <c r="E40" s="169">
        <f>'Balance Sheet'!E31-'Balance Sheet'!D31</f>
        <v>-4.569999999999709</v>
      </c>
      <c r="F40" s="169">
        <f>'Balance Sheet'!F31-'Balance Sheet'!E31</f>
        <v>7.2299999999995634</v>
      </c>
      <c r="G40" s="169">
        <f>'Balance Sheet'!G31-'Balance Sheet'!F31</f>
        <v>22.879999999997381</v>
      </c>
      <c r="H40" s="148">
        <f>'Balance Sheet'!H31-'Balance Sheet'!G31</f>
        <v>9317.5510187224208</v>
      </c>
      <c r="I40" s="148">
        <f>'Balance Sheet'!I31-'Balance Sheet'!H31</f>
        <v>4072.48655315004</v>
      </c>
      <c r="J40" s="148">
        <f>'Balance Sheet'!J31-'Balance Sheet'!I31</f>
        <v>4563.7095179889729</v>
      </c>
      <c r="K40" s="148">
        <f>'Balance Sheet'!K31-'Balance Sheet'!J31</f>
        <v>5114.1837530373959</v>
      </c>
      <c r="L40" s="148">
        <f>'Balance Sheet'!L31-'Balance Sheet'!K31</f>
        <v>5731.0561412236566</v>
      </c>
      <c r="M40" s="148">
        <f>'Balance Sheet'!M31-'Balance Sheet'!L31</f>
        <v>6422.3356218576155</v>
      </c>
      <c r="N40" s="148">
        <f>'Balance Sheet'!N31-'Balance Sheet'!M31</f>
        <v>7196.9971717943044</v>
      </c>
      <c r="O40" s="148">
        <f>'Balance Sheet'!O31-'Balance Sheet'!N31</f>
        <v>8065.0983287967101</v>
      </c>
      <c r="P40" s="148">
        <f>'Balance Sheet'!P31-'Balance Sheet'!O31</f>
        <v>9037.909769935708</v>
      </c>
      <c r="Q40" s="154">
        <f>'Balance Sheet'!Q31-'Balance Sheet'!P31</f>
        <v>10128.061640345346</v>
      </c>
    </row>
    <row r="41" spans="2:17" x14ac:dyDescent="0.25">
      <c r="B41" s="59" t="s">
        <v>56</v>
      </c>
      <c r="D41" s="135">
        <f>'Balance Sheet'!D34-'Balance Sheet'!C34</f>
        <v>4.5200000000000014</v>
      </c>
      <c r="E41" s="169">
        <f>'Balance Sheet'!E34-'Balance Sheet'!D34</f>
        <v>-9.6700000000000017</v>
      </c>
      <c r="F41" s="169">
        <f>'Balance Sheet'!F34-'Balance Sheet'!E34</f>
        <v>0.27000000000000046</v>
      </c>
      <c r="G41" s="169">
        <f>'Balance Sheet'!G34-'Balance Sheet'!F34</f>
        <v>15.549999999999999</v>
      </c>
      <c r="H41" s="148">
        <f>'Balance Sheet'!H34-'Balance Sheet'!G34</f>
        <v>-20.2</v>
      </c>
      <c r="I41" s="148">
        <f>'Balance Sheet'!I34-'Balance Sheet'!H34</f>
        <v>0</v>
      </c>
      <c r="J41" s="148">
        <f>'Balance Sheet'!J34-'Balance Sheet'!I34</f>
        <v>0</v>
      </c>
      <c r="K41" s="148">
        <f>'Balance Sheet'!K34-'Balance Sheet'!J34</f>
        <v>0</v>
      </c>
      <c r="L41" s="148">
        <f>'Balance Sheet'!L34-'Balance Sheet'!K34</f>
        <v>0</v>
      </c>
      <c r="M41" s="148">
        <f>'Balance Sheet'!M34-'Balance Sheet'!L34</f>
        <v>0</v>
      </c>
      <c r="N41" s="148">
        <f>'Balance Sheet'!N34-'Balance Sheet'!M34</f>
        <v>0</v>
      </c>
      <c r="O41" s="148">
        <f>'Balance Sheet'!O34-'Balance Sheet'!N34</f>
        <v>0</v>
      </c>
      <c r="P41" s="148">
        <f>'Balance Sheet'!P34-'Balance Sheet'!O34</f>
        <v>0</v>
      </c>
      <c r="Q41" s="154">
        <f>'Balance Sheet'!Q34-'Balance Sheet'!P34</f>
        <v>0</v>
      </c>
    </row>
    <row r="42" spans="2:17" x14ac:dyDescent="0.25">
      <c r="B42" s="59"/>
      <c r="D42" s="169"/>
      <c r="E42" s="169"/>
      <c r="F42" s="169"/>
      <c r="G42" s="169"/>
      <c r="H42" s="148"/>
      <c r="I42" s="148"/>
      <c r="J42" s="148"/>
      <c r="K42" s="148"/>
      <c r="L42" s="148"/>
      <c r="M42" s="148"/>
      <c r="N42" s="148"/>
      <c r="O42" s="148"/>
      <c r="P42" s="148"/>
      <c r="Q42" s="154"/>
    </row>
    <row r="43" spans="2:17" x14ac:dyDescent="0.25">
      <c r="B43" s="76" t="s">
        <v>280</v>
      </c>
      <c r="C43" s="163"/>
      <c r="D43" s="157">
        <f>SUM(D12:D25)-SUM(D28:D41)</f>
        <v>3247.2400000000052</v>
      </c>
      <c r="E43" s="157">
        <f t="shared" ref="E43:Q43" si="1">SUM(E12:E25)-SUM(E28:E41)</f>
        <v>6100.9599999999991</v>
      </c>
      <c r="F43" s="157">
        <f t="shared" si="1"/>
        <v>11142.32</v>
      </c>
      <c r="G43" s="157">
        <f t="shared" si="1"/>
        <v>13161.919999999969</v>
      </c>
      <c r="H43" s="157">
        <f t="shared" si="1"/>
        <v>22660.365336736308</v>
      </c>
      <c r="I43" s="157">
        <f t="shared" si="1"/>
        <v>16058.146041436921</v>
      </c>
      <c r="J43" s="157">
        <f t="shared" si="1"/>
        <v>17883.782705467456</v>
      </c>
      <c r="K43" s="157">
        <f t="shared" si="1"/>
        <v>20040.297099391522</v>
      </c>
      <c r="L43" s="157">
        <f t="shared" si="1"/>
        <v>22317.897870364686</v>
      </c>
      <c r="M43" s="157">
        <f t="shared" si="1"/>
        <v>25009.234352686297</v>
      </c>
      <c r="N43" s="157">
        <f t="shared" si="1"/>
        <v>27850.574987070489</v>
      </c>
      <c r="O43" s="157">
        <f t="shared" si="1"/>
        <v>31209.241654572426</v>
      </c>
      <c r="P43" s="157">
        <f t="shared" si="1"/>
        <v>34753.708937209914</v>
      </c>
      <c r="Q43" s="158">
        <f t="shared" si="1"/>
        <v>38945.009818132647</v>
      </c>
    </row>
    <row r="44" spans="2:17" x14ac:dyDescent="0.25">
      <c r="B44" s="59"/>
      <c r="D44" s="169"/>
      <c r="E44" s="169"/>
      <c r="F44" s="169"/>
      <c r="G44" s="169"/>
      <c r="H44" s="148"/>
      <c r="I44" s="148"/>
      <c r="J44" s="148"/>
      <c r="K44" s="148"/>
      <c r="L44" s="148"/>
      <c r="M44" s="148"/>
      <c r="N44" s="148"/>
      <c r="O44" s="148"/>
      <c r="P44" s="148"/>
      <c r="Q44" s="154"/>
    </row>
    <row r="45" spans="2:17" x14ac:dyDescent="0.25">
      <c r="B45" s="162" t="s">
        <v>281</v>
      </c>
      <c r="D45" s="169"/>
      <c r="E45" s="169"/>
      <c r="F45" s="169"/>
      <c r="G45" s="169"/>
      <c r="H45" s="148"/>
      <c r="I45" s="148"/>
      <c r="J45" s="148"/>
      <c r="K45" s="148"/>
      <c r="L45" s="148"/>
      <c r="M45" s="148"/>
      <c r="N45" s="148"/>
      <c r="O45" s="148"/>
      <c r="P45" s="148"/>
      <c r="Q45" s="154"/>
    </row>
    <row r="46" spans="2:17" x14ac:dyDescent="0.25">
      <c r="B46" s="59"/>
      <c r="D46" s="169"/>
      <c r="E46" s="169"/>
      <c r="F46" s="169"/>
      <c r="G46" s="169"/>
      <c r="H46" s="148"/>
      <c r="I46" s="148"/>
      <c r="J46" s="148"/>
      <c r="K46" s="148"/>
      <c r="L46" s="148"/>
      <c r="M46" s="148"/>
      <c r="N46" s="148"/>
      <c r="O46" s="148"/>
      <c r="P46" s="148"/>
      <c r="Q46" s="154"/>
    </row>
    <row r="47" spans="2:17" x14ac:dyDescent="0.25">
      <c r="B47" s="59" t="s">
        <v>101</v>
      </c>
      <c r="D47" s="169">
        <f>D28</f>
        <v>22.72</v>
      </c>
      <c r="E47" s="169">
        <f t="shared" ref="E47:Q47" si="2">E28</f>
        <v>70.150000000000006</v>
      </c>
      <c r="F47" s="169">
        <f t="shared" si="2"/>
        <v>41.9</v>
      </c>
      <c r="G47" s="169">
        <f t="shared" si="2"/>
        <v>66.48</v>
      </c>
      <c r="H47" s="148">
        <f t="shared" si="2"/>
        <v>79.283887086215373</v>
      </c>
      <c r="I47" s="148">
        <f t="shared" si="2"/>
        <v>88.847102475673609</v>
      </c>
      <c r="J47" s="148">
        <f t="shared" si="2"/>
        <v>99.563832052519231</v>
      </c>
      <c r="K47" s="148">
        <f t="shared" si="2"/>
        <v>111.57321259515956</v>
      </c>
      <c r="L47" s="148">
        <f t="shared" si="2"/>
        <v>125.03116354780445</v>
      </c>
      <c r="M47" s="148">
        <f t="shared" si="2"/>
        <v>140.11241134411895</v>
      </c>
      <c r="N47" s="148">
        <f t="shared" si="2"/>
        <v>157.01275790461378</v>
      </c>
      <c r="O47" s="148">
        <f t="shared" si="2"/>
        <v>175.95162275998922</v>
      </c>
      <c r="P47" s="148">
        <f t="shared" si="2"/>
        <v>197.17489180516998</v>
      </c>
      <c r="Q47" s="154">
        <f t="shared" si="2"/>
        <v>220.95810966979718</v>
      </c>
    </row>
    <row r="48" spans="2:17" x14ac:dyDescent="0.25">
      <c r="B48" s="59" t="s">
        <v>102</v>
      </c>
      <c r="D48" s="169">
        <f>D29</f>
        <v>-1.97</v>
      </c>
      <c r="E48" s="169">
        <f t="shared" ref="E48:Q48" si="3">E29</f>
        <v>-11.81</v>
      </c>
      <c r="F48" s="169">
        <f t="shared" si="3"/>
        <v>0</v>
      </c>
      <c r="G48" s="169">
        <f t="shared" si="3"/>
        <v>0</v>
      </c>
      <c r="H48" s="148">
        <f t="shared" si="3"/>
        <v>0</v>
      </c>
      <c r="I48" s="148">
        <f t="shared" si="3"/>
        <v>0</v>
      </c>
      <c r="J48" s="148">
        <f t="shared" si="3"/>
        <v>0</v>
      </c>
      <c r="K48" s="148">
        <f t="shared" si="3"/>
        <v>0</v>
      </c>
      <c r="L48" s="148">
        <f t="shared" si="3"/>
        <v>0</v>
      </c>
      <c r="M48" s="148">
        <f t="shared" si="3"/>
        <v>0</v>
      </c>
      <c r="N48" s="148">
        <f t="shared" si="3"/>
        <v>0</v>
      </c>
      <c r="O48" s="148">
        <f t="shared" si="3"/>
        <v>0</v>
      </c>
      <c r="P48" s="148">
        <f t="shared" si="3"/>
        <v>0</v>
      </c>
      <c r="Q48" s="154">
        <f t="shared" si="3"/>
        <v>0</v>
      </c>
    </row>
    <row r="49" spans="2:17" x14ac:dyDescent="0.25">
      <c r="B49" s="59"/>
      <c r="D49" s="169"/>
      <c r="E49" s="169"/>
      <c r="F49" s="169"/>
      <c r="G49" s="169"/>
      <c r="H49" s="148"/>
      <c r="I49" s="148"/>
      <c r="J49" s="148"/>
      <c r="K49" s="148"/>
      <c r="L49" s="148"/>
      <c r="M49" s="148"/>
      <c r="N49" s="148"/>
      <c r="O49" s="148"/>
      <c r="P49" s="148"/>
      <c r="Q49" s="154"/>
    </row>
    <row r="50" spans="2:17" x14ac:dyDescent="0.25">
      <c r="B50" s="59" t="s">
        <v>29</v>
      </c>
      <c r="D50" s="169">
        <f>'Balance Sheet'!D11-'Balance Sheet'!C11</f>
        <v>-241.02</v>
      </c>
      <c r="E50" s="169">
        <f>'Balance Sheet'!E11-'Balance Sheet'!D11</f>
        <v>22.640000000000015</v>
      </c>
      <c r="F50" s="169">
        <f>'Balance Sheet'!F11-'Balance Sheet'!E11</f>
        <v>114.38999999999999</v>
      </c>
      <c r="G50" s="169">
        <f>'Balance Sheet'!G11-'Balance Sheet'!F11</f>
        <v>3.7300000000000182</v>
      </c>
      <c r="H50" s="148">
        <f>'Balance Sheet'!H11-'Balance Sheet'!G11</f>
        <v>89.448775792768458</v>
      </c>
      <c r="I50" s="148">
        <f>'Balance Sheet'!I11-'Balance Sheet'!H11</f>
        <v>48.142877340087637</v>
      </c>
      <c r="J50" s="148">
        <f>'Balance Sheet'!J11-'Balance Sheet'!I11</f>
        <v>53.949866911258312</v>
      </c>
      <c r="K50" s="148">
        <f>'Balance Sheet'!K11-'Balance Sheet'!J11</f>
        <v>60.457295046611193</v>
      </c>
      <c r="L50" s="148">
        <f>'Balance Sheet'!L11-'Balance Sheet'!K11</f>
        <v>67.749648583289286</v>
      </c>
      <c r="M50" s="148">
        <f>'Balance Sheet'!M11-'Balance Sheet'!L11</f>
        <v>75.921605153198243</v>
      </c>
      <c r="N50" s="148">
        <f>'Balance Sheet'!N11-'Balance Sheet'!M11</f>
        <v>85.079262395758633</v>
      </c>
      <c r="O50" s="148">
        <f>'Balance Sheet'!O11-'Balance Sheet'!N11</f>
        <v>95.341515438197234</v>
      </c>
      <c r="P50" s="148">
        <f>'Balance Sheet'!P11-'Balance Sheet'!O11</f>
        <v>106.84160052738287</v>
      </c>
      <c r="Q50" s="154">
        <f>'Balance Sheet'!Q11-'Balance Sheet'!P11</f>
        <v>119.72882485439823</v>
      </c>
    </row>
    <row r="51" spans="2:17" x14ac:dyDescent="0.25">
      <c r="B51" s="59" t="s">
        <v>30</v>
      </c>
      <c r="D51" s="169">
        <f>'Balance Sheet'!D12-'Balance Sheet'!C12</f>
        <v>410.46000000000004</v>
      </c>
      <c r="E51" s="169">
        <f>'Balance Sheet'!E12-'Balance Sheet'!D12</f>
        <v>699.08999999999969</v>
      </c>
      <c r="F51" s="169">
        <f>'Balance Sheet'!F12-'Balance Sheet'!E12</f>
        <v>147.44000000000005</v>
      </c>
      <c r="G51" s="169">
        <f>'Balance Sheet'!G12-'Balance Sheet'!F12</f>
        <v>-806.59999999999991</v>
      </c>
      <c r="H51" s="148">
        <f>'Balance Sheet'!H12-'Balance Sheet'!G12</f>
        <v>1264.0648541219098</v>
      </c>
      <c r="I51" s="148">
        <f>'Balance Sheet'!I12-'Balance Sheet'!H12</f>
        <v>454.13696212293144</v>
      </c>
      <c r="J51" s="148">
        <f>'Balance Sheet'!J12-'Balance Sheet'!I12</f>
        <v>508.91492199229378</v>
      </c>
      <c r="K51" s="148">
        <f>'Balance Sheet'!K12-'Balance Sheet'!J12</f>
        <v>570.30019449576503</v>
      </c>
      <c r="L51" s="148">
        <f>'Balance Sheet'!L12-'Balance Sheet'!K12</f>
        <v>639.08975309399648</v>
      </c>
      <c r="M51" s="148">
        <f>'Balance Sheet'!M12-'Balance Sheet'!L12</f>
        <v>716.17670211539917</v>
      </c>
      <c r="N51" s="148">
        <f>'Balance Sheet'!N12-'Balance Sheet'!M12</f>
        <v>802.56187205281094</v>
      </c>
      <c r="O51" s="148">
        <f>'Balance Sheet'!O12-'Balance Sheet'!N12</f>
        <v>899.36681348387083</v>
      </c>
      <c r="P51" s="148">
        <f>'Balance Sheet'!P12-'Balance Sheet'!O12</f>
        <v>1007.8483583168636</v>
      </c>
      <c r="Q51" s="154">
        <f>'Balance Sheet'!Q12-'Balance Sheet'!P12</f>
        <v>1129.4149374127519</v>
      </c>
    </row>
    <row r="52" spans="2:17" x14ac:dyDescent="0.25">
      <c r="B52" s="61" t="s">
        <v>105</v>
      </c>
      <c r="D52" s="169">
        <f>SUM('Balance Sheet'!D14,'Balance Sheet'!D17)-SUM('Balance Sheet'!C14,'Balance Sheet'!C17)+'Income Statement'!D28</f>
        <v>111.91999999999997</v>
      </c>
      <c r="E52" s="169">
        <f>SUM('Balance Sheet'!E14,'Balance Sheet'!E17)-SUM('Balance Sheet'!D14,'Balance Sheet'!D17)+'Income Statement'!E28</f>
        <v>379.71</v>
      </c>
      <c r="F52" s="169">
        <f>SUM('Balance Sheet'!F14,'Balance Sheet'!F17)-SUM('Balance Sheet'!E14,'Balance Sheet'!E17)+'Income Statement'!F28</f>
        <v>36.740000000000016</v>
      </c>
      <c r="G52" s="169">
        <f>SUM('Balance Sheet'!G14,'Balance Sheet'!G17)-SUM('Balance Sheet'!F14,'Balance Sheet'!F17)+'Income Statement'!G28</f>
        <v>14.680000000000046</v>
      </c>
      <c r="H52" s="148">
        <f>SUM('Balance Sheet'!H14,'Balance Sheet'!H17)-SUM('Balance Sheet'!G14,'Balance Sheet'!G17)+'Income Statement'!H28</f>
        <v>14.773450000000089</v>
      </c>
      <c r="I52" s="148">
        <f>SUM('Balance Sheet'!I14,'Balance Sheet'!I17)-SUM('Balance Sheet'!H14,'Balance Sheet'!H17)+'Income Statement'!I28</f>
        <v>14.837267249999861</v>
      </c>
      <c r="J52" s="148">
        <f>SUM('Balance Sheet'!J14,'Balance Sheet'!J17)-SUM('Balance Sheet'!I14,'Balance Sheet'!I17)+'Income Statement'!J28</f>
        <v>14.911453586250026</v>
      </c>
      <c r="K52" s="148">
        <f>SUM('Balance Sheet'!K14,'Balance Sheet'!K17)-SUM('Balance Sheet'!J14,'Balance Sheet'!J17)+'Income Statement'!K28</f>
        <v>14.986010854181171</v>
      </c>
      <c r="L52" s="148">
        <f>SUM('Balance Sheet'!L14,'Balance Sheet'!L17)-SUM('Balance Sheet'!K14,'Balance Sheet'!K17)+'Income Statement'!L28</f>
        <v>15.060940908452181</v>
      </c>
      <c r="M52" s="148">
        <f>SUM('Balance Sheet'!M14,'Balance Sheet'!M17)-SUM('Balance Sheet'!L14,'Balance Sheet'!L17)+'Income Statement'!M28</f>
        <v>15.136245612994223</v>
      </c>
      <c r="N52" s="148">
        <f>SUM('Balance Sheet'!N14,'Balance Sheet'!N17)-SUM('Balance Sheet'!M14,'Balance Sheet'!M17)+'Income Statement'!N28</f>
        <v>15.211926841059505</v>
      </c>
      <c r="O52" s="148">
        <f>SUM('Balance Sheet'!O14,'Balance Sheet'!O17)-SUM('Balance Sheet'!N14,'Balance Sheet'!N17)+'Income Statement'!O28</f>
        <v>15.287986475264727</v>
      </c>
      <c r="P52" s="148">
        <f>SUM('Balance Sheet'!P14,'Balance Sheet'!P17)-SUM('Balance Sheet'!O14,'Balance Sheet'!O17)+'Income Statement'!P28</f>
        <v>15.364426407641059</v>
      </c>
      <c r="Q52" s="154">
        <f>SUM('Balance Sheet'!Q14,'Balance Sheet'!Q17)-SUM('Balance Sheet'!P14,'Balance Sheet'!P17)+'Income Statement'!Q28</f>
        <v>15.441248539679084</v>
      </c>
    </row>
    <row r="53" spans="2:17" x14ac:dyDescent="0.25">
      <c r="B53" s="59" t="s">
        <v>33</v>
      </c>
      <c r="D53" s="169">
        <f>'Balance Sheet'!D15-'Balance Sheet'!C15</f>
        <v>48.050000000000011</v>
      </c>
      <c r="E53" s="169">
        <f>'Balance Sheet'!E15-'Balance Sheet'!D15</f>
        <v>-329.6</v>
      </c>
      <c r="F53" s="169">
        <f>'Balance Sheet'!F15-'Balance Sheet'!E15</f>
        <v>-3.35</v>
      </c>
      <c r="G53" s="169">
        <f>'Balance Sheet'!G15-'Balance Sheet'!F15</f>
        <v>20.87</v>
      </c>
      <c r="H53" s="148">
        <f>'Balance Sheet'!H15-'Balance Sheet'!G15</f>
        <v>20.974349999999998</v>
      </c>
      <c r="I53" s="148">
        <f>'Balance Sheet'!I15-'Balance Sheet'!H15</f>
        <v>21.079221749999995</v>
      </c>
      <c r="J53" s="148">
        <f>'Balance Sheet'!J15-'Balance Sheet'!I15</f>
        <v>21.184617858749988</v>
      </c>
      <c r="K53" s="148">
        <f>'Balance Sheet'!K15-'Balance Sheet'!J15</f>
        <v>21.290540948043741</v>
      </c>
      <c r="L53" s="148">
        <f>'Balance Sheet'!L15-'Balance Sheet'!K15</f>
        <v>21.396993652783962</v>
      </c>
      <c r="M53" s="148">
        <f>'Balance Sheet'!M15-'Balance Sheet'!L15</f>
        <v>21.503978621047878</v>
      </c>
      <c r="N53" s="148">
        <f>'Balance Sheet'!N15-'Balance Sheet'!M15</f>
        <v>21.611498514153112</v>
      </c>
      <c r="O53" s="148">
        <f>'Balance Sheet'!O15-'Balance Sheet'!N15</f>
        <v>21.719556006723877</v>
      </c>
      <c r="P53" s="148">
        <f>'Balance Sheet'!P15-'Balance Sheet'!O15</f>
        <v>21.828153786757497</v>
      </c>
      <c r="Q53" s="154">
        <f>'Balance Sheet'!Q15-'Balance Sheet'!P15</f>
        <v>21.937294555691267</v>
      </c>
    </row>
    <row r="54" spans="2:17" x14ac:dyDescent="0.25">
      <c r="B54" s="59" t="s">
        <v>34</v>
      </c>
      <c r="D54" s="169">
        <f>'Balance Sheet'!D16-'Balance Sheet'!C16</f>
        <v>0</v>
      </c>
      <c r="E54" s="169">
        <f>'Balance Sheet'!E16-'Balance Sheet'!D16</f>
        <v>-0.77</v>
      </c>
      <c r="F54" s="169">
        <f>'Balance Sheet'!F16-'Balance Sheet'!E16</f>
        <v>0</v>
      </c>
      <c r="G54" s="169">
        <f>'Balance Sheet'!G16-'Balance Sheet'!F16</f>
        <v>0</v>
      </c>
      <c r="H54" s="148">
        <f>'Balance Sheet'!H16-'Balance Sheet'!G16</f>
        <v>0</v>
      </c>
      <c r="I54" s="148">
        <f>'Balance Sheet'!I16-'Balance Sheet'!H16</f>
        <v>0</v>
      </c>
      <c r="J54" s="148">
        <f>'Balance Sheet'!J16-'Balance Sheet'!I16</f>
        <v>0</v>
      </c>
      <c r="K54" s="148">
        <f>'Balance Sheet'!K16-'Balance Sheet'!J16</f>
        <v>0</v>
      </c>
      <c r="L54" s="148">
        <f>'Balance Sheet'!L16-'Balance Sheet'!K16</f>
        <v>0</v>
      </c>
      <c r="M54" s="148">
        <f>'Balance Sheet'!M16-'Balance Sheet'!L16</f>
        <v>0</v>
      </c>
      <c r="N54" s="148">
        <f>'Balance Sheet'!N16-'Balance Sheet'!M16</f>
        <v>0</v>
      </c>
      <c r="O54" s="148">
        <f>'Balance Sheet'!O16-'Balance Sheet'!N16</f>
        <v>0</v>
      </c>
      <c r="P54" s="148">
        <f>'Balance Sheet'!P16-'Balance Sheet'!O16</f>
        <v>0</v>
      </c>
      <c r="Q54" s="154">
        <f>'Balance Sheet'!Q16-'Balance Sheet'!P16</f>
        <v>0</v>
      </c>
    </row>
    <row r="55" spans="2:17" x14ac:dyDescent="0.25">
      <c r="B55" s="59" t="s">
        <v>36</v>
      </c>
      <c r="D55" s="169">
        <f>'Balance Sheet'!D18-'Balance Sheet'!C18</f>
        <v>-29.700000000000003</v>
      </c>
      <c r="E55" s="169">
        <f>'Balance Sheet'!E18-'Balance Sheet'!D18</f>
        <v>-33.989999999999995</v>
      </c>
      <c r="F55" s="169">
        <f>'Balance Sheet'!F18-'Balance Sheet'!E18</f>
        <v>5.7199999999999989</v>
      </c>
      <c r="G55" s="169">
        <f>'Balance Sheet'!G18-'Balance Sheet'!F18</f>
        <v>42.629999999999995</v>
      </c>
      <c r="H55" s="148">
        <f>'Balance Sheet'!H18-'Balance Sheet'!G18</f>
        <v>25.312696598580004</v>
      </c>
      <c r="I55" s="148">
        <f>'Balance Sheet'!I18-'Balance Sheet'!H18</f>
        <v>17.169363368981408</v>
      </c>
      <c r="J55" s="148">
        <f>'Balance Sheet'!J18-'Balance Sheet'!I18</f>
        <v>19.240330447309589</v>
      </c>
      <c r="K55" s="148">
        <f>'Balance Sheet'!K18-'Balance Sheet'!J18</f>
        <v>21.561097389927966</v>
      </c>
      <c r="L55" s="148">
        <f>'Balance Sheet'!L18-'Balance Sheet'!K18</f>
        <v>24.161795034188799</v>
      </c>
      <c r="M55" s="148">
        <f>'Balance Sheet'!M18-'Balance Sheet'!L18</f>
        <v>27.076188596359003</v>
      </c>
      <c r="N55" s="148">
        <f>'Balance Sheet'!N18-'Balance Sheet'!M18</f>
        <v>30.342116050079738</v>
      </c>
      <c r="O55" s="148">
        <f>'Balance Sheet'!O18-'Balance Sheet'!N18</f>
        <v>34.001979381998865</v>
      </c>
      <c r="P55" s="148">
        <f>'Balance Sheet'!P18-'Balance Sheet'!O18</f>
        <v>38.103295102611582</v>
      </c>
      <c r="Q55" s="154">
        <f>'Balance Sheet'!Q18-'Balance Sheet'!P18</f>
        <v>42.699311159671311</v>
      </c>
    </row>
    <row r="56" spans="2:17" x14ac:dyDescent="0.25">
      <c r="B56" s="59" t="s">
        <v>37</v>
      </c>
      <c r="D56" s="169">
        <f>'Balance Sheet'!D19-'Balance Sheet'!C19</f>
        <v>-0.73000000000001819</v>
      </c>
      <c r="E56" s="169">
        <f>'Balance Sheet'!E19-'Balance Sheet'!D19</f>
        <v>-257.74</v>
      </c>
      <c r="F56" s="169">
        <f>'Balance Sheet'!F19-'Balance Sheet'!E19</f>
        <v>0</v>
      </c>
      <c r="G56" s="169">
        <f>'Balance Sheet'!G19-'Balance Sheet'!F19</f>
        <v>0</v>
      </c>
      <c r="H56" s="148">
        <f>'Balance Sheet'!H19-'Balance Sheet'!G19</f>
        <v>0</v>
      </c>
      <c r="I56" s="148">
        <f>'Balance Sheet'!I19-'Balance Sheet'!H19</f>
        <v>0</v>
      </c>
      <c r="J56" s="148">
        <f>'Balance Sheet'!J19-'Balance Sheet'!I19</f>
        <v>0</v>
      </c>
      <c r="K56" s="148">
        <f>'Balance Sheet'!K19-'Balance Sheet'!J19</f>
        <v>0</v>
      </c>
      <c r="L56" s="148">
        <f>'Balance Sheet'!L19-'Balance Sheet'!K19</f>
        <v>0</v>
      </c>
      <c r="M56" s="148">
        <f>'Balance Sheet'!M19-'Balance Sheet'!L19</f>
        <v>0</v>
      </c>
      <c r="N56" s="148">
        <f>'Balance Sheet'!N19-'Balance Sheet'!M19</f>
        <v>0</v>
      </c>
      <c r="O56" s="148">
        <f>'Balance Sheet'!O19-'Balance Sheet'!N19</f>
        <v>0</v>
      </c>
      <c r="P56" s="148">
        <f>'Balance Sheet'!P19-'Balance Sheet'!O19</f>
        <v>0</v>
      </c>
      <c r="Q56" s="154">
        <f>'Balance Sheet'!Q19-'Balance Sheet'!P19</f>
        <v>0</v>
      </c>
    </row>
    <row r="57" spans="2:17" x14ac:dyDescent="0.25">
      <c r="B57" s="59"/>
      <c r="D57" s="169"/>
      <c r="E57" s="169"/>
      <c r="F57" s="169"/>
      <c r="G57" s="169"/>
      <c r="H57" s="148"/>
      <c r="I57" s="148"/>
      <c r="J57" s="148"/>
      <c r="K57" s="148"/>
      <c r="L57" s="148"/>
      <c r="M57" s="148"/>
      <c r="N57" s="148"/>
      <c r="O57" s="148"/>
      <c r="P57" s="148"/>
      <c r="Q57" s="154"/>
    </row>
    <row r="58" spans="2:17" x14ac:dyDescent="0.25">
      <c r="B58" s="76" t="s">
        <v>281</v>
      </c>
      <c r="C58" s="163"/>
      <c r="D58" s="157">
        <f>SUM(D47:D48)-SUM(D50:D56)</f>
        <v>-278.23</v>
      </c>
      <c r="E58" s="157">
        <f t="shared" ref="E58:Q58" si="4">SUM(E47:E48)-SUM(E50:E56)</f>
        <v>-420.99999999999955</v>
      </c>
      <c r="F58" s="157">
        <f t="shared" si="4"/>
        <v>-259.04000000000008</v>
      </c>
      <c r="G58" s="157">
        <f t="shared" si="4"/>
        <v>791.16999999999985</v>
      </c>
      <c r="H58" s="157">
        <f t="shared" si="4"/>
        <v>-1335.2902394270429</v>
      </c>
      <c r="I58" s="157">
        <f t="shared" si="4"/>
        <v>-466.51858935632674</v>
      </c>
      <c r="J58" s="157">
        <f t="shared" si="4"/>
        <v>-518.63735874334247</v>
      </c>
      <c r="K58" s="157">
        <f t="shared" si="4"/>
        <v>-577.02192613936938</v>
      </c>
      <c r="L58" s="157">
        <f t="shared" si="4"/>
        <v>-642.42796772490624</v>
      </c>
      <c r="M58" s="157">
        <f t="shared" si="4"/>
        <v>-715.70230875487948</v>
      </c>
      <c r="N58" s="157">
        <f t="shared" si="4"/>
        <v>-797.79391794924823</v>
      </c>
      <c r="O58" s="157">
        <f t="shared" si="4"/>
        <v>-889.76622802606607</v>
      </c>
      <c r="P58" s="157">
        <f t="shared" si="4"/>
        <v>-992.81094233608667</v>
      </c>
      <c r="Q58" s="158">
        <f t="shared" si="4"/>
        <v>-1108.2635068523946</v>
      </c>
    </row>
    <row r="59" spans="2:17" x14ac:dyDescent="0.25">
      <c r="B59" s="59"/>
      <c r="D59" s="169"/>
      <c r="E59" s="169"/>
      <c r="F59" s="169"/>
      <c r="G59" s="169"/>
      <c r="H59" s="148"/>
      <c r="I59" s="148"/>
      <c r="J59" s="148"/>
      <c r="K59" s="148"/>
      <c r="L59" s="148"/>
      <c r="M59" s="148"/>
      <c r="N59" s="148"/>
      <c r="O59" s="148"/>
      <c r="P59" s="148"/>
      <c r="Q59" s="154"/>
    </row>
    <row r="60" spans="2:17" x14ac:dyDescent="0.25">
      <c r="B60" s="162" t="s">
        <v>282</v>
      </c>
      <c r="D60" s="169"/>
      <c r="E60" s="169"/>
      <c r="F60" s="169"/>
      <c r="G60" s="169"/>
      <c r="H60" s="148"/>
      <c r="I60" s="148"/>
      <c r="J60" s="148"/>
      <c r="K60" s="148"/>
      <c r="L60" s="148"/>
      <c r="M60" s="148"/>
      <c r="N60" s="148"/>
      <c r="O60" s="148"/>
      <c r="P60" s="148"/>
      <c r="Q60" s="154"/>
    </row>
    <row r="61" spans="2:17" x14ac:dyDescent="0.25">
      <c r="B61" s="61"/>
      <c r="D61" s="169"/>
      <c r="E61" s="169"/>
      <c r="F61" s="169"/>
      <c r="G61" s="169"/>
      <c r="H61" s="148"/>
      <c r="I61" s="148"/>
      <c r="J61" s="148"/>
      <c r="K61" s="148"/>
      <c r="L61" s="148"/>
      <c r="M61" s="148"/>
      <c r="N61" s="148"/>
      <c r="O61" s="148"/>
      <c r="P61" s="148"/>
      <c r="Q61" s="154"/>
    </row>
    <row r="62" spans="2:17" x14ac:dyDescent="0.25">
      <c r="B62" s="162" t="s">
        <v>106</v>
      </c>
      <c r="D62" s="169"/>
      <c r="E62" s="169"/>
      <c r="F62" s="169"/>
      <c r="G62" s="169"/>
      <c r="H62" s="148"/>
      <c r="I62" s="148"/>
      <c r="J62" s="148"/>
      <c r="K62" s="148"/>
      <c r="L62" s="148"/>
      <c r="M62" s="148"/>
      <c r="N62" s="148"/>
      <c r="O62" s="148"/>
      <c r="P62" s="148"/>
      <c r="Q62" s="154"/>
    </row>
    <row r="63" spans="2:17" x14ac:dyDescent="0.25">
      <c r="B63" s="59" t="s">
        <v>61</v>
      </c>
      <c r="D63" s="169">
        <f>'Balance Sheet'!D48-'Balance Sheet'!C48</f>
        <v>14.4</v>
      </c>
      <c r="E63" s="169">
        <f>'Balance Sheet'!E48-'Balance Sheet'!D48</f>
        <v>-4.1500000000000004</v>
      </c>
      <c r="F63" s="169">
        <f>'Balance Sheet'!F48-'Balance Sheet'!E48</f>
        <v>0.40000000000000036</v>
      </c>
      <c r="G63" s="169">
        <f>'Balance Sheet'!G48-'Balance Sheet'!F48</f>
        <v>55.860000000000007</v>
      </c>
      <c r="H63" s="148">
        <f>'Balance Sheet'!H48-'Balance Sheet'!G48</f>
        <v>-41.710840956072019</v>
      </c>
      <c r="I63" s="148">
        <f>'Balance Sheet'!I48-'Balance Sheet'!H48</f>
        <v>2.9912723521819835</v>
      </c>
      <c r="J63" s="148">
        <f>'Balance Sheet'!J48-'Balance Sheet'!I48</f>
        <v>3.3520793565275255</v>
      </c>
      <c r="K63" s="148">
        <f>'Balance Sheet'!K48-'Balance Sheet'!J48</f>
        <v>3.7564068695589015</v>
      </c>
      <c r="L63" s="148">
        <f>'Balance Sheet'!L48-'Balance Sheet'!K48</f>
        <v>4.2095043311524165</v>
      </c>
      <c r="M63" s="148">
        <f>'Balance Sheet'!M48-'Balance Sheet'!L48</f>
        <v>4.7172543681541725</v>
      </c>
      <c r="N63" s="148">
        <f>'Balance Sheet'!N48-'Balance Sheet'!M48</f>
        <v>5.2862491693357114</v>
      </c>
      <c r="O63" s="148">
        <f>'Balance Sheet'!O48-'Balance Sheet'!N48</f>
        <v>5.9238760726903408</v>
      </c>
      <c r="P63" s="148">
        <f>'Balance Sheet'!P48-'Balance Sheet'!O48</f>
        <v>6.6384134762612987</v>
      </c>
      <c r="Q63" s="154">
        <f>'Balance Sheet'!Q48-'Balance Sheet'!P48</f>
        <v>7.4391383177254014</v>
      </c>
    </row>
    <row r="64" spans="2:17" x14ac:dyDescent="0.25">
      <c r="B64" s="59" t="s">
        <v>50</v>
      </c>
      <c r="D64" s="169">
        <f>'Balance Sheet'!D49-'Balance Sheet'!C49</f>
        <v>-2.4099999999999966</v>
      </c>
      <c r="E64" s="169">
        <f>'Balance Sheet'!E49-'Balance Sheet'!D49</f>
        <v>0.98999999999999488</v>
      </c>
      <c r="F64" s="169">
        <f>'Balance Sheet'!F49-'Balance Sheet'!E49</f>
        <v>5.9500000000000028</v>
      </c>
      <c r="G64" s="169">
        <f>'Balance Sheet'!G49-'Balance Sheet'!F49</f>
        <v>25.72</v>
      </c>
      <c r="H64" s="148">
        <f>'Balance Sheet'!H49-'Balance Sheet'!G49</f>
        <v>21.184354771557167</v>
      </c>
      <c r="I64" s="148">
        <f>'Balance Sheet'!I49-'Balance Sheet'!H49</f>
        <v>19.121193534655418</v>
      </c>
      <c r="J64" s="148">
        <f>'Balance Sheet'!J49-'Balance Sheet'!I49</f>
        <v>21.427590193494524</v>
      </c>
      <c r="K64" s="148">
        <f>'Balance Sheet'!K49-'Balance Sheet'!J49</f>
        <v>24.012184211628437</v>
      </c>
      <c r="L64" s="148">
        <f>'Balance Sheet'!L49-'Balance Sheet'!K49</f>
        <v>26.90853172972416</v>
      </c>
      <c r="M64" s="148">
        <f>'Balance Sheet'!M49-'Balance Sheet'!L49</f>
        <v>30.154236427143957</v>
      </c>
      <c r="N64" s="148">
        <f>'Balance Sheet'!N49-'Balance Sheet'!M49</f>
        <v>33.791437735700413</v>
      </c>
      <c r="O64" s="148">
        <f>'Balance Sheet'!O49-'Balance Sheet'!N49</f>
        <v>37.867357941713465</v>
      </c>
      <c r="P64" s="148">
        <f>'Balance Sheet'!P49-'Balance Sheet'!O49</f>
        <v>42.434915279467816</v>
      </c>
      <c r="Q64" s="154">
        <f>'Balance Sheet'!Q49-'Balance Sheet'!P49</f>
        <v>47.553410975947315</v>
      </c>
    </row>
    <row r="65" spans="2:18" x14ac:dyDescent="0.25">
      <c r="B65" s="59" t="s">
        <v>51</v>
      </c>
      <c r="D65" s="169">
        <f>'Balance Sheet'!D50-'Balance Sheet'!C50</f>
        <v>47.019999999999996</v>
      </c>
      <c r="E65" s="169">
        <f>'Balance Sheet'!E50-'Balance Sheet'!D50</f>
        <v>-41.120000000000005</v>
      </c>
      <c r="F65" s="169">
        <f>'Balance Sheet'!F50-'Balance Sheet'!E50</f>
        <v>17.320000000000007</v>
      </c>
      <c r="G65" s="169">
        <f>'Balance Sheet'!G50-'Balance Sheet'!F50</f>
        <v>153.34000000000003</v>
      </c>
      <c r="H65" s="148">
        <f>'Balance Sheet'!H50-'Balance Sheet'!G50</f>
        <v>-80.589906094373873</v>
      </c>
      <c r="I65" s="148">
        <f>'Balance Sheet'!I50-'Balance Sheet'!H50</f>
        <v>21.615099345054688</v>
      </c>
      <c r="J65" s="148">
        <f>'Balance Sheet'!J50-'Balance Sheet'!I50</f>
        <v>24.22231070032683</v>
      </c>
      <c r="K65" s="148">
        <f>'Balance Sheet'!K50-'Balance Sheet'!J50</f>
        <v>27.144003656749504</v>
      </c>
      <c r="L65" s="148">
        <f>'Balance Sheet'!L50-'Balance Sheet'!K50</f>
        <v>30.418110957006547</v>
      </c>
      <c r="M65" s="148">
        <f>'Balance Sheet'!M50-'Balance Sheet'!L50</f>
        <v>34.087140787821625</v>
      </c>
      <c r="N65" s="148">
        <f>'Balance Sheet'!N50-'Balance Sheet'!M50</f>
        <v>38.198728669609466</v>
      </c>
      <c r="O65" s="148">
        <f>'Balance Sheet'!O50-'Balance Sheet'!N50</f>
        <v>42.806255915009388</v>
      </c>
      <c r="P65" s="148">
        <f>'Balance Sheet'!P50-'Balance Sheet'!O50</f>
        <v>47.969542685830334</v>
      </c>
      <c r="Q65" s="154">
        <f>'Balance Sheet'!Q50-'Balance Sheet'!P50</f>
        <v>53.755624646463161</v>
      </c>
    </row>
    <row r="66" spans="2:18" x14ac:dyDescent="0.25">
      <c r="B66" s="59" t="s">
        <v>41</v>
      </c>
      <c r="D66" s="169">
        <f>'Balance Sheet'!D39-'Balance Sheet'!C39</f>
        <v>0</v>
      </c>
      <c r="E66" s="169">
        <f>'Balance Sheet'!E39-'Balance Sheet'!D39</f>
        <v>0</v>
      </c>
      <c r="F66" s="169">
        <f>'Balance Sheet'!F39-'Balance Sheet'!E39</f>
        <v>658.29999999999973</v>
      </c>
      <c r="G66" s="169">
        <f>'Balance Sheet'!G39-'Balance Sheet'!F39</f>
        <v>0</v>
      </c>
      <c r="H66" s="148">
        <f>'Balance Sheet'!H39-'Balance Sheet'!G39</f>
        <v>0</v>
      </c>
      <c r="I66" s="148">
        <f>'Balance Sheet'!I39-'Balance Sheet'!H39</f>
        <v>0</v>
      </c>
      <c r="J66" s="148">
        <f>'Balance Sheet'!J39-'Balance Sheet'!I39</f>
        <v>0</v>
      </c>
      <c r="K66" s="148">
        <f>'Balance Sheet'!K39-'Balance Sheet'!J39</f>
        <v>0</v>
      </c>
      <c r="L66" s="148">
        <f>'Balance Sheet'!L39-'Balance Sheet'!K39</f>
        <v>0</v>
      </c>
      <c r="M66" s="148">
        <f>'Balance Sheet'!M39-'Balance Sheet'!L39</f>
        <v>0</v>
      </c>
      <c r="N66" s="148">
        <f>'Balance Sheet'!N39-'Balance Sheet'!M39</f>
        <v>0</v>
      </c>
      <c r="O66" s="148">
        <f>'Balance Sheet'!O39-'Balance Sheet'!N39</f>
        <v>0</v>
      </c>
      <c r="P66" s="148">
        <f>'Balance Sheet'!P39-'Balance Sheet'!O39</f>
        <v>0</v>
      </c>
      <c r="Q66" s="154">
        <f>'Balance Sheet'!Q39-'Balance Sheet'!P39</f>
        <v>0</v>
      </c>
    </row>
    <row r="67" spans="2:18" x14ac:dyDescent="0.25">
      <c r="B67" s="59" t="s">
        <v>60</v>
      </c>
      <c r="D67" s="169">
        <f>'Balance Sheet'!D40-'Balance Sheet'!C40</f>
        <v>558.4</v>
      </c>
      <c r="E67" s="169">
        <f>'Balance Sheet'!E40-'Balance Sheet'!D40</f>
        <v>0</v>
      </c>
      <c r="F67" s="169">
        <f>'Balance Sheet'!F40-'Balance Sheet'!E40</f>
        <v>0</v>
      </c>
      <c r="G67" s="169">
        <f>'Balance Sheet'!G40-'Balance Sheet'!F40</f>
        <v>0</v>
      </c>
      <c r="H67" s="148">
        <f>'Balance Sheet'!H40-'Balance Sheet'!G40</f>
        <v>0</v>
      </c>
      <c r="I67" s="148">
        <f>'Balance Sheet'!I40-'Balance Sheet'!H40</f>
        <v>0</v>
      </c>
      <c r="J67" s="148">
        <f>'Balance Sheet'!J40-'Balance Sheet'!I40</f>
        <v>0</v>
      </c>
      <c r="K67" s="148">
        <f>'Balance Sheet'!K40-'Balance Sheet'!J40</f>
        <v>0</v>
      </c>
      <c r="L67" s="148">
        <f>'Balance Sheet'!L40-'Balance Sheet'!K40</f>
        <v>0</v>
      </c>
      <c r="M67" s="148">
        <f>'Balance Sheet'!M40-'Balance Sheet'!L40</f>
        <v>0</v>
      </c>
      <c r="N67" s="148">
        <f>'Balance Sheet'!N40-'Balance Sheet'!M40</f>
        <v>0</v>
      </c>
      <c r="O67" s="148">
        <f>'Balance Sheet'!O40-'Balance Sheet'!N40</f>
        <v>0</v>
      </c>
      <c r="P67" s="148">
        <f>'Balance Sheet'!P40-'Balance Sheet'!O40</f>
        <v>0</v>
      </c>
      <c r="Q67" s="154">
        <f>'Balance Sheet'!Q40-'Balance Sheet'!P40</f>
        <v>0</v>
      </c>
    </row>
    <row r="68" spans="2:18" x14ac:dyDescent="0.25">
      <c r="B68" s="59" t="s">
        <v>42</v>
      </c>
      <c r="D68" s="169">
        <f>'Balance Sheet'!D41-'Balance Sheet'!C41-'Income Statement'!D42</f>
        <v>-569.14000000000487</v>
      </c>
      <c r="E68" s="169">
        <f>'Balance Sheet'!E41-'Balance Sheet'!D41-'Income Statement'!E42</f>
        <v>-2485.529999999997</v>
      </c>
      <c r="F68" s="169">
        <f>'Balance Sheet'!F41-'Balance Sheet'!E41-'Income Statement'!F42</f>
        <v>-5018.8699999999899</v>
      </c>
      <c r="G68" s="169">
        <f>'Balance Sheet'!G41-'Balance Sheet'!F41-'Income Statement'!G42</f>
        <v>-2915.7299999999959</v>
      </c>
      <c r="H68" s="148">
        <f>'Balance Sheet'!H41-'Balance Sheet'!G41-'Income Statement'!H42</f>
        <v>-3382.4956909886787</v>
      </c>
      <c r="I68" s="148">
        <f>'Balance Sheet'!I41-'Balance Sheet'!H41-'Income Statement'!I42</f>
        <v>-3791.0268209432197</v>
      </c>
      <c r="J68" s="148">
        <f>'Balance Sheet'!J41-'Balance Sheet'!I41-'Income Statement'!J42</f>
        <v>-4221.6923683261266</v>
      </c>
      <c r="K68" s="148">
        <f>'Balance Sheet'!K41-'Balance Sheet'!J41-'Income Statement'!K42</f>
        <v>-4731.4492370153639</v>
      </c>
      <c r="L68" s="148">
        <f>'Balance Sheet'!L41-'Balance Sheet'!K41-'Income Statement'!L42</f>
        <v>-5268.5995820299759</v>
      </c>
      <c r="M68" s="148">
        <f>'Balance Sheet'!M41-'Balance Sheet'!L41-'Income Statement'!M42</f>
        <v>-5904.6362003806717</v>
      </c>
      <c r="N68" s="148">
        <f>'Balance Sheet'!N41-'Balance Sheet'!M41-'Income Statement'!N42</f>
        <v>-6574.5693573256322</v>
      </c>
      <c r="O68" s="148">
        <f>'Balance Sheet'!O41-'Balance Sheet'!N41-'Income Statement'!O42</f>
        <v>-7368.133812465865</v>
      </c>
      <c r="P68" s="148">
        <f>'Balance Sheet'!P41-'Balance Sheet'!O41-'Income Statement'!P42</f>
        <v>-8203.6342048744991</v>
      </c>
      <c r="Q68" s="154">
        <f>'Balance Sheet'!Q41-'Balance Sheet'!P41-'Income Statement'!Q42</f>
        <v>-9193.6981791472936</v>
      </c>
    </row>
    <row r="69" spans="2:18" x14ac:dyDescent="0.25">
      <c r="B69" s="59"/>
      <c r="D69" s="169"/>
      <c r="E69" s="169"/>
      <c r="F69" s="169"/>
      <c r="G69" s="169"/>
      <c r="H69" s="148"/>
      <c r="I69" s="148"/>
      <c r="J69" s="148"/>
      <c r="K69" s="148"/>
      <c r="L69" s="148"/>
      <c r="M69" s="148"/>
      <c r="N69" s="148"/>
      <c r="O69" s="148"/>
      <c r="P69" s="148"/>
      <c r="Q69" s="154"/>
    </row>
    <row r="70" spans="2:18" x14ac:dyDescent="0.25">
      <c r="B70" s="59" t="s">
        <v>107</v>
      </c>
      <c r="D70" s="169"/>
      <c r="E70" s="169"/>
      <c r="F70" s="169"/>
      <c r="G70" s="169"/>
      <c r="H70" s="148"/>
      <c r="I70" s="148"/>
      <c r="J70" s="148"/>
      <c r="K70" s="148"/>
      <c r="L70" s="148"/>
      <c r="M70" s="148"/>
      <c r="N70" s="148"/>
      <c r="O70" s="148"/>
      <c r="P70" s="148"/>
      <c r="Q70" s="154"/>
    </row>
    <row r="71" spans="2:18" x14ac:dyDescent="0.25">
      <c r="B71" s="59" t="s">
        <v>108</v>
      </c>
      <c r="D71" s="169">
        <f>'Income Statement'!D32</f>
        <v>3555.75</v>
      </c>
      <c r="E71" s="169">
        <f>'Income Statement'!E32</f>
        <v>4188.41</v>
      </c>
      <c r="F71" s="169">
        <f>'Income Statement'!F32</f>
        <v>6638.67</v>
      </c>
      <c r="G71" s="169">
        <f>'Income Statement'!G32</f>
        <v>11058.23</v>
      </c>
      <c r="H71" s="148">
        <f>'Income Statement'!H32</f>
        <v>7545.3720670390858</v>
      </c>
      <c r="I71" s="148">
        <f>'Income Statement'!I32</f>
        <v>8455.4941728363192</v>
      </c>
      <c r="J71" s="148">
        <f>'Income Statement'!J32</f>
        <v>9475.3951258661764</v>
      </c>
      <c r="K71" s="148">
        <f>'Income Statement'!K32</f>
        <v>10618.316440891304</v>
      </c>
      <c r="L71" s="148">
        <f>'Income Statement'!L32</f>
        <v>11899.096823004076</v>
      </c>
      <c r="M71" s="148">
        <f>'Income Statement'!M32</f>
        <v>13334.364820581744</v>
      </c>
      <c r="N71" s="148">
        <f>'Income Statement'!N32</f>
        <v>14942.754716023799</v>
      </c>
      <c r="O71" s="148">
        <f>'Income Statement'!O32</f>
        <v>16745.148457210886</v>
      </c>
      <c r="P71" s="148">
        <f>'Income Statement'!P32</f>
        <v>18764.946770714669</v>
      </c>
      <c r="Q71" s="154">
        <f>'Income Statement'!Q32</f>
        <v>21028.372976658895</v>
      </c>
    </row>
    <row r="72" spans="2:18" x14ac:dyDescent="0.25">
      <c r="B72" s="59"/>
      <c r="D72" s="148"/>
      <c r="E72" s="148"/>
      <c r="F72" s="148"/>
      <c r="G72" s="148"/>
      <c r="H72" s="148"/>
      <c r="I72" s="148"/>
      <c r="J72" s="148"/>
      <c r="K72" s="148"/>
      <c r="L72" s="148"/>
      <c r="M72" s="148"/>
      <c r="N72" s="148"/>
      <c r="O72" s="148"/>
      <c r="P72" s="148"/>
      <c r="Q72" s="154"/>
    </row>
    <row r="73" spans="2:18" x14ac:dyDescent="0.25">
      <c r="B73" s="76" t="s">
        <v>282</v>
      </c>
      <c r="C73" s="163"/>
      <c r="D73" s="157">
        <f>SUM(D63:D68)-D71</f>
        <v>-3507.480000000005</v>
      </c>
      <c r="E73" s="157">
        <f t="shared" ref="E73:Q73" si="5">SUM(E63:E68)-E71</f>
        <v>-6718.2199999999975</v>
      </c>
      <c r="F73" s="157">
        <f t="shared" si="5"/>
        <v>-10975.569999999991</v>
      </c>
      <c r="G73" s="157">
        <f t="shared" si="5"/>
        <v>-13739.039999999995</v>
      </c>
      <c r="H73" s="157">
        <f t="shared" si="5"/>
        <v>-11028.984150306653</v>
      </c>
      <c r="I73" s="157">
        <f t="shared" si="5"/>
        <v>-12202.793428547648</v>
      </c>
      <c r="J73" s="157">
        <f t="shared" si="5"/>
        <v>-13648.085513941955</v>
      </c>
      <c r="K73" s="157">
        <f t="shared" si="5"/>
        <v>-15294.853083168731</v>
      </c>
      <c r="L73" s="157">
        <f t="shared" si="5"/>
        <v>-17106.160258016171</v>
      </c>
      <c r="M73" s="157">
        <f t="shared" si="5"/>
        <v>-19170.042389379298</v>
      </c>
      <c r="N73" s="157">
        <f t="shared" si="5"/>
        <v>-21440.047657774787</v>
      </c>
      <c r="O73" s="157">
        <f t="shared" si="5"/>
        <v>-24026.684779747338</v>
      </c>
      <c r="P73" s="157">
        <f t="shared" si="5"/>
        <v>-26871.538104147607</v>
      </c>
      <c r="Q73" s="158">
        <f t="shared" si="5"/>
        <v>-30113.322981866055</v>
      </c>
    </row>
    <row r="74" spans="2:18" x14ac:dyDescent="0.25">
      <c r="B74" s="59"/>
      <c r="D74" s="148"/>
      <c r="E74" s="148"/>
      <c r="F74" s="148"/>
      <c r="G74" s="148"/>
      <c r="H74" s="147"/>
      <c r="I74" s="147"/>
      <c r="J74" s="147"/>
      <c r="K74" s="147"/>
      <c r="L74" s="147"/>
      <c r="M74" s="147"/>
      <c r="N74" s="147"/>
      <c r="O74" s="147"/>
      <c r="P74" s="147"/>
      <c r="Q74" s="170"/>
    </row>
    <row r="75" spans="2:18" x14ac:dyDescent="0.25">
      <c r="B75" s="76" t="s">
        <v>283</v>
      </c>
      <c r="C75" s="163"/>
      <c r="D75" s="157">
        <f>D43+D58+D73</f>
        <v>-538.4699999999998</v>
      </c>
      <c r="E75" s="157">
        <f t="shared" ref="E75:Q75" si="6">E43+E58+E73</f>
        <v>-1038.2599999999984</v>
      </c>
      <c r="F75" s="157">
        <f t="shared" si="6"/>
        <v>-92.289999999991778</v>
      </c>
      <c r="G75" s="157">
        <f t="shared" si="6"/>
        <v>214.04999999997381</v>
      </c>
      <c r="H75" s="157">
        <f t="shared" si="6"/>
        <v>10296.090947002613</v>
      </c>
      <c r="I75" s="157">
        <f t="shared" si="6"/>
        <v>3388.834023532947</v>
      </c>
      <c r="J75" s="157">
        <f t="shared" si="6"/>
        <v>3717.0598327821608</v>
      </c>
      <c r="K75" s="157">
        <f t="shared" si="6"/>
        <v>4168.4220900834225</v>
      </c>
      <c r="L75" s="157">
        <f t="shared" si="6"/>
        <v>4569.3096446236086</v>
      </c>
      <c r="M75" s="157">
        <f t="shared" si="6"/>
        <v>5123.4896545521187</v>
      </c>
      <c r="N75" s="157">
        <f t="shared" si="6"/>
        <v>5612.7334113464531</v>
      </c>
      <c r="O75" s="157">
        <f t="shared" si="6"/>
        <v>6292.7906467990215</v>
      </c>
      <c r="P75" s="157">
        <f t="shared" si="6"/>
        <v>6889.3598907262203</v>
      </c>
      <c r="Q75" s="158">
        <f t="shared" si="6"/>
        <v>7723.4233294141959</v>
      </c>
    </row>
    <row r="76" spans="2:18" x14ac:dyDescent="0.25">
      <c r="B76" s="164" t="s">
        <v>109</v>
      </c>
      <c r="C76" s="165"/>
      <c r="D76" s="166">
        <f>C77</f>
        <v>1717.71</v>
      </c>
      <c r="E76" s="166">
        <f t="shared" ref="E76:Q76" si="7">D77</f>
        <v>1179.2400000000002</v>
      </c>
      <c r="F76" s="166">
        <f t="shared" si="7"/>
        <v>140.98000000000184</v>
      </c>
      <c r="G76" s="166">
        <f t="shared" si="7"/>
        <v>48.690000000010059</v>
      </c>
      <c r="H76" s="167">
        <f t="shared" si="7"/>
        <v>262.73999999998387</v>
      </c>
      <c r="I76" s="167">
        <f t="shared" si="7"/>
        <v>10558.830947002596</v>
      </c>
      <c r="J76" s="167">
        <f t="shared" si="7"/>
        <v>13947.664970535543</v>
      </c>
      <c r="K76" s="167">
        <f t="shared" si="7"/>
        <v>17664.724803317702</v>
      </c>
      <c r="L76" s="167">
        <f t="shared" si="7"/>
        <v>21833.146893401125</v>
      </c>
      <c r="M76" s="167">
        <f t="shared" si="7"/>
        <v>26402.456538024733</v>
      </c>
      <c r="N76" s="167">
        <f t="shared" si="7"/>
        <v>31525.946192576852</v>
      </c>
      <c r="O76" s="167">
        <f t="shared" si="7"/>
        <v>37138.679603923301</v>
      </c>
      <c r="P76" s="167">
        <f t="shared" si="7"/>
        <v>43431.470250722326</v>
      </c>
      <c r="Q76" s="171">
        <f t="shared" si="7"/>
        <v>50320.830141448547</v>
      </c>
    </row>
    <row r="77" spans="2:18" x14ac:dyDescent="0.25">
      <c r="B77" s="164" t="s">
        <v>110</v>
      </c>
      <c r="C77" s="168">
        <f>'Balance Sheet'!C24</f>
        <v>1717.71</v>
      </c>
      <c r="D77" s="166">
        <f>SUM(D75:D76)</f>
        <v>1179.2400000000002</v>
      </c>
      <c r="E77" s="166">
        <f t="shared" ref="E77:Q77" si="8">SUM(E75:E76)</f>
        <v>140.98000000000184</v>
      </c>
      <c r="F77" s="166">
        <f t="shared" si="8"/>
        <v>48.690000000010059</v>
      </c>
      <c r="G77" s="166">
        <f t="shared" si="8"/>
        <v>262.73999999998387</v>
      </c>
      <c r="H77" s="167">
        <f t="shared" si="8"/>
        <v>10558.830947002596</v>
      </c>
      <c r="I77" s="167">
        <f t="shared" si="8"/>
        <v>13947.664970535543</v>
      </c>
      <c r="J77" s="167">
        <f t="shared" si="8"/>
        <v>17664.724803317702</v>
      </c>
      <c r="K77" s="167">
        <f t="shared" si="8"/>
        <v>21833.146893401125</v>
      </c>
      <c r="L77" s="167">
        <f t="shared" si="8"/>
        <v>26402.456538024733</v>
      </c>
      <c r="M77" s="167">
        <f t="shared" si="8"/>
        <v>31525.946192576852</v>
      </c>
      <c r="N77" s="167">
        <f t="shared" si="8"/>
        <v>37138.679603923301</v>
      </c>
      <c r="O77" s="167">
        <f t="shared" si="8"/>
        <v>43431.470250722326</v>
      </c>
      <c r="P77" s="167">
        <f t="shared" si="8"/>
        <v>50320.830141448547</v>
      </c>
      <c r="Q77" s="171">
        <f t="shared" si="8"/>
        <v>58044.253470862743</v>
      </c>
    </row>
    <row r="78" spans="2:18" x14ac:dyDescent="0.25">
      <c r="B78" s="77"/>
      <c r="C78" s="282"/>
      <c r="D78" s="282"/>
      <c r="E78" s="282"/>
      <c r="F78" s="282"/>
      <c r="G78" s="282"/>
      <c r="H78" s="282"/>
      <c r="I78" s="282"/>
      <c r="J78" s="282"/>
      <c r="K78" s="282"/>
      <c r="L78" s="282"/>
      <c r="M78" s="282"/>
      <c r="N78" s="282"/>
      <c r="O78" s="282"/>
      <c r="P78" s="282"/>
      <c r="Q78" s="283"/>
    </row>
    <row r="79" spans="2:18" x14ac:dyDescent="0.25">
      <c r="B79" s="284"/>
      <c r="Q79" s="44"/>
      <c r="R79" s="44"/>
    </row>
    <row r="80" spans="2:18" x14ac:dyDescent="0.25">
      <c r="B80" s="285" t="s">
        <v>267</v>
      </c>
      <c r="C80" s="4" t="str">
        <f>IF(ROUND(C77,0)-ROUND('Balance Sheet'!C24,0)&lt;&gt;0,"Eroor","Ok")</f>
        <v>Ok</v>
      </c>
      <c r="D80" s="4" t="str">
        <f>IF(ROUND(D77,0)-ROUND('Balance Sheet'!D24,0)&lt;&gt;0,"Eroor","Ok")</f>
        <v>Ok</v>
      </c>
      <c r="E80" s="4" t="str">
        <f>IF(ROUND(E77,0)-ROUND('Balance Sheet'!E24,0)&lt;&gt;0,"Eroor","Ok")</f>
        <v>Ok</v>
      </c>
      <c r="F80" s="4" t="str">
        <f>IF(ROUND(F77,0)-ROUND('Balance Sheet'!F24,0)&lt;&gt;0,"Eroor","Ok")</f>
        <v>Ok</v>
      </c>
      <c r="G80" s="4" t="str">
        <f>IF(ROUND(G77,0)-ROUND('Balance Sheet'!G24,0)&lt;&gt;0,"Eroor","Ok")</f>
        <v>Ok</v>
      </c>
      <c r="H80" s="4" t="str">
        <f>IF(ROUND(H77,0)-ROUND('Balance Sheet'!H24,0)&lt;&gt;0,"Eroor","Ok")</f>
        <v>Ok</v>
      </c>
      <c r="I80" s="4" t="str">
        <f>IF(ROUND(I77,0)-ROUND('Balance Sheet'!I24,0)&lt;&gt;0,"Eroor","Ok")</f>
        <v>Ok</v>
      </c>
      <c r="J80" s="4" t="str">
        <f>IF(ROUND(J77,0)-ROUND('Balance Sheet'!J24,0)&lt;&gt;0,"Eroor","Ok")</f>
        <v>Ok</v>
      </c>
      <c r="K80" s="4" t="str">
        <f>IF(ROUND(K77,0)-ROUND('Balance Sheet'!K24,0)&lt;&gt;0,"Eroor","Ok")</f>
        <v>Ok</v>
      </c>
      <c r="L80" s="4" t="str">
        <f>IF(ROUND(L77,0)-ROUND('Balance Sheet'!L24,0)&lt;&gt;0,"Eroor","Ok")</f>
        <v>Ok</v>
      </c>
      <c r="M80" s="4" t="str">
        <f>IF(ROUND(M77,0)-ROUND('Balance Sheet'!M24,0)&lt;&gt;0,"Eroor","Ok")</f>
        <v>Ok</v>
      </c>
      <c r="N80" s="4" t="str">
        <f>IF(ROUND(N77,0)-ROUND('Balance Sheet'!N24,0)&lt;&gt;0,"Eroor","Ok")</f>
        <v>Ok</v>
      </c>
      <c r="O80" s="4" t="str">
        <f>IF(ROUND(O77,0)-ROUND('Balance Sheet'!O24,0)&lt;&gt;0,"Eroor","Ok")</f>
        <v>Ok</v>
      </c>
      <c r="P80" s="4" t="str">
        <f>IF(ROUND(P77,0)-ROUND('Balance Sheet'!P24,0)&lt;&gt;0,"Eroor","Ok")</f>
        <v>Ok</v>
      </c>
      <c r="Q80" s="285" t="str">
        <f>IF(ROUND(Q77,0)-ROUND('Balance Sheet'!Q24,0)&lt;&gt;0,"Eroor","Ok")</f>
        <v>Ok</v>
      </c>
      <c r="R80" s="44"/>
    </row>
    <row r="81" spans="2:17" x14ac:dyDescent="0.25">
      <c r="B81" s="39"/>
      <c r="C81" s="161"/>
      <c r="D81" s="161"/>
      <c r="E81" s="161"/>
      <c r="F81" s="161"/>
      <c r="G81" s="161"/>
      <c r="H81" s="161"/>
      <c r="I81" s="161"/>
      <c r="J81" s="161"/>
      <c r="K81" s="161"/>
      <c r="L81" s="161"/>
      <c r="M81" s="161"/>
      <c r="N81" s="161"/>
      <c r="O81" s="161"/>
      <c r="P81" s="161"/>
      <c r="Q81" s="286"/>
    </row>
  </sheetData>
  <mergeCells count="2">
    <mergeCell ref="B7:B8"/>
    <mergeCell ref="B6:Q6"/>
  </mergeCells>
  <pageMargins left="0.7" right="0.7" top="0.75" bottom="0.75" header="0.3" footer="0.3"/>
  <pageSetup orientation="portrait" horizontalDpi="300" verticalDpi="0" copies="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E153-BBCA-4051-8514-7A52DA563F7E}">
  <dimension ref="B6:S59"/>
  <sheetViews>
    <sheetView showGridLines="0" topLeftCell="D1" zoomScale="90" zoomScaleNormal="90" workbookViewId="0">
      <selection activeCell="V9" sqref="V9"/>
    </sheetView>
  </sheetViews>
  <sheetFormatPr defaultRowHeight="15" x14ac:dyDescent="0.25"/>
  <cols>
    <col min="1" max="1" width="0.85546875" customWidth="1"/>
    <col min="2" max="2" width="36" customWidth="1"/>
    <col min="3" max="17" width="10.5703125" bestFit="1" customWidth="1"/>
    <col min="18" max="18" width="40.28515625" customWidth="1"/>
    <col min="19" max="19" width="170.140625" customWidth="1"/>
  </cols>
  <sheetData>
    <row r="6" spans="2:19" ht="18" x14ac:dyDescent="0.25">
      <c r="B6" s="303" t="s">
        <v>268</v>
      </c>
      <c r="C6" s="303"/>
      <c r="D6" s="303"/>
      <c r="E6" s="303"/>
      <c r="F6" s="303"/>
      <c r="G6" s="303"/>
      <c r="H6" s="303"/>
      <c r="I6" s="303"/>
      <c r="J6" s="303"/>
      <c r="K6" s="303"/>
      <c r="L6" s="303"/>
      <c r="M6" s="303"/>
      <c r="N6" s="303"/>
      <c r="O6" s="303"/>
      <c r="P6" s="303"/>
      <c r="Q6" s="303"/>
      <c r="R6" s="39"/>
      <c r="S6" s="39"/>
    </row>
    <row r="7" spans="2:19" ht="18" x14ac:dyDescent="0.25">
      <c r="B7" s="304" t="s">
        <v>63</v>
      </c>
      <c r="C7" s="14">
        <v>2020</v>
      </c>
      <c r="D7" s="8">
        <v>2021</v>
      </c>
      <c r="E7" s="8">
        <v>2022</v>
      </c>
      <c r="F7" s="8">
        <v>2023</v>
      </c>
      <c r="G7" s="8">
        <v>2024</v>
      </c>
      <c r="H7" s="8">
        <f>G7+1</f>
        <v>2025</v>
      </c>
      <c r="I7" s="8">
        <f t="shared" ref="I7:Q7" si="0">H7+1</f>
        <v>2026</v>
      </c>
      <c r="J7" s="8">
        <f t="shared" si="0"/>
        <v>2027</v>
      </c>
      <c r="K7" s="8">
        <f t="shared" si="0"/>
        <v>2028</v>
      </c>
      <c r="L7" s="8">
        <f t="shared" si="0"/>
        <v>2029</v>
      </c>
      <c r="M7" s="8">
        <f t="shared" si="0"/>
        <v>2030</v>
      </c>
      <c r="N7" s="8">
        <f t="shared" si="0"/>
        <v>2031</v>
      </c>
      <c r="O7" s="8">
        <f t="shared" si="0"/>
        <v>2032</v>
      </c>
      <c r="P7" s="8">
        <f t="shared" si="0"/>
        <v>2033</v>
      </c>
      <c r="Q7" s="8">
        <f t="shared" si="0"/>
        <v>2034</v>
      </c>
      <c r="R7" s="143"/>
      <c r="S7" s="56" t="s">
        <v>269</v>
      </c>
    </row>
    <row r="8" spans="2:19" x14ac:dyDescent="0.25">
      <c r="B8" s="305"/>
      <c r="C8" s="3" t="s">
        <v>62</v>
      </c>
      <c r="D8" s="3" t="s">
        <v>62</v>
      </c>
      <c r="E8" s="3" t="s">
        <v>62</v>
      </c>
      <c r="F8" s="3" t="s">
        <v>62</v>
      </c>
      <c r="G8" s="3" t="s">
        <v>62</v>
      </c>
      <c r="H8" s="90" t="s">
        <v>261</v>
      </c>
      <c r="I8" s="90" t="s">
        <v>261</v>
      </c>
      <c r="J8" s="90" t="s">
        <v>261</v>
      </c>
      <c r="K8" s="90" t="s">
        <v>261</v>
      </c>
      <c r="L8" s="90" t="s">
        <v>261</v>
      </c>
      <c r="M8" s="90" t="s">
        <v>261</v>
      </c>
      <c r="N8" s="90" t="s">
        <v>261</v>
      </c>
      <c r="O8" s="90" t="s">
        <v>261</v>
      </c>
      <c r="P8" s="90" t="s">
        <v>261</v>
      </c>
      <c r="Q8" s="90" t="s">
        <v>261</v>
      </c>
      <c r="R8" s="77"/>
      <c r="S8" s="59"/>
    </row>
    <row r="9" spans="2:19" x14ac:dyDescent="0.25">
      <c r="B9" s="59"/>
      <c r="C9" s="27"/>
      <c r="D9" s="27"/>
      <c r="E9" s="27"/>
      <c r="F9" s="27"/>
      <c r="G9" s="27"/>
      <c r="H9" s="27"/>
      <c r="I9" s="27"/>
      <c r="J9" s="27"/>
      <c r="K9" s="27"/>
      <c r="L9" s="27"/>
      <c r="M9" s="27"/>
      <c r="N9" s="27"/>
      <c r="O9" s="27"/>
      <c r="P9" s="27"/>
      <c r="Q9" s="27"/>
      <c r="R9" s="59"/>
      <c r="S9" s="59"/>
    </row>
    <row r="10" spans="2:19" x14ac:dyDescent="0.25">
      <c r="B10" s="187" t="s">
        <v>111</v>
      </c>
      <c r="C10" s="27"/>
      <c r="D10" s="27"/>
      <c r="E10" s="27"/>
      <c r="F10" s="27"/>
      <c r="G10" s="27"/>
      <c r="H10" s="27"/>
      <c r="I10" s="27"/>
      <c r="J10" s="27"/>
      <c r="K10" s="27"/>
      <c r="L10" s="27"/>
      <c r="M10" s="27"/>
      <c r="N10" s="27"/>
      <c r="O10" s="27"/>
      <c r="P10" s="27"/>
      <c r="Q10" s="27"/>
      <c r="R10" s="59"/>
      <c r="S10" s="59"/>
    </row>
    <row r="11" spans="2:19" ht="42.75" x14ac:dyDescent="0.25">
      <c r="B11" s="184" t="s">
        <v>112</v>
      </c>
      <c r="C11" s="189">
        <f>'Income Statement'!C26/'Income Statement'!C12</f>
        <v>0.34639379240341889</v>
      </c>
      <c r="D11" s="189">
        <f>'Income Statement'!D26/'Income Statement'!D12</f>
        <v>0.40293586868838027</v>
      </c>
      <c r="E11" s="189">
        <f>'Income Statement'!E26/'Income Statement'!E12</f>
        <v>0.4221859199547735</v>
      </c>
      <c r="F11" s="189">
        <f>'Income Statement'!F26/'Income Statement'!F12</f>
        <v>0.51974681761556851</v>
      </c>
      <c r="G11" s="189">
        <f>'Income Statement'!G26/'Income Statement'!G12</f>
        <v>0.60995332045742789</v>
      </c>
      <c r="H11" s="180">
        <f>'Income Statement'!H26/'Income Statement'!H12</f>
        <v>0.47310395178921111</v>
      </c>
      <c r="I11" s="180">
        <f>'Income Statement'!I26/'Income Statement'!I12</f>
        <v>0.47310395178921116</v>
      </c>
      <c r="J11" s="180">
        <f>'Income Statement'!J26/'Income Statement'!J12</f>
        <v>0.47310395178921122</v>
      </c>
      <c r="K11" s="180">
        <f>'Income Statement'!K26/'Income Statement'!K12</f>
        <v>0.47310395178921089</v>
      </c>
      <c r="L11" s="180">
        <f>'Income Statement'!L26/'Income Statement'!L12</f>
        <v>0.47310395178921105</v>
      </c>
      <c r="M11" s="180">
        <f>'Income Statement'!M26/'Income Statement'!M12</f>
        <v>0.47310395178921111</v>
      </c>
      <c r="N11" s="180">
        <f>'Income Statement'!N26/'Income Statement'!N12</f>
        <v>0.47310395178921116</v>
      </c>
      <c r="O11" s="180">
        <f>'Income Statement'!O26/'Income Statement'!O12</f>
        <v>0.47310395178921116</v>
      </c>
      <c r="P11" s="180">
        <f>'Income Statement'!P26/'Income Statement'!P12</f>
        <v>0.47310395178921111</v>
      </c>
      <c r="Q11" s="181">
        <f>'Income Statement'!Q26/'Income Statement'!Q12</f>
        <v>0.47310395178921111</v>
      </c>
      <c r="R11" s="91"/>
      <c r="S11" s="175" t="s">
        <v>288</v>
      </c>
    </row>
    <row r="12" spans="2:19" x14ac:dyDescent="0.25">
      <c r="B12" s="184"/>
      <c r="C12" s="188"/>
      <c r="D12" s="188"/>
      <c r="E12" s="188"/>
      <c r="F12" s="188"/>
      <c r="G12" s="188"/>
      <c r="H12" s="178"/>
      <c r="I12" s="178"/>
      <c r="J12" s="178"/>
      <c r="K12" s="178"/>
      <c r="L12" s="178"/>
      <c r="M12" s="178"/>
      <c r="N12" s="178"/>
      <c r="O12" s="178"/>
      <c r="P12" s="178"/>
      <c r="Q12" s="179"/>
      <c r="R12" s="59"/>
      <c r="S12" s="59"/>
    </row>
    <row r="13" spans="2:19" ht="42.75" x14ac:dyDescent="0.25">
      <c r="B13" s="184" t="s">
        <v>113</v>
      </c>
      <c r="C13" s="189">
        <f>'Income Statement'!C30/'Income Statement'!C12</f>
        <v>0.34600020447861618</v>
      </c>
      <c r="D13" s="189">
        <f>'Income Statement'!D30/'Income Statement'!D12</f>
        <v>0.40263040648412451</v>
      </c>
      <c r="E13" s="189">
        <f>'Income Statement'!E30/'Income Statement'!E12</f>
        <v>0.42172143201834517</v>
      </c>
      <c r="F13" s="189">
        <f>'Income Statement'!F30/'Income Statement'!F12</f>
        <v>0.51913230218353079</v>
      </c>
      <c r="G13" s="189">
        <f>'Income Statement'!G30/'Income Statement'!G12</f>
        <v>0.60944852883132739</v>
      </c>
      <c r="H13" s="180">
        <f>'Income Statement'!H30/'Income Statement'!H12</f>
        <v>0.47264994640085267</v>
      </c>
      <c r="I13" s="180">
        <f>'Income Statement'!I30/'Income Statement'!I12</f>
        <v>0.4726967883871544</v>
      </c>
      <c r="J13" s="180">
        <f>'Income Statement'!J30/'Income Statement'!J12</f>
        <v>0.47273879745354613</v>
      </c>
      <c r="K13" s="180">
        <f>'Income Statement'!K30/'Income Statement'!K12</f>
        <v>0.47277647223632996</v>
      </c>
      <c r="L13" s="180">
        <f>'Income Statement'!L30/'Income Statement'!L12</f>
        <v>0.47281025992503045</v>
      </c>
      <c r="M13" s="180">
        <f>'Income Statement'!M30/'Income Statement'!M12</f>
        <v>0.47284056157041093</v>
      </c>
      <c r="N13" s="180">
        <f>'Income Statement'!N30/'Income Statement'!N12</f>
        <v>0.47286773684484029</v>
      </c>
      <c r="O13" s="180">
        <f>'Income Statement'!O30/'Income Statement'!O12</f>
        <v>0.47289210831150619</v>
      </c>
      <c r="P13" s="180">
        <f>'Income Statement'!P30/'Income Statement'!P12</f>
        <v>0.4729139652531531</v>
      </c>
      <c r="Q13" s="181">
        <f>'Income Statement'!Q30/'Income Statement'!Q12</f>
        <v>0.47293356710579126</v>
      </c>
      <c r="R13" s="91"/>
      <c r="S13" s="175" t="s">
        <v>289</v>
      </c>
    </row>
    <row r="14" spans="2:19" x14ac:dyDescent="0.25">
      <c r="B14" s="184"/>
      <c r="C14" s="189"/>
      <c r="D14" s="189"/>
      <c r="E14" s="189"/>
      <c r="F14" s="189"/>
      <c r="G14" s="189"/>
      <c r="H14" s="180"/>
      <c r="I14" s="180"/>
      <c r="J14" s="180"/>
      <c r="K14" s="180"/>
      <c r="L14" s="180"/>
      <c r="M14" s="180"/>
      <c r="N14" s="180"/>
      <c r="O14" s="180"/>
      <c r="P14" s="180"/>
      <c r="Q14" s="181"/>
      <c r="R14" s="59"/>
      <c r="S14" s="177"/>
    </row>
    <row r="15" spans="2:19" ht="57" x14ac:dyDescent="0.25">
      <c r="B15" s="184" t="s">
        <v>114</v>
      </c>
      <c r="C15" s="189">
        <f>'Income Statement'!C38/'Income Statement'!C12</f>
        <v>0.23488211406832923</v>
      </c>
      <c r="D15" s="189">
        <f>'Income Statement'!D38/'Income Statement'!D12</f>
        <v>0.30320049008963612</v>
      </c>
      <c r="E15" s="189">
        <f>'Income Statement'!E38/'Income Statement'!E12</f>
        <v>0.31654776471546919</v>
      </c>
      <c r="F15" s="189">
        <f>'Income Statement'!F38/'Income Statement'!F12</f>
        <v>0.35203349894346897</v>
      </c>
      <c r="G15" s="189">
        <f>'Income Statement'!G38/'Income Statement'!G12</f>
        <v>0.37806640388592722</v>
      </c>
      <c r="H15" s="180">
        <f>'Income Statement'!H38/'Income Statement'!H12</f>
        <v>0.33200022322118483</v>
      </c>
      <c r="I15" s="180">
        <f>'Income Statement'!I38/'Income Statement'!I12</f>
        <v>0.33204706520748661</v>
      </c>
      <c r="J15" s="180">
        <f>'Income Statement'!J38/'Income Statement'!J12</f>
        <v>0.33208907427387829</v>
      </c>
      <c r="K15" s="180">
        <f>'Income Statement'!K38/'Income Statement'!K12</f>
        <v>0.33212674905666217</v>
      </c>
      <c r="L15" s="180">
        <f>'Income Statement'!L38/'Income Statement'!L12</f>
        <v>0.33216053674536267</v>
      </c>
      <c r="M15" s="180">
        <f>'Income Statement'!M38/'Income Statement'!M12</f>
        <v>0.33219083839074315</v>
      </c>
      <c r="N15" s="180">
        <f>'Income Statement'!N38/'Income Statement'!N12</f>
        <v>0.33221801366517251</v>
      </c>
      <c r="O15" s="180">
        <f>'Income Statement'!O38/'Income Statement'!O12</f>
        <v>0.3322423851318384</v>
      </c>
      <c r="P15" s="180">
        <f>'Income Statement'!P38/'Income Statement'!P12</f>
        <v>0.33226424207348526</v>
      </c>
      <c r="Q15" s="181">
        <f>'Income Statement'!Q38/'Income Statement'!Q12</f>
        <v>0.33228384392612348</v>
      </c>
      <c r="R15" s="91"/>
      <c r="S15" s="175" t="s">
        <v>290</v>
      </c>
    </row>
    <row r="16" spans="2:19" x14ac:dyDescent="0.25">
      <c r="B16" s="184"/>
      <c r="C16" s="189"/>
      <c r="D16" s="189"/>
      <c r="E16" s="189"/>
      <c r="F16" s="189"/>
      <c r="G16" s="189"/>
      <c r="H16" s="180"/>
      <c r="I16" s="180"/>
      <c r="J16" s="180"/>
      <c r="K16" s="180"/>
      <c r="L16" s="180"/>
      <c r="M16" s="180"/>
      <c r="N16" s="180"/>
      <c r="O16" s="180"/>
      <c r="P16" s="180"/>
      <c r="Q16" s="181"/>
      <c r="R16" s="59"/>
      <c r="S16" s="177"/>
    </row>
    <row r="17" spans="2:19" ht="42.75" x14ac:dyDescent="0.25">
      <c r="B17" s="184" t="s">
        <v>115</v>
      </c>
      <c r="C17" s="189">
        <f>'Income Statement'!C40/'Income Statement'!C38</f>
        <v>0.29270537427613497</v>
      </c>
      <c r="D17" s="189">
        <f>'Income Statement'!D40/'Income Statement'!D38</f>
        <v>0.22276821289121376</v>
      </c>
      <c r="E17" s="189">
        <f>'Income Statement'!E40/'Income Statement'!E38</f>
        <v>0.19265711116098838</v>
      </c>
      <c r="F17" s="189">
        <f>'Income Statement'!F40/'Income Statement'!F38</f>
        <v>0.19648545403654008</v>
      </c>
      <c r="G17" s="189">
        <f>'Income Statement'!G40/'Income Statement'!G38</f>
        <v>0.21238811912059888</v>
      </c>
      <c r="H17" s="180">
        <f>'Income Statement'!H40/'Income Statement'!H38</f>
        <v>0.21738823737718502</v>
      </c>
      <c r="I17" s="180">
        <f>'Income Statement'!I40/'Income Statement'!I38</f>
        <v>0.21738823737718502</v>
      </c>
      <c r="J17" s="180">
        <f>'Income Statement'!J40/'Income Statement'!J38</f>
        <v>0.22238823737718502</v>
      </c>
      <c r="K17" s="180">
        <f>'Income Statement'!K40/'Income Statement'!K38</f>
        <v>0.22238823737718502</v>
      </c>
      <c r="L17" s="180">
        <f>'Income Statement'!L40/'Income Statement'!L38</f>
        <v>0.22738823737718503</v>
      </c>
      <c r="M17" s="180">
        <f>'Income Statement'!M40/'Income Statement'!M38</f>
        <v>0.22738823737718503</v>
      </c>
      <c r="N17" s="180">
        <f>'Income Statement'!N40/'Income Statement'!N38</f>
        <v>0.23238823737718503</v>
      </c>
      <c r="O17" s="180">
        <f>'Income Statement'!O40/'Income Statement'!O38</f>
        <v>0.23238823737718506</v>
      </c>
      <c r="P17" s="180">
        <f>'Income Statement'!P40/'Income Statement'!P38</f>
        <v>0.23738823737718504</v>
      </c>
      <c r="Q17" s="181">
        <f>'Income Statement'!Q40/'Income Statement'!Q38</f>
        <v>0.23738823737718504</v>
      </c>
      <c r="R17" s="91"/>
      <c r="S17" s="175" t="s">
        <v>214</v>
      </c>
    </row>
    <row r="18" spans="2:19" x14ac:dyDescent="0.25">
      <c r="B18" s="184"/>
      <c r="C18" s="189"/>
      <c r="D18" s="189"/>
      <c r="E18" s="189"/>
      <c r="F18" s="189"/>
      <c r="G18" s="189"/>
      <c r="H18" s="180"/>
      <c r="I18" s="180"/>
      <c r="J18" s="180"/>
      <c r="K18" s="180"/>
      <c r="L18" s="180"/>
      <c r="M18" s="180"/>
      <c r="N18" s="180"/>
      <c r="O18" s="180"/>
      <c r="P18" s="180"/>
      <c r="Q18" s="181"/>
      <c r="R18" s="59"/>
      <c r="S18" s="177"/>
    </row>
    <row r="19" spans="2:19" ht="57" x14ac:dyDescent="0.25">
      <c r="B19" s="184" t="s">
        <v>116</v>
      </c>
      <c r="C19" s="189">
        <f>'Income Statement'!C42/'Income Statement'!C12</f>
        <v>0.16613085695918908</v>
      </c>
      <c r="D19" s="189">
        <f>'Income Statement'!D42/'Income Statement'!D12</f>
        <v>0.2356570587646277</v>
      </c>
      <c r="E19" s="189">
        <f>'Income Statement'!E42/'Income Statement'!E12</f>
        <v>0.25556258682091865</v>
      </c>
      <c r="F19" s="189">
        <f>'Income Statement'!F42/'Income Statement'!F12</f>
        <v>0.28286403706748958</v>
      </c>
      <c r="G19" s="189">
        <f>'Income Statement'!G42/'Income Statement'!G12</f>
        <v>0.29776959146190646</v>
      </c>
      <c r="H19" s="180">
        <f>'Income Statement'!H42/'Income Statement'!H12</f>
        <v>0.2598272798862995</v>
      </c>
      <c r="I19" s="180">
        <f>'Income Statement'!I42/'Income Statement'!I12</f>
        <v>0.25986393897576388</v>
      </c>
      <c r="J19" s="180">
        <f>'Income Statement'!J42/'Income Statement'!J12</f>
        <v>0.25823637039388941</v>
      </c>
      <c r="K19" s="180">
        <f>'Income Statement'!K42/'Income Statement'!K12</f>
        <v>0.25826566674813639</v>
      </c>
      <c r="L19" s="180">
        <f>'Income Statement'!L42/'Income Statement'!L12</f>
        <v>0.25663113776857494</v>
      </c>
      <c r="M19" s="180">
        <f>'Income Statement'!M42/'Income Statement'!M12</f>
        <v>0.25665454917622271</v>
      </c>
      <c r="N19" s="180">
        <f>'Income Statement'!N42/'Income Statement'!N12</f>
        <v>0.25501445504457348</v>
      </c>
      <c r="O19" s="180">
        <f>'Income Statement'!O42/'Income Statement'!O12</f>
        <v>0.25503316286905858</v>
      </c>
      <c r="P19" s="180">
        <f>'Income Statement'!P42/'Income Statement'!P12</f>
        <v>0.25338861930419426</v>
      </c>
      <c r="Q19" s="181">
        <f>'Income Statement'!Q42/'Income Statement'!Q12</f>
        <v>0.25340356790758539</v>
      </c>
      <c r="R19" s="91"/>
      <c r="S19" s="175" t="s">
        <v>291</v>
      </c>
    </row>
    <row r="20" spans="2:19" x14ac:dyDescent="0.25">
      <c r="B20" s="184"/>
      <c r="C20" s="188"/>
      <c r="D20" s="188"/>
      <c r="E20" s="188"/>
      <c r="F20" s="188"/>
      <c r="G20" s="188"/>
      <c r="H20" s="178"/>
      <c r="I20" s="178"/>
      <c r="J20" s="178"/>
      <c r="K20" s="178"/>
      <c r="L20" s="178"/>
      <c r="M20" s="178"/>
      <c r="N20" s="178"/>
      <c r="O20" s="178"/>
      <c r="P20" s="178"/>
      <c r="Q20" s="179"/>
      <c r="R20" s="59"/>
      <c r="S20" s="177"/>
    </row>
    <row r="21" spans="2:19" x14ac:dyDescent="0.25">
      <c r="B21" s="185" t="s">
        <v>117</v>
      </c>
      <c r="C21" s="188"/>
      <c r="D21" s="188"/>
      <c r="E21" s="188"/>
      <c r="F21" s="188"/>
      <c r="G21" s="188"/>
      <c r="H21" s="178"/>
      <c r="I21" s="178"/>
      <c r="J21" s="178"/>
      <c r="K21" s="178"/>
      <c r="L21" s="178"/>
      <c r="M21" s="178"/>
      <c r="N21" s="178"/>
      <c r="O21" s="178"/>
      <c r="P21" s="178"/>
      <c r="Q21" s="179"/>
      <c r="R21" s="59"/>
      <c r="S21" s="177"/>
    </row>
    <row r="22" spans="2:19" ht="71.25" x14ac:dyDescent="0.25">
      <c r="B22" s="186" t="s">
        <v>118</v>
      </c>
      <c r="C22" s="188"/>
      <c r="D22" s="189">
        <f>'Income Statement'!D12/AVEDEV('Balance Sheet'!C36:D36)</f>
        <v>1.3207577940661028</v>
      </c>
      <c r="E22" s="189">
        <f>'Income Statement'!E12/AVEDEV('Balance Sheet'!D36:E36)</f>
        <v>7.8591384959001953</v>
      </c>
      <c r="F22" s="189">
        <f>'Income Statement'!F12/AVEDEV('Balance Sheet'!E36:F36)</f>
        <v>1.4449611347617402</v>
      </c>
      <c r="G22" s="189">
        <f>'Income Statement'!G12/AVEDEV('Balance Sheet'!F36:G36)</f>
        <v>1.1490072239931293</v>
      </c>
      <c r="H22" s="180">
        <f>'Income Statement'!H12/AVEDEV('Balance Sheet'!G36:H36)</f>
        <v>1.6981758965869425</v>
      </c>
      <c r="I22" s="180">
        <f>'Income Statement'!I12/AVEDEV('Balance Sheet'!H36:I36)</f>
        <v>1.5714068723824017</v>
      </c>
      <c r="J22" s="180">
        <f>'Income Statement'!J12/AVEDEV('Balance Sheet'!I36:J36)</f>
        <v>1.5729250150360969</v>
      </c>
      <c r="K22" s="180">
        <f>'Income Statement'!K12/AVEDEV('Balance Sheet'!J36:K36)</f>
        <v>1.5728976624318474</v>
      </c>
      <c r="L22" s="180">
        <f>'Income Statement'!L12/AVEDEV('Balance Sheet'!K36:L36)</f>
        <v>1.5744251994414395</v>
      </c>
      <c r="M22" s="180">
        <f>'Income Statement'!M12/AVEDEV('Balance Sheet'!L36:M36)</f>
        <v>1.5744032995396209</v>
      </c>
      <c r="N22" s="180">
        <f>'Income Statement'!N12/AVEDEV('Balance Sheet'!M36:N36)</f>
        <v>1.5759389797251102</v>
      </c>
      <c r="O22" s="180">
        <f>'Income Statement'!O12/AVEDEV('Balance Sheet'!N36:O36)</f>
        <v>1.5759214460131679</v>
      </c>
      <c r="P22" s="180">
        <f>'Income Statement'!P12/AVEDEV('Balance Sheet'!O36:P36)</f>
        <v>1.5774642689839387</v>
      </c>
      <c r="Q22" s="181">
        <f>'Income Statement'!Q12/AVEDEV('Balance Sheet'!P36:Q36)</f>
        <v>1.5774502313978196</v>
      </c>
      <c r="R22" s="91"/>
      <c r="S22" s="175" t="s">
        <v>292</v>
      </c>
    </row>
    <row r="23" spans="2:19" x14ac:dyDescent="0.25">
      <c r="B23" s="184"/>
      <c r="C23" s="188"/>
      <c r="D23" s="189"/>
      <c r="E23" s="189"/>
      <c r="F23" s="189"/>
      <c r="G23" s="189"/>
      <c r="H23" s="180"/>
      <c r="I23" s="180"/>
      <c r="J23" s="180"/>
      <c r="K23" s="180"/>
      <c r="L23" s="180"/>
      <c r="M23" s="180"/>
      <c r="N23" s="180"/>
      <c r="O23" s="180"/>
      <c r="P23" s="180"/>
      <c r="Q23" s="181"/>
      <c r="R23" s="59"/>
      <c r="S23" s="177"/>
    </row>
    <row r="24" spans="2:19" ht="42.75" x14ac:dyDescent="0.25">
      <c r="B24" s="186" t="s">
        <v>119</v>
      </c>
      <c r="C24" s="188"/>
      <c r="D24" s="189">
        <f>'Income Statement'!D38/AVERAGE('Balance Sheet'!C36:D36)</f>
        <v>2.8826404493292837E-2</v>
      </c>
      <c r="E24" s="189">
        <f>'Income Statement'!E38/AVERAGE('Balance Sheet'!D36:E36)</f>
        <v>3.062736760646707E-2</v>
      </c>
      <c r="F24" s="189">
        <f>'Income Statement'!F38/AVERAGE('Balance Sheet'!E36:F36)</f>
        <v>3.1716703095261298E-2</v>
      </c>
      <c r="G24" s="189">
        <f>'Income Statement'!G38/AVERAGE('Balance Sheet'!F36:G36)</f>
        <v>3.5434663389095865E-2</v>
      </c>
      <c r="H24" s="180">
        <f>'Income Statement'!H38/AVERAGE('Balance Sheet'!G36:H36)</f>
        <v>3.0414225676643862E-2</v>
      </c>
      <c r="I24" s="180">
        <f>'Income Statement'!I38/AVERAGE('Balance Sheet'!H36:I36)</f>
        <v>3.0455070931620962E-2</v>
      </c>
      <c r="J24" s="180">
        <f>'Income Statement'!J38/AVERAGE('Balance Sheet'!I36:J36)</f>
        <v>3.037510503805356E-2</v>
      </c>
      <c r="K24" s="180">
        <f>'Income Statement'!K38/AVERAGE('Balance Sheet'!J36:K36)</f>
        <v>3.0305619218082509E-2</v>
      </c>
      <c r="L24" s="180">
        <f>'Income Statement'!L38/AVERAGE('Balance Sheet'!K36:L36)</f>
        <v>3.0245580581978251E-2</v>
      </c>
      <c r="M24" s="180">
        <f>'Income Statement'!M38/AVERAGE('Balance Sheet'!L36:M36)</f>
        <v>3.0193715073815026E-2</v>
      </c>
      <c r="N24" s="180">
        <f>'Income Statement'!N38/AVERAGE('Balance Sheet'!M36:N36)</f>
        <v>3.014927418159399E-2</v>
      </c>
      <c r="O24" s="180">
        <f>'Income Statement'!O38/AVERAGE('Balance Sheet'!N36:O36)</f>
        <v>3.0111232101005556E-2</v>
      </c>
      <c r="P24" s="180">
        <f>'Income Statement'!P38/AVERAGE('Balance Sheet'!O36:P36)</f>
        <v>3.0079052927766199E-2</v>
      </c>
      <c r="Q24" s="181">
        <f>'Income Statement'!Q38/AVERAGE('Balance Sheet'!P36:Q36)</f>
        <v>3.0051897624525058E-2</v>
      </c>
      <c r="R24" s="59"/>
      <c r="S24" s="175" t="s">
        <v>293</v>
      </c>
    </row>
    <row r="25" spans="2:19" x14ac:dyDescent="0.25">
      <c r="B25" s="184"/>
      <c r="C25" s="188"/>
      <c r="D25" s="189"/>
      <c r="E25" s="189"/>
      <c r="F25" s="189"/>
      <c r="G25" s="189"/>
      <c r="H25" s="180"/>
      <c r="I25" s="180"/>
      <c r="J25" s="180"/>
      <c r="K25" s="180"/>
      <c r="L25" s="180"/>
      <c r="M25" s="180"/>
      <c r="N25" s="180"/>
      <c r="O25" s="180"/>
      <c r="P25" s="180"/>
      <c r="Q25" s="181"/>
      <c r="R25" s="59"/>
      <c r="S25" s="177"/>
    </row>
    <row r="26" spans="2:19" ht="42.75" x14ac:dyDescent="0.25">
      <c r="B26" s="186" t="s">
        <v>120</v>
      </c>
      <c r="C26" s="188"/>
      <c r="D26" s="189">
        <f>'Income Statement'!D38/AVERAGE('Balance Sheet'!C43:D43)</f>
        <v>0.27234818032661812</v>
      </c>
      <c r="E26" s="189">
        <f>'Income Statement'!E38/AVERAGE('Balance Sheet'!D43:E43)</f>
        <v>0.26148059651635597</v>
      </c>
      <c r="F26" s="189">
        <f>'Income Statement'!F38/AVERAGE('Balance Sheet'!E43:F43)</f>
        <v>0.25399039663960044</v>
      </c>
      <c r="G26" s="189">
        <f>'Income Statement'!G38/AVERAGE('Balance Sheet'!F43:G43)</f>
        <v>0.28178932956860064</v>
      </c>
      <c r="H26" s="180">
        <f>'Income Statement'!H38/AVERAGE('Balance Sheet'!G43:H43)</f>
        <v>0.23638218171466188</v>
      </c>
      <c r="I26" s="180">
        <f>'Income Statement'!I38/AVERAGE('Balance Sheet'!H43:I43)</f>
        <v>0.23076523141236976</v>
      </c>
      <c r="J26" s="180">
        <f>'Income Statement'!J38/AVERAGE('Balance Sheet'!I43:J43)</f>
        <v>0.22606756037590489</v>
      </c>
      <c r="K26" s="180">
        <f>'Income Statement'!K38/AVERAGE('Balance Sheet'!J43:K43)</f>
        <v>0.22211495707126286</v>
      </c>
      <c r="L26" s="180">
        <f>'Income Statement'!L38/AVERAGE('Balance Sheet'!K43:L43)</f>
        <v>0.21879097796421079</v>
      </c>
      <c r="M26" s="180">
        <f>'Income Statement'!M38/AVERAGE('Balance Sheet'!L43:M43)</f>
        <v>0.21598435144114292</v>
      </c>
      <c r="N26" s="180">
        <f>'Income Statement'!N38/AVERAGE('Balance Sheet'!M43:N43)</f>
        <v>0.21362433918866311</v>
      </c>
      <c r="O26" s="180">
        <f>'Income Statement'!O38/AVERAGE('Balance Sheet'!N43:O43)</f>
        <v>0.21163535060072877</v>
      </c>
      <c r="P26" s="180">
        <f>'Income Statement'!P38/AVERAGE('Balance Sheet'!O43:P43)</f>
        <v>0.20997325663987207</v>
      </c>
      <c r="Q26" s="181">
        <f>'Income Statement'!Q38/AVERAGE('Balance Sheet'!P43:Q43)</f>
        <v>0.20858394617796883</v>
      </c>
      <c r="R26" s="59"/>
      <c r="S26" s="175" t="s">
        <v>294</v>
      </c>
    </row>
    <row r="27" spans="2:19" x14ac:dyDescent="0.25">
      <c r="B27" s="184"/>
      <c r="C27" s="188"/>
      <c r="D27" s="188"/>
      <c r="E27" s="188"/>
      <c r="F27" s="188"/>
      <c r="G27" s="188"/>
      <c r="H27" s="178"/>
      <c r="I27" s="178"/>
      <c r="J27" s="178"/>
      <c r="K27" s="178"/>
      <c r="L27" s="178"/>
      <c r="M27" s="178"/>
      <c r="N27" s="178"/>
      <c r="O27" s="178"/>
      <c r="P27" s="178"/>
      <c r="Q27" s="179"/>
      <c r="R27" s="59"/>
      <c r="S27" s="177"/>
    </row>
    <row r="28" spans="2:19" ht="42.75" x14ac:dyDescent="0.25">
      <c r="B28" s="186" t="s">
        <v>121</v>
      </c>
      <c r="C28" s="190">
        <f>'Income Statement'!C42/'Income Statement'!C38</f>
        <v>0.70729462572386503</v>
      </c>
      <c r="D28" s="190">
        <f>'Income Statement'!D42/'Income Statement'!D38</f>
        <v>0.77723178710878615</v>
      </c>
      <c r="E28" s="190">
        <f>'Income Statement'!E42/'Income Statement'!E38</f>
        <v>0.80734288883901162</v>
      </c>
      <c r="F28" s="190">
        <f>'Income Statement'!F42/'Income Statement'!F38</f>
        <v>0.80351454596345995</v>
      </c>
      <c r="G28" s="190">
        <f>'Income Statement'!G42/'Income Statement'!G38</f>
        <v>0.78761188087940115</v>
      </c>
      <c r="H28" s="182">
        <f>'Income Statement'!H42/'Income Statement'!H38</f>
        <v>0.78261176262281495</v>
      </c>
      <c r="I28" s="182">
        <f>'Income Statement'!I42/'Income Statement'!I38</f>
        <v>0.78261176262281495</v>
      </c>
      <c r="J28" s="182">
        <f>'Income Statement'!J42/'Income Statement'!J38</f>
        <v>0.77761176262281495</v>
      </c>
      <c r="K28" s="182">
        <f>'Income Statement'!K42/'Income Statement'!K38</f>
        <v>0.77761176262281495</v>
      </c>
      <c r="L28" s="182">
        <f>'Income Statement'!L42/'Income Statement'!L38</f>
        <v>0.77261176262281495</v>
      </c>
      <c r="M28" s="182">
        <f>'Income Statement'!M42/'Income Statement'!M38</f>
        <v>0.77261176262281495</v>
      </c>
      <c r="N28" s="182">
        <f>'Income Statement'!N42/'Income Statement'!N38</f>
        <v>0.76761176262281494</v>
      </c>
      <c r="O28" s="182">
        <f>'Income Statement'!O42/'Income Statement'!O38</f>
        <v>0.76761176262281494</v>
      </c>
      <c r="P28" s="182">
        <f>'Income Statement'!P42/'Income Statement'!P38</f>
        <v>0.76261176262281494</v>
      </c>
      <c r="Q28" s="183">
        <f>'Income Statement'!Q42/'Income Statement'!Q38</f>
        <v>0.76261176262281505</v>
      </c>
      <c r="R28" s="91"/>
      <c r="S28" s="176" t="s">
        <v>270</v>
      </c>
    </row>
    <row r="29" spans="2:19" x14ac:dyDescent="0.25">
      <c r="B29" s="184"/>
      <c r="C29" s="188"/>
      <c r="D29" s="188"/>
      <c r="E29" s="188"/>
      <c r="F29" s="188"/>
      <c r="G29" s="188"/>
      <c r="H29" s="178"/>
      <c r="I29" s="178"/>
      <c r="J29" s="178"/>
      <c r="K29" s="178"/>
      <c r="L29" s="178"/>
      <c r="M29" s="178"/>
      <c r="N29" s="178"/>
      <c r="O29" s="178"/>
      <c r="P29" s="178"/>
      <c r="Q29" s="179"/>
      <c r="R29" s="91"/>
      <c r="S29" s="177"/>
    </row>
    <row r="30" spans="2:19" ht="57" x14ac:dyDescent="0.25">
      <c r="B30" s="186" t="s">
        <v>122</v>
      </c>
      <c r="C30" s="188"/>
      <c r="D30" s="189">
        <f>'Income Statement'!D42/AVERAGE('Balance Sheet'!C43:D43)</f>
        <v>0.21167766291108336</v>
      </c>
      <c r="E30" s="189">
        <f>'Income Statement'!E42/AVERAGE('Balance Sheet'!D43:E43)</f>
        <v>0.21110450016686286</v>
      </c>
      <c r="F30" s="189">
        <f>'Income Statement'!F42/AVERAGE('Balance Sheet'!E43:F43)</f>
        <v>0.20408497823494762</v>
      </c>
      <c r="G30" s="189">
        <f>'Income Statement'!G42/AVERAGE('Balance Sheet'!F43:G43)</f>
        <v>0.22194062387327101</v>
      </c>
      <c r="H30" s="180">
        <f>'Income Statement'!H42/AVERAGE('Balance Sheet'!G43:H43)</f>
        <v>0.18499547588433807</v>
      </c>
      <c r="I30" s="180">
        <f>'Income Statement'!I42/AVERAGE('Balance Sheet'!H43:I43)</f>
        <v>0.18059958450769648</v>
      </c>
      <c r="J30" s="180">
        <f>'Income Statement'!J42/AVERAGE('Balance Sheet'!I43:J43)</f>
        <v>0.17579279409574705</v>
      </c>
      <c r="K30" s="180">
        <f>'Income Statement'!K42/AVERAGE('Balance Sheet'!J43:K43)</f>
        <v>0.17271920327307558</v>
      </c>
      <c r="L30" s="180">
        <f>'Income Statement'!L42/AVERAGE('Balance Sheet'!K43:L43)</f>
        <v>0.16904048313089834</v>
      </c>
      <c r="M30" s="180">
        <f>'Income Statement'!M42/AVERAGE('Balance Sheet'!L43:M43)</f>
        <v>0.16687205046588696</v>
      </c>
      <c r="N30" s="180">
        <f>'Income Statement'!N42/AVERAGE('Balance Sheet'!M43:N43)</f>
        <v>0.16398055554374377</v>
      </c>
      <c r="O30" s="180">
        <f>'Income Statement'!O42/AVERAGE('Balance Sheet'!N43:O43)</f>
        <v>0.16245378450792283</v>
      </c>
      <c r="P30" s="180">
        <f>'Income Statement'!P42/AVERAGE('Balance Sheet'!O43:P43)</f>
        <v>0.16012807534978554</v>
      </c>
      <c r="Q30" s="181">
        <f>'Income Statement'!Q42/AVERAGE('Balance Sheet'!P43:Q43)</f>
        <v>0.15906857084960319</v>
      </c>
      <c r="R30" s="91"/>
      <c r="S30" s="175" t="s">
        <v>295</v>
      </c>
    </row>
    <row r="31" spans="2:19" x14ac:dyDescent="0.25">
      <c r="B31" s="184"/>
      <c r="C31" s="188"/>
      <c r="D31" s="188"/>
      <c r="E31" s="188"/>
      <c r="F31" s="188"/>
      <c r="G31" s="188"/>
      <c r="H31" s="178"/>
      <c r="I31" s="178"/>
      <c r="J31" s="178"/>
      <c r="K31" s="178"/>
      <c r="L31" s="178"/>
      <c r="M31" s="178"/>
      <c r="N31" s="178"/>
      <c r="O31" s="178"/>
      <c r="P31" s="178"/>
      <c r="Q31" s="179"/>
      <c r="R31" s="91"/>
      <c r="S31" s="177"/>
    </row>
    <row r="32" spans="2:19" ht="42.75" x14ac:dyDescent="0.25">
      <c r="B32" s="184" t="s">
        <v>123</v>
      </c>
      <c r="C32" s="259">
        <f>('Income Statement'!C42-'Income Statement'!C44)/'Income Statement'!C42</f>
        <v>0.56309404576590916</v>
      </c>
      <c r="D32" s="259">
        <f>('Income Statement'!D42-'Income Statement'!D44)/'Income Statement'!D42</f>
        <v>0.74070807233977554</v>
      </c>
      <c r="E32" s="259">
        <f>('Income Statement'!E42-'Income Statement'!E44)/'Income Statement'!E42</f>
        <v>0.75972079675558246</v>
      </c>
      <c r="F32" s="259">
        <f>('Income Statement'!F42-'Income Statement'!F44)/'Income Statement'!F42</f>
        <v>0.72057172127110436</v>
      </c>
      <c r="G32" s="259">
        <f>('Income Statement'!G42-'Income Statement'!G44)/'Income Statement'!G42</f>
        <v>0.79802367825176546</v>
      </c>
      <c r="H32" s="260">
        <f>('Income Statement'!H42-'Income Statement'!H44)/'Income Statement'!H42</f>
        <v>0.7547560671545569</v>
      </c>
      <c r="I32" s="260">
        <f>('Income Statement'!I42-'Income Statement'!I44)/'Income Statement'!I42</f>
        <v>0.75475606715455701</v>
      </c>
      <c r="J32" s="260">
        <f>('Income Statement'!J42-'Income Statement'!J44)/'Income Statement'!J42</f>
        <v>0.75475606715455701</v>
      </c>
      <c r="K32" s="260">
        <f>('Income Statement'!K42-'Income Statement'!K44)/'Income Statement'!K42</f>
        <v>0.75475606715455701</v>
      </c>
      <c r="L32" s="260">
        <f>('Income Statement'!L42-'Income Statement'!L44)/'Income Statement'!L42</f>
        <v>0.75475606715455701</v>
      </c>
      <c r="M32" s="260">
        <f>('Income Statement'!M42-'Income Statement'!M44)/'Income Statement'!M42</f>
        <v>0.7547560671545569</v>
      </c>
      <c r="N32" s="260">
        <f>('Income Statement'!N42-'Income Statement'!N44)/'Income Statement'!N42</f>
        <v>0.7547560671545569</v>
      </c>
      <c r="O32" s="260">
        <f>('Income Statement'!O42-'Income Statement'!O44)/'Income Statement'!O42</f>
        <v>0.7547560671545569</v>
      </c>
      <c r="P32" s="260">
        <f>('Income Statement'!P42-'Income Statement'!P44)/'Income Statement'!P42</f>
        <v>0.7547560671545569</v>
      </c>
      <c r="Q32" s="261">
        <f>('Income Statement'!Q42-'Income Statement'!Q44)/'Income Statement'!Q42</f>
        <v>0.7547560671545569</v>
      </c>
      <c r="R32" s="91"/>
      <c r="S32" s="175" t="s">
        <v>284</v>
      </c>
    </row>
    <row r="33" spans="2:19" x14ac:dyDescent="0.25">
      <c r="B33" s="184"/>
      <c r="C33" s="188"/>
      <c r="D33" s="188"/>
      <c r="E33" s="188"/>
      <c r="F33" s="188"/>
      <c r="G33" s="188"/>
      <c r="H33" s="178"/>
      <c r="I33" s="178"/>
      <c r="J33" s="178"/>
      <c r="K33" s="178"/>
      <c r="L33" s="178"/>
      <c r="M33" s="178"/>
      <c r="N33" s="178"/>
      <c r="O33" s="178"/>
      <c r="P33" s="178"/>
      <c r="Q33" s="179"/>
      <c r="R33" s="91"/>
      <c r="S33" s="177"/>
    </row>
    <row r="34" spans="2:19" ht="28.5" x14ac:dyDescent="0.25">
      <c r="B34" s="184" t="s">
        <v>124</v>
      </c>
      <c r="C34" s="189">
        <f>'Income Statement'!C30/SUM('Balance Sheet'!C39,'Balance Sheet'!C41,'Balance Sheet'!C52)</f>
        <v>0.29099903756313789</v>
      </c>
      <c r="D34" s="189">
        <f>'Income Statement'!D30/SUM('Balance Sheet'!D39,'Balance Sheet'!D41,'Balance Sheet'!D52)</f>
        <v>0.3294128665930578</v>
      </c>
      <c r="E34" s="189">
        <f>'Income Statement'!E30/SUM('Balance Sheet'!E39,'Balance Sheet'!E41,'Balance Sheet'!E52)</f>
        <v>0.32496774478397578</v>
      </c>
      <c r="F34" s="189">
        <f>'Income Statement'!F30/SUM('Balance Sheet'!F39,'Balance Sheet'!F41,'Balance Sheet'!F52)</f>
        <v>0.35463134895276621</v>
      </c>
      <c r="G34" s="189">
        <f>'Income Statement'!G30/SUM('Balance Sheet'!G39,'Balance Sheet'!G41,'Balance Sheet'!G52)</f>
        <v>0.41804194873215106</v>
      </c>
      <c r="H34" s="180">
        <f>'Income Statement'!H30/SUM('Balance Sheet'!H39,'Balance Sheet'!H41,'Balance Sheet'!H52)</f>
        <v>0.31533768154704267</v>
      </c>
      <c r="I34" s="180">
        <f>'Income Statement'!I30/SUM('Balance Sheet'!I39,'Balance Sheet'!I41,'Balance Sheet'!I52)</f>
        <v>0.30806525213974778</v>
      </c>
      <c r="J34" s="180">
        <f>'Income Statement'!J30/SUM('Balance Sheet'!J39,'Balance Sheet'!J41,'Balance Sheet'!J52)</f>
        <v>0.30209134271076776</v>
      </c>
      <c r="K34" s="180">
        <f>'Income Statement'!K30/SUM('Balance Sheet'!K39,'Balance Sheet'!K41,'Balance Sheet'!K52)</f>
        <v>0.29694958432271051</v>
      </c>
      <c r="L34" s="180">
        <f>'Income Statement'!L30/SUM('Balance Sheet'!L39,'Balance Sheet'!L41,'Balance Sheet'!L52)</f>
        <v>0.29273102439332543</v>
      </c>
      <c r="M34" s="180">
        <f>'Income Statement'!M30/SUM('Balance Sheet'!M39,'Balance Sheet'!M41,'Balance Sheet'!M52)</f>
        <v>0.28906393130839309</v>
      </c>
      <c r="N34" s="180">
        <f>'Income Statement'!N30/SUM('Balance Sheet'!N39,'Balance Sheet'!N41,'Balance Sheet'!N52)</f>
        <v>0.28608282345911767</v>
      </c>
      <c r="O34" s="180">
        <f>'Income Statement'!O30/SUM('Balance Sheet'!O39,'Balance Sheet'!O41,'Balance Sheet'!O52)</f>
        <v>0.28347199023043623</v>
      </c>
      <c r="P34" s="180">
        <f>'Income Statement'!P30/SUM('Balance Sheet'!P39,'Balance Sheet'!P41,'Balance Sheet'!P52)</f>
        <v>0.28139004221754604</v>
      </c>
      <c r="Q34" s="181">
        <f>'Income Statement'!Q30/SUM('Balance Sheet'!Q39,'Balance Sheet'!Q41,'Balance Sheet'!Q52)</f>
        <v>0.27955619380608271</v>
      </c>
      <c r="R34" s="91"/>
      <c r="S34" s="175" t="s">
        <v>296</v>
      </c>
    </row>
    <row r="35" spans="2:19" x14ac:dyDescent="0.25">
      <c r="B35" s="184"/>
      <c r="C35" s="188"/>
      <c r="D35" s="188"/>
      <c r="E35" s="188"/>
      <c r="F35" s="188"/>
      <c r="G35" s="188"/>
      <c r="H35" s="178"/>
      <c r="I35" s="178"/>
      <c r="J35" s="178"/>
      <c r="K35" s="178"/>
      <c r="L35" s="178"/>
      <c r="M35" s="178"/>
      <c r="N35" s="178"/>
      <c r="O35" s="178"/>
      <c r="P35" s="178"/>
      <c r="Q35" s="179"/>
      <c r="R35" s="91"/>
      <c r="S35" s="177"/>
    </row>
    <row r="36" spans="2:19" ht="57" x14ac:dyDescent="0.25">
      <c r="B36" s="184" t="s">
        <v>125</v>
      </c>
      <c r="C36" s="188"/>
      <c r="D36" s="189">
        <f>('Income Statement'!D42-'Income Statement'!C44)/AVERAGE('Balance Sheet'!C43:D43)</f>
        <v>0.15679135365225735</v>
      </c>
      <c r="E36" s="189">
        <f>('Income Statement'!E42-'Income Statement'!D44)/AVERAGE('Balance Sheet'!D43:E43)</f>
        <v>0.16540708721036806</v>
      </c>
      <c r="F36" s="189">
        <f>('Income Statement'!F42-'Income Statement'!E44)/AVERAGE('Balance Sheet'!E43:F43)</f>
        <v>0.16001537356417664</v>
      </c>
      <c r="G36" s="189">
        <f>('Income Statement'!G42-'Income Statement'!F44)/AVERAGE('Balance Sheet'!F43:G43)</f>
        <v>0.17298241573204712</v>
      </c>
      <c r="H36" s="180">
        <f>('Income Statement'!H42-'Income Statement'!G44)/AVERAGE('Balance Sheet'!G43:H43)</f>
        <v>0.14667419925818459</v>
      </c>
      <c r="I36" s="180">
        <f>('Income Statement'!I42-'Income Statement'!H44)/AVERAGE('Balance Sheet'!H43:I43)</f>
        <v>0.14108154292320593</v>
      </c>
      <c r="J36" s="180">
        <f>('Income Statement'!J42-'Income Statement'!I44)/AVERAGE('Balance Sheet'!I43:J43)</f>
        <v>0.13707865423802734</v>
      </c>
      <c r="K36" s="180">
        <f>('Income Statement'!K42-'Income Statement'!J44)/AVERAGE('Balance Sheet'!J43:K43)</f>
        <v>0.13492446898017599</v>
      </c>
      <c r="L36" s="180">
        <f>('Income Statement'!L42-'Income Statement'!K44)/AVERAGE('Balance Sheet'!K43:L43)</f>
        <v>0.13181091578158996</v>
      </c>
      <c r="M36" s="180">
        <f>('Income Statement'!M42-'Income Statement'!L44)/AVERAGE('Balance Sheet'!L43:M43)</f>
        <v>0.130355989558639</v>
      </c>
      <c r="N36" s="180">
        <f>('Income Statement'!N42-'Income Statement'!M44)/AVERAGE('Balance Sheet'!M43:N43)</f>
        <v>0.1278631572072737</v>
      </c>
      <c r="O36" s="180">
        <f>('Income Statement'!O42-'Income Statement'!N44)/AVERAGE('Balance Sheet'!N43:O43)</f>
        <v>0.12690392310317139</v>
      </c>
      <c r="P36" s="180">
        <f>('Income Statement'!P42-'Income Statement'!O44)/AVERAGE('Balance Sheet'!O43:P43)</f>
        <v>0.12485714031186451</v>
      </c>
      <c r="Q36" s="181">
        <f>('Income Statement'!Q42-'Income Statement'!P44)/AVERAGE('Balance Sheet'!P43:Q43)</f>
        <v>0.12425899782217667</v>
      </c>
      <c r="R36" s="91"/>
      <c r="S36" s="175" t="s">
        <v>297</v>
      </c>
    </row>
    <row r="37" spans="2:19" x14ac:dyDescent="0.25">
      <c r="B37" s="184"/>
      <c r="C37" s="188"/>
      <c r="D37" s="188"/>
      <c r="E37" s="188"/>
      <c r="F37" s="188"/>
      <c r="G37" s="188"/>
      <c r="H37" s="178"/>
      <c r="I37" s="178"/>
      <c r="J37" s="178"/>
      <c r="K37" s="178"/>
      <c r="L37" s="178"/>
      <c r="M37" s="178"/>
      <c r="N37" s="178"/>
      <c r="O37" s="178"/>
      <c r="P37" s="178"/>
      <c r="Q37" s="179"/>
      <c r="R37" s="91"/>
      <c r="S37" s="177"/>
    </row>
    <row r="38" spans="2:19" x14ac:dyDescent="0.25">
      <c r="B38" s="185" t="s">
        <v>126</v>
      </c>
      <c r="C38" s="188"/>
      <c r="D38" s="188"/>
      <c r="E38" s="188"/>
      <c r="F38" s="188"/>
      <c r="G38" s="188"/>
      <c r="H38" s="178"/>
      <c r="I38" s="178"/>
      <c r="J38" s="178"/>
      <c r="K38" s="178"/>
      <c r="L38" s="178"/>
      <c r="M38" s="178"/>
      <c r="N38" s="178"/>
      <c r="O38" s="178"/>
      <c r="P38" s="178"/>
      <c r="Q38" s="179"/>
      <c r="R38" s="91"/>
      <c r="S38" s="177"/>
    </row>
    <row r="39" spans="2:19" ht="71.25" x14ac:dyDescent="0.25">
      <c r="B39" s="186" t="s">
        <v>127</v>
      </c>
      <c r="C39" s="190">
        <f>('Balance Sheet'!C33-'Balance Sheet'!C26)/'Balance Sheet'!C62</f>
        <v>1.1036221596496172</v>
      </c>
      <c r="D39" s="190">
        <f>('Balance Sheet'!D33-'Balance Sheet'!D26)/'Balance Sheet'!D62</f>
        <v>1.1132274914024249</v>
      </c>
      <c r="E39" s="190">
        <f>('Balance Sheet'!E33-'Balance Sheet'!E26)/'Balance Sheet'!E62</f>
        <v>1.1320752133635321</v>
      </c>
      <c r="F39" s="190">
        <f>('Balance Sheet'!F33-'Balance Sheet'!F26)/'Balance Sheet'!F62</f>
        <v>1.1326604585248563</v>
      </c>
      <c r="G39" s="190">
        <f>('Balance Sheet'!G33-'Balance Sheet'!G26)/'Balance Sheet'!G62</f>
        <v>1.1384073697492272</v>
      </c>
      <c r="H39" s="182">
        <f>('Balance Sheet'!H33-'Balance Sheet'!H26)/'Balance Sheet'!H62</f>
        <v>1.1416347694129998</v>
      </c>
      <c r="I39" s="182">
        <f>('Balance Sheet'!I33-'Balance Sheet'!I26)/'Balance Sheet'!I62</f>
        <v>1.1451922540422335</v>
      </c>
      <c r="J39" s="182">
        <f>('Balance Sheet'!J33-'Balance Sheet'!J26)/'Balance Sheet'!J62</f>
        <v>1.1482459541759369</v>
      </c>
      <c r="K39" s="182">
        <f>('Balance Sheet'!K33-'Balance Sheet'!K26)/'Balance Sheet'!K62</f>
        <v>1.1509749962090381</v>
      </c>
      <c r="L39" s="182">
        <f>('Balance Sheet'!L33-'Balance Sheet'!L26)/'Balance Sheet'!L62</f>
        <v>1.1532885018599373</v>
      </c>
      <c r="M39" s="182">
        <f>('Balance Sheet'!M33-'Balance Sheet'!M26)/'Balance Sheet'!M62</f>
        <v>1.1553562209693189</v>
      </c>
      <c r="N39" s="182">
        <f>('Balance Sheet'!N33-'Balance Sheet'!N26)/'Balance Sheet'!N62</f>
        <v>1.1570788466755098</v>
      </c>
      <c r="O39" s="182">
        <f>('Balance Sheet'!O33-'Balance Sheet'!O26)/'Balance Sheet'!O62</f>
        <v>1.1586186445818101</v>
      </c>
      <c r="P39" s="182">
        <f>('Balance Sheet'!P33-'Balance Sheet'!P26)/'Balance Sheet'!P62</f>
        <v>1.1598695799013605</v>
      </c>
      <c r="Q39" s="183">
        <f>('Balance Sheet'!Q33-'Balance Sheet'!Q26)/'Balance Sheet'!Q62</f>
        <v>1.1609879443617135</v>
      </c>
      <c r="R39" s="91"/>
      <c r="S39" s="175" t="s">
        <v>298</v>
      </c>
    </row>
    <row r="40" spans="2:19" x14ac:dyDescent="0.25">
      <c r="B40" s="184"/>
      <c r="C40" s="190"/>
      <c r="D40" s="190"/>
      <c r="E40" s="190"/>
      <c r="F40" s="190"/>
      <c r="G40" s="190"/>
      <c r="H40" s="182"/>
      <c r="I40" s="182"/>
      <c r="J40" s="182"/>
      <c r="K40" s="182"/>
      <c r="L40" s="182"/>
      <c r="M40" s="182"/>
      <c r="N40" s="182"/>
      <c r="O40" s="182"/>
      <c r="P40" s="182"/>
      <c r="Q40" s="183"/>
      <c r="R40" s="91"/>
      <c r="S40" s="177"/>
    </row>
    <row r="41" spans="2:19" ht="71.25" x14ac:dyDescent="0.25">
      <c r="B41" s="184" t="s">
        <v>128</v>
      </c>
      <c r="C41" s="190">
        <f>'Balance Sheet'!C33/'Balance Sheet'!C62</f>
        <v>1.1036221596496172</v>
      </c>
      <c r="D41" s="190">
        <f>'Balance Sheet'!D33/'Balance Sheet'!D62</f>
        <v>1.1132274914024249</v>
      </c>
      <c r="E41" s="190">
        <f>'Balance Sheet'!E33/'Balance Sheet'!E62</f>
        <v>1.1320752133635321</v>
      </c>
      <c r="F41" s="190">
        <f>'Balance Sheet'!F33/'Balance Sheet'!F62</f>
        <v>1.1326604585248563</v>
      </c>
      <c r="G41" s="190">
        <f>'Balance Sheet'!G33/'Balance Sheet'!G62</f>
        <v>1.1384073697492272</v>
      </c>
      <c r="H41" s="182">
        <f>'Balance Sheet'!H33/'Balance Sheet'!H62</f>
        <v>1.1416347694129998</v>
      </c>
      <c r="I41" s="182">
        <f>'Balance Sheet'!I33/'Balance Sheet'!I62</f>
        <v>1.1451922540422335</v>
      </c>
      <c r="J41" s="182">
        <f>'Balance Sheet'!J33/'Balance Sheet'!J62</f>
        <v>1.1482459541759369</v>
      </c>
      <c r="K41" s="182">
        <f>'Balance Sheet'!K33/'Balance Sheet'!K62</f>
        <v>1.1509749962090381</v>
      </c>
      <c r="L41" s="182">
        <f>'Balance Sheet'!L33/'Balance Sheet'!L62</f>
        <v>1.1532885018599373</v>
      </c>
      <c r="M41" s="182">
        <f>'Balance Sheet'!M33/'Balance Sheet'!M62</f>
        <v>1.1553562209693189</v>
      </c>
      <c r="N41" s="182">
        <f>'Balance Sheet'!N33/'Balance Sheet'!N62</f>
        <v>1.1570788466755098</v>
      </c>
      <c r="O41" s="182">
        <f>'Balance Sheet'!O33/'Balance Sheet'!O62</f>
        <v>1.1586186445818101</v>
      </c>
      <c r="P41" s="182">
        <f>'Balance Sheet'!P33/'Balance Sheet'!P62</f>
        <v>1.1598695799013605</v>
      </c>
      <c r="Q41" s="183">
        <f>'Balance Sheet'!Q33/'Balance Sheet'!Q62</f>
        <v>1.1609879443617135</v>
      </c>
      <c r="R41" s="91"/>
      <c r="S41" s="175" t="s">
        <v>299</v>
      </c>
    </row>
    <row r="42" spans="2:19" x14ac:dyDescent="0.25">
      <c r="B42" s="184"/>
      <c r="C42" s="190"/>
      <c r="D42" s="190"/>
      <c r="E42" s="190"/>
      <c r="F42" s="190"/>
      <c r="G42" s="190"/>
      <c r="H42" s="182"/>
      <c r="I42" s="182"/>
      <c r="J42" s="182"/>
      <c r="K42" s="182"/>
      <c r="L42" s="182"/>
      <c r="M42" s="182"/>
      <c r="N42" s="182"/>
      <c r="O42" s="182"/>
      <c r="P42" s="182"/>
      <c r="Q42" s="183"/>
      <c r="R42" s="91"/>
      <c r="S42" s="177"/>
    </row>
    <row r="43" spans="2:19" ht="42.75" x14ac:dyDescent="0.25">
      <c r="B43" s="184" t="s">
        <v>129</v>
      </c>
      <c r="C43" s="190">
        <f>'working Capital'!C18</f>
        <v>64.569999999999993</v>
      </c>
      <c r="D43" s="190">
        <f>'working Capital'!D18</f>
        <v>78.56</v>
      </c>
      <c r="E43" s="190">
        <f>'working Capital'!E18</f>
        <v>58.07</v>
      </c>
      <c r="F43" s="190">
        <f>'working Capital'!F18</f>
        <v>71.319999999999993</v>
      </c>
      <c r="G43" s="190">
        <f>'working Capital'!G18</f>
        <v>63.309999999999988</v>
      </c>
      <c r="H43" s="182">
        <f>'working Capital'!H18</f>
        <v>90.608764909159405</v>
      </c>
      <c r="I43" s="182">
        <f>'working Capital'!I18</f>
        <v>101.53798605161941</v>
      </c>
      <c r="J43" s="182">
        <f>'working Capital'!J18</f>
        <v>113.78548887356757</v>
      </c>
      <c r="K43" s="182">
        <f>'working Capital'!K18</f>
        <v>127.51028439361367</v>
      </c>
      <c r="L43" s="182">
        <f>'working Capital'!L18</f>
        <v>142.89056352525091</v>
      </c>
      <c r="M43" s="182">
        <f>'working Capital'!M18</f>
        <v>160.1260105540662</v>
      </c>
      <c r="N43" s="182">
        <f>'working Capital'!N18</f>
        <v>179.44039566636522</v>
      </c>
      <c r="O43" s="182">
        <f>'working Capital'!O18</f>
        <v>201.0844801883691</v>
      </c>
      <c r="P43" s="182">
        <f>'working Capital'!P18</f>
        <v>225.33927225510377</v>
      </c>
      <c r="Q43" s="183">
        <f>'working Capital'!Q18</f>
        <v>252.51967517778036</v>
      </c>
      <c r="R43" s="91"/>
      <c r="S43" s="175" t="s">
        <v>285</v>
      </c>
    </row>
    <row r="44" spans="2:19" x14ac:dyDescent="0.25">
      <c r="B44" s="184"/>
      <c r="C44" s="188"/>
      <c r="D44" s="188"/>
      <c r="E44" s="188"/>
      <c r="F44" s="188"/>
      <c r="G44" s="188"/>
      <c r="H44" s="178"/>
      <c r="I44" s="178"/>
      <c r="J44" s="178"/>
      <c r="K44" s="178"/>
      <c r="L44" s="178"/>
      <c r="M44" s="178"/>
      <c r="N44" s="178"/>
      <c r="O44" s="178"/>
      <c r="P44" s="178"/>
      <c r="Q44" s="179"/>
      <c r="R44" s="91"/>
      <c r="S44" s="177"/>
    </row>
    <row r="45" spans="2:19" x14ac:dyDescent="0.25">
      <c r="B45" s="185" t="s">
        <v>130</v>
      </c>
      <c r="C45" s="188"/>
      <c r="D45" s="188"/>
      <c r="E45" s="188"/>
      <c r="F45" s="188"/>
      <c r="G45" s="188"/>
      <c r="H45" s="178"/>
      <c r="I45" s="178"/>
      <c r="J45" s="178"/>
      <c r="K45" s="178"/>
      <c r="L45" s="178"/>
      <c r="M45" s="178"/>
      <c r="N45" s="178"/>
      <c r="O45" s="178"/>
      <c r="P45" s="178"/>
      <c r="Q45" s="179"/>
      <c r="R45" s="91"/>
      <c r="S45" s="177"/>
    </row>
    <row r="46" spans="2:19" ht="42.75" x14ac:dyDescent="0.25">
      <c r="B46" s="186" t="s">
        <v>131</v>
      </c>
      <c r="C46" s="190">
        <f>'Balance Sheet'!C36/'Balance Sheet'!C43</f>
        <v>9.8040983229099652</v>
      </c>
      <c r="D46" s="190">
        <f>'Balance Sheet'!D36/'Balance Sheet'!D43</f>
        <v>9.1597548483420006</v>
      </c>
      <c r="E46" s="190">
        <f>'Balance Sheet'!E36/'Balance Sheet'!E43</f>
        <v>8.0067679253850308</v>
      </c>
      <c r="F46" s="190">
        <f>'Balance Sheet'!F36/'Balance Sheet'!F43</f>
        <v>8.0092681568004132</v>
      </c>
      <c r="G46" s="190">
        <f>'Balance Sheet'!G36/'Balance Sheet'!G43</f>
        <v>7.9046735952646161</v>
      </c>
      <c r="H46" s="182">
        <f>'Balance Sheet'!H36/'Balance Sheet'!H43</f>
        <v>7.6568155954909081</v>
      </c>
      <c r="I46" s="182">
        <f>'Balance Sheet'!I36/'Balance Sheet'!I43</f>
        <v>7.5078099173649857</v>
      </c>
      <c r="J46" s="182">
        <f>'Balance Sheet'!J36/'Balance Sheet'!J43</f>
        <v>7.3853682849009701</v>
      </c>
      <c r="K46" s="182">
        <f>'Balance Sheet'!K36/'Balance Sheet'!K43</f>
        <v>7.2798446359039231</v>
      </c>
      <c r="L46" s="182">
        <f>'Balance Sheet'!L36/'Balance Sheet'!L43</f>
        <v>7.1933085618638808</v>
      </c>
      <c r="M46" s="182">
        <f>'Balance Sheet'!M36/'Balance Sheet'!M43</f>
        <v>7.118010051796821</v>
      </c>
      <c r="N46" s="182">
        <f>'Balance Sheet'!N36/'Balance Sheet'!N43</f>
        <v>7.0568825958209125</v>
      </c>
      <c r="O46" s="182">
        <f>'Balance Sheet'!O36/'Balance Sheet'!O43</f>
        <v>7.0033060673284906</v>
      </c>
      <c r="P46" s="182">
        <f>'Balance Sheet'!P36/'Balance Sheet'!P43</f>
        <v>6.9606961832471601</v>
      </c>
      <c r="Q46" s="183">
        <f>'Balance Sheet'!Q36/'Balance Sheet'!Q43</f>
        <v>6.923140613030899</v>
      </c>
      <c r="R46" s="91"/>
      <c r="S46" s="175" t="s">
        <v>300</v>
      </c>
    </row>
    <row r="47" spans="2:19" x14ac:dyDescent="0.25">
      <c r="B47" s="184"/>
      <c r="C47" s="190"/>
      <c r="D47" s="190"/>
      <c r="E47" s="190"/>
      <c r="F47" s="190"/>
      <c r="G47" s="190"/>
      <c r="H47" s="182"/>
      <c r="I47" s="182"/>
      <c r="J47" s="182"/>
      <c r="K47" s="182"/>
      <c r="L47" s="182"/>
      <c r="M47" s="182"/>
      <c r="N47" s="182"/>
      <c r="O47" s="182"/>
      <c r="P47" s="182"/>
      <c r="Q47" s="183"/>
      <c r="R47" s="91"/>
      <c r="S47" s="177"/>
    </row>
    <row r="48" spans="2:19" ht="42.75" x14ac:dyDescent="0.25">
      <c r="B48" s="186" t="s">
        <v>132</v>
      </c>
      <c r="C48" s="190">
        <f>'Balance Sheet'!C58/'Balance Sheet'!C43</f>
        <v>1.7388945721362297</v>
      </c>
      <c r="D48" s="190">
        <f>'Balance Sheet'!D58/'Balance Sheet'!D43</f>
        <v>1.9538318427983958</v>
      </c>
      <c r="E48" s="190">
        <f>'Balance Sheet'!E58/'Balance Sheet'!E43</f>
        <v>2.0784071044800552</v>
      </c>
      <c r="F48" s="190">
        <f>'Balance Sheet'!F58/'Balance Sheet'!F43</f>
        <v>2.3591350110313898</v>
      </c>
      <c r="G48" s="190">
        <f>'Balance Sheet'!G58/'Balance Sheet'!G43</f>
        <v>2.4814914149552449</v>
      </c>
      <c r="H48" s="182">
        <f>'Balance Sheet'!H58/'Balance Sheet'!H43</f>
        <v>1.8998644857854177</v>
      </c>
      <c r="I48" s="182">
        <f>'Balance Sheet'!I58/'Balance Sheet'!I43</f>
        <v>1.8573380567457478</v>
      </c>
      <c r="J48" s="182">
        <f>'Balance Sheet'!J58/'Balance Sheet'!J43</f>
        <v>1.8223930435088564</v>
      </c>
      <c r="K48" s="182">
        <f>'Balance Sheet'!K58/'Balance Sheet'!K43</f>
        <v>1.7922764464266454</v>
      </c>
      <c r="L48" s="182">
        <f>'Balance Sheet'!L58/'Balance Sheet'!L43</f>
        <v>1.7675789298063358</v>
      </c>
      <c r="M48" s="182">
        <f>'Balance Sheet'!M58/'Balance Sheet'!M43</f>
        <v>1.7460886296685545</v>
      </c>
      <c r="N48" s="182">
        <f>'Balance Sheet'!N58/'Balance Sheet'!N43</f>
        <v>1.7286427681978382</v>
      </c>
      <c r="O48" s="182">
        <f>'Balance Sheet'!O58/'Balance Sheet'!O43</f>
        <v>1.7133519519968643</v>
      </c>
      <c r="P48" s="182">
        <f>'Balance Sheet'!P58/'Balance Sheet'!P43</f>
        <v>1.7011910314563607</v>
      </c>
      <c r="Q48" s="183">
        <f>'Balance Sheet'!Q58/'Balance Sheet'!Q43</f>
        <v>1.6904726191654116</v>
      </c>
      <c r="R48" s="91"/>
      <c r="S48" s="175" t="s">
        <v>301</v>
      </c>
    </row>
    <row r="49" spans="2:19" x14ac:dyDescent="0.25">
      <c r="B49" s="184"/>
      <c r="C49" s="188"/>
      <c r="D49" s="188"/>
      <c r="E49" s="188"/>
      <c r="F49" s="188"/>
      <c r="G49" s="188"/>
      <c r="H49" s="178"/>
      <c r="I49" s="178"/>
      <c r="J49" s="178"/>
      <c r="K49" s="178"/>
      <c r="L49" s="178"/>
      <c r="M49" s="178"/>
      <c r="N49" s="178"/>
      <c r="O49" s="178"/>
      <c r="P49" s="178"/>
      <c r="Q49" s="179"/>
      <c r="R49" s="91"/>
      <c r="S49" s="177"/>
    </row>
    <row r="50" spans="2:19" x14ac:dyDescent="0.25">
      <c r="B50" s="185" t="s">
        <v>133</v>
      </c>
      <c r="C50" s="188"/>
      <c r="D50" s="188"/>
      <c r="E50" s="188"/>
      <c r="F50" s="188"/>
      <c r="G50" s="188"/>
      <c r="H50" s="178"/>
      <c r="I50" s="178"/>
      <c r="J50" s="178"/>
      <c r="K50" s="178"/>
      <c r="L50" s="178"/>
      <c r="M50" s="178"/>
      <c r="N50" s="178"/>
      <c r="O50" s="178"/>
      <c r="P50" s="178"/>
      <c r="Q50" s="179"/>
      <c r="R50" s="91"/>
      <c r="S50" s="177"/>
    </row>
    <row r="51" spans="2:19" ht="57" x14ac:dyDescent="0.25">
      <c r="B51" s="184" t="s">
        <v>134</v>
      </c>
      <c r="C51" s="188"/>
      <c r="D51" s="190">
        <f>'Income Statement'!D12/AVERAGE('Balance Sheet'!C24:D24)</f>
        <v>24.544904123302096</v>
      </c>
      <c r="E51" s="190">
        <f>'Income Statement'!E12/AVERAGE('Balance Sheet'!D24:E24)</f>
        <v>59.4881952387084</v>
      </c>
      <c r="F51" s="190">
        <f>'Income Statement'!F12/AVERAGE('Balance Sheet'!E24:F24)</f>
        <v>416.23975960778108</v>
      </c>
      <c r="G51" s="190">
        <f>'Income Statement'!G12/AVERAGE('Balance Sheet'!F24:G24)</f>
        <v>305.05538609728688</v>
      </c>
      <c r="H51" s="182">
        <f>'Income Statement'!H12/AVERAGE('Balance Sheet'!G24:H24)</f>
        <v>9.8105445706503751</v>
      </c>
      <c r="I51" s="182">
        <f>'Income Statement'!I12/AVERAGE('Balance Sheet'!H24:I24)</f>
        <v>4.8546842812918287</v>
      </c>
      <c r="J51" s="182">
        <f>'Income Statement'!J12/AVERAGE('Balance Sheet'!I24:J24)</f>
        <v>4.2173854488688374</v>
      </c>
      <c r="K51" s="182">
        <f>'Income Statement'!K12/AVERAGE('Balance Sheet'!J24:K24)</f>
        <v>3.7825555790039882</v>
      </c>
      <c r="L51" s="182">
        <f>'Income Statement'!L12/AVERAGE('Balance Sheet'!K24:L24)</f>
        <v>3.4709604992098591</v>
      </c>
      <c r="M51" s="182">
        <f>'Income Statement'!M12/AVERAGE('Balance Sheet'!L24:M24)</f>
        <v>3.238800503880904</v>
      </c>
      <c r="N51" s="182">
        <f>'Income Statement'!N12/AVERAGE('Balance Sheet'!M24:N24)</f>
        <v>3.0619708535564021</v>
      </c>
      <c r="O51" s="182">
        <f>'Income Statement'!O12/AVERAGE('Balance Sheet'!N24:O24)</f>
        <v>2.9242755418533068</v>
      </c>
      <c r="P51" s="182">
        <f>'Income Statement'!P12/AVERAGE('Balance Sheet'!O24:P24)</f>
        <v>2.8162349268654965</v>
      </c>
      <c r="Q51" s="183">
        <f>'Income Statement'!Q12/AVERAGE('Balance Sheet'!P24:Q24)</f>
        <v>2.730359225980064</v>
      </c>
      <c r="R51" s="91"/>
      <c r="S51" s="175" t="s">
        <v>302</v>
      </c>
    </row>
    <row r="52" spans="2:19" x14ac:dyDescent="0.25">
      <c r="B52" s="184"/>
      <c r="C52" s="188"/>
      <c r="D52" s="188"/>
      <c r="E52" s="188"/>
      <c r="F52" s="188"/>
      <c r="G52" s="188"/>
      <c r="H52" s="178"/>
      <c r="I52" s="178"/>
      <c r="J52" s="178"/>
      <c r="K52" s="178"/>
      <c r="L52" s="178"/>
      <c r="M52" s="178"/>
      <c r="N52" s="178"/>
      <c r="O52" s="178"/>
      <c r="P52" s="178"/>
      <c r="Q52" s="179"/>
      <c r="R52" s="91"/>
      <c r="S52" s="177"/>
    </row>
    <row r="53" spans="2:19" ht="57" x14ac:dyDescent="0.25">
      <c r="B53" s="184" t="s">
        <v>135</v>
      </c>
      <c r="C53" s="190">
        <f>'working Capital'!C20</f>
        <v>1.3502538274588054</v>
      </c>
      <c r="D53" s="190">
        <f>'working Capital'!D20</f>
        <v>1.4380223938110994</v>
      </c>
      <c r="E53" s="190">
        <f>'working Capital'!E20</f>
        <v>0.87882823750510897</v>
      </c>
      <c r="F53" s="190">
        <f>'working Capital'!F20</f>
        <v>1.0447522256553354</v>
      </c>
      <c r="G53" s="190">
        <f>'working Capital'!G20</f>
        <v>1.1818670764502497</v>
      </c>
      <c r="H53" s="182">
        <f>'working Capital'!H20</f>
        <v>1.1358674833554483</v>
      </c>
      <c r="I53" s="182">
        <f>'working Capital'!I20</f>
        <v>1.1358674833554485</v>
      </c>
      <c r="J53" s="182">
        <f>'working Capital'!J20</f>
        <v>1.1358674833554485</v>
      </c>
      <c r="K53" s="182">
        <f>'working Capital'!K20</f>
        <v>1.1358674833554485</v>
      </c>
      <c r="L53" s="182">
        <f>'working Capital'!L20</f>
        <v>1.1358674833554485</v>
      </c>
      <c r="M53" s="182">
        <f>'working Capital'!M20</f>
        <v>1.1358674833554485</v>
      </c>
      <c r="N53" s="182">
        <f>'working Capital'!N20</f>
        <v>1.1358674833554485</v>
      </c>
      <c r="O53" s="182">
        <f>'working Capital'!O20</f>
        <v>1.1358674833554485</v>
      </c>
      <c r="P53" s="182">
        <f>'working Capital'!P20</f>
        <v>1.1358674833554485</v>
      </c>
      <c r="Q53" s="183">
        <f>'working Capital'!Q20</f>
        <v>1.1358674833554485</v>
      </c>
      <c r="R53" s="91"/>
      <c r="S53" s="175" t="s">
        <v>273</v>
      </c>
    </row>
    <row r="54" spans="2:19" x14ac:dyDescent="0.25">
      <c r="B54" s="184"/>
      <c r="C54" s="188"/>
      <c r="D54" s="188"/>
      <c r="E54" s="188"/>
      <c r="F54" s="188"/>
      <c r="G54" s="188"/>
      <c r="H54" s="178"/>
      <c r="I54" s="178"/>
      <c r="J54" s="178"/>
      <c r="K54" s="178"/>
      <c r="L54" s="178"/>
      <c r="M54" s="178"/>
      <c r="N54" s="178"/>
      <c r="O54" s="178"/>
      <c r="P54" s="178"/>
      <c r="Q54" s="179"/>
      <c r="R54" s="91"/>
      <c r="S54" s="177"/>
    </row>
    <row r="55" spans="2:19" ht="42.75" x14ac:dyDescent="0.25">
      <c r="B55" s="184" t="s">
        <v>136</v>
      </c>
      <c r="C55" s="190">
        <f>'working Capital'!C22</f>
        <v>0.56280901496770108</v>
      </c>
      <c r="D55" s="190">
        <f>'working Capital'!D22</f>
        <v>0.63148966547669538</v>
      </c>
      <c r="E55" s="190">
        <f>'working Capital'!E22</f>
        <v>0.33907619359266394</v>
      </c>
      <c r="F55" s="190">
        <f>'working Capital'!F22</f>
        <v>0.38535639615322465</v>
      </c>
      <c r="G55" s="190">
        <f>'working Capital'!G22</f>
        <v>0.69542835190165198</v>
      </c>
      <c r="H55" s="182">
        <f>'working Capital'!H22</f>
        <v>0.512837651781059</v>
      </c>
      <c r="I55" s="182">
        <f>'working Capital'!I22</f>
        <v>0.512837651781059</v>
      </c>
      <c r="J55" s="182">
        <f>'working Capital'!J22</f>
        <v>0.512837651781059</v>
      </c>
      <c r="K55" s="182">
        <f>'working Capital'!K22</f>
        <v>0.512837651781059</v>
      </c>
      <c r="L55" s="182">
        <f>'working Capital'!L22</f>
        <v>0.512837651781059</v>
      </c>
      <c r="M55" s="182">
        <f>'working Capital'!M22</f>
        <v>0.512837651781059</v>
      </c>
      <c r="N55" s="182">
        <f>'working Capital'!N22</f>
        <v>0.512837651781059</v>
      </c>
      <c r="O55" s="182">
        <f>'working Capital'!O22</f>
        <v>0.512837651781059</v>
      </c>
      <c r="P55" s="182">
        <f>'working Capital'!P22</f>
        <v>0.512837651781059</v>
      </c>
      <c r="Q55" s="183">
        <f>'working Capital'!Q22</f>
        <v>0.512837651781059</v>
      </c>
      <c r="R55" s="91"/>
      <c r="S55" s="175" t="s">
        <v>274</v>
      </c>
    </row>
    <row r="56" spans="2:19" x14ac:dyDescent="0.25">
      <c r="B56" s="184"/>
      <c r="C56" s="188"/>
      <c r="D56" s="188"/>
      <c r="E56" s="188"/>
      <c r="F56" s="188"/>
      <c r="G56" s="188"/>
      <c r="H56" s="178"/>
      <c r="I56" s="178"/>
      <c r="J56" s="178"/>
      <c r="K56" s="178"/>
      <c r="L56" s="178"/>
      <c r="M56" s="178"/>
      <c r="N56" s="178"/>
      <c r="O56" s="178"/>
      <c r="P56" s="178"/>
      <c r="Q56" s="179"/>
      <c r="R56" s="91"/>
      <c r="S56" s="177"/>
    </row>
    <row r="57" spans="2:19" ht="71.25" x14ac:dyDescent="0.25">
      <c r="B57" s="186" t="s">
        <v>137</v>
      </c>
      <c r="C57" s="189">
        <f>'Income Statement'!C42/SUM('Balance Sheet'!C43,'Balance Sheet'!C58)</f>
        <v>5.1288388336359542E-2</v>
      </c>
      <c r="D57" s="189">
        <f>'Income Statement'!D42/SUM('Balance Sheet'!D43,'Balance Sheet'!D58)</f>
        <v>6.4811297233902457E-2</v>
      </c>
      <c r="E57" s="189">
        <f>'Income Statement'!E42/SUM('Balance Sheet'!E43,'Balance Sheet'!E58)</f>
        <v>6.353088445978361E-2</v>
      </c>
      <c r="F57" s="189">
        <f>'Income Statement'!F42/SUM('Balance Sheet'!F43,'Balance Sheet'!F58)</f>
        <v>5.7197739089743446E-2</v>
      </c>
      <c r="G57" s="189">
        <f>'Income Statement'!G42/SUM('Balance Sheet'!G43,'Balance Sheet'!G58)</f>
        <v>5.858737263520105E-2</v>
      </c>
      <c r="H57" s="180">
        <f>'Income Statement'!H42/SUM('Balance Sheet'!H43,'Balance Sheet'!H58)</f>
        <v>5.9631459717739303E-2</v>
      </c>
      <c r="I57" s="180">
        <f>'Income Statement'!I42/SUM('Balance Sheet'!I43,'Balance Sheet'!I58)</f>
        <v>5.9172663943347741E-2</v>
      </c>
      <c r="J57" s="180">
        <f>'Income Statement'!J42/SUM('Balance Sheet'!J43,'Balance Sheet'!J58)</f>
        <v>5.8410071433084153E-2</v>
      </c>
      <c r="K57" s="180">
        <f>'Income Statement'!K42/SUM('Balance Sheet'!K43,'Balance Sheet'!K58)</f>
        <v>5.8070963649652654E-2</v>
      </c>
      <c r="L57" s="180">
        <f>'Income Statement'!L42/SUM('Balance Sheet'!L43,'Balance Sheet'!L58)</f>
        <v>5.7416130765577306E-2</v>
      </c>
      <c r="M57" s="180">
        <f>'Income Statement'!M42/SUM('Balance Sheet'!M43,'Balance Sheet'!M58)</f>
        <v>5.7167141029248157E-2</v>
      </c>
      <c r="N57" s="180">
        <f>'Income Statement'!N42/SUM('Balance Sheet'!N43,'Balance Sheet'!N58)</f>
        <v>5.6593837391718825E-2</v>
      </c>
      <c r="O57" s="180">
        <f>'Income Statement'!O42/SUM('Balance Sheet'!O43,'Balance Sheet'!O58)</f>
        <v>5.6413478947689222E-2</v>
      </c>
      <c r="P57" s="180">
        <f>'Income Statement'!P42/SUM('Balance Sheet'!P43,'Balance Sheet'!P58)</f>
        <v>5.59024269797836E-2</v>
      </c>
      <c r="Q57" s="181">
        <f>'Income Statement'!Q42/SUM('Balance Sheet'!Q43,'Balance Sheet'!Q58)</f>
        <v>5.5774805206728659E-2</v>
      </c>
      <c r="R57" s="91"/>
      <c r="S57" s="175" t="s">
        <v>303</v>
      </c>
    </row>
    <row r="58" spans="2:19" x14ac:dyDescent="0.25">
      <c r="B58" s="288"/>
      <c r="C58" s="284"/>
    </row>
    <row r="59" spans="2:19" x14ac:dyDescent="0.25">
      <c r="B59" s="287"/>
      <c r="C59" s="119"/>
      <c r="D59" s="39"/>
      <c r="E59" s="39"/>
      <c r="F59" s="39"/>
      <c r="G59" s="39"/>
      <c r="H59" s="39"/>
      <c r="I59" s="39"/>
      <c r="J59" s="39"/>
      <c r="K59" s="39"/>
      <c r="L59" s="39"/>
      <c r="M59" s="39"/>
      <c r="N59" s="39"/>
      <c r="O59" s="39"/>
      <c r="P59" s="39"/>
      <c r="Q59" s="39"/>
      <c r="R59" s="39"/>
      <c r="S59" s="39"/>
    </row>
  </sheetData>
  <mergeCells count="2">
    <mergeCell ref="B7:B8"/>
    <mergeCell ref="B6:Q6"/>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ax="0" manualMin="0" displayEmptyCellsAs="gap" xr2:uid="{87B6782F-9B4F-4746-BC27-C1F41018D0FF}">
          <x14:colorSeries rgb="FF376092"/>
          <x14:colorNegative rgb="FFD00000"/>
          <x14:colorAxis rgb="FF000000"/>
          <x14:colorMarkers rgb="FFD00000"/>
          <x14:colorFirst rgb="FFD00000"/>
          <x14:colorLast rgb="FFD00000"/>
          <x14:colorHigh rgb="FFD00000"/>
          <x14:colorLow rgb="FFD00000"/>
          <x14:sparklines>
            <x14:sparkline>
              <xm:f>'Ratio Analysis'!C11:Q11</xm:f>
              <xm:sqref>R11</xm:sqref>
            </x14:sparkline>
            <x14:sparkline>
              <xm:f>'Ratio Analysis'!C12:Q12</xm:f>
              <xm:sqref>R12</xm:sqref>
            </x14:sparkline>
            <x14:sparkline>
              <xm:f>'Ratio Analysis'!C13:Q13</xm:f>
              <xm:sqref>R13</xm:sqref>
            </x14:sparkline>
            <x14:sparkline>
              <xm:f>'Ratio Analysis'!C14:Q14</xm:f>
              <xm:sqref>R14</xm:sqref>
            </x14:sparkline>
            <x14:sparkline>
              <xm:f>'Ratio Analysis'!C15:Q15</xm:f>
              <xm:sqref>R15</xm:sqref>
            </x14:sparkline>
            <x14:sparkline>
              <xm:f>'Ratio Analysis'!C16:Q16</xm:f>
              <xm:sqref>R16</xm:sqref>
            </x14:sparkline>
            <x14:sparkline>
              <xm:f>'Ratio Analysis'!C17:Q17</xm:f>
              <xm:sqref>R17</xm:sqref>
            </x14:sparkline>
            <x14:sparkline>
              <xm:f>'Ratio Analysis'!C18:Q18</xm:f>
              <xm:sqref>R18</xm:sqref>
            </x14:sparkline>
            <x14:sparkline>
              <xm:f>'Ratio Analysis'!C19:Q19</xm:f>
              <xm:sqref>R19</xm:sqref>
            </x14:sparkline>
          </x14:sparklines>
        </x14:sparklineGroup>
        <x14:sparklineGroup manualMax="0" manualMin="0" displayEmptyCellsAs="gap" xr2:uid="{47CC2BDF-DF80-4EC8-B124-37B31855B736}">
          <x14:colorSeries rgb="FF376092"/>
          <x14:colorNegative rgb="FFD00000"/>
          <x14:colorAxis rgb="FF000000"/>
          <x14:colorMarkers rgb="FFD00000"/>
          <x14:colorFirst rgb="FFD00000"/>
          <x14:colorLast rgb="FFD00000"/>
          <x14:colorHigh rgb="FFD00000"/>
          <x14:colorLow rgb="FFD00000"/>
          <x14:sparklines>
            <x14:sparkline>
              <xm:f>'Ratio Analysis'!D22:Q22</xm:f>
              <xm:sqref>R22</xm:sqref>
            </x14:sparkline>
            <x14:sparkline>
              <xm:f>'Ratio Analysis'!D23:Q23</xm:f>
              <xm:sqref>R23</xm:sqref>
            </x14:sparkline>
            <x14:sparkline>
              <xm:f>'Ratio Analysis'!D24:Q24</xm:f>
              <xm:sqref>R24</xm:sqref>
            </x14:sparkline>
            <x14:sparkline>
              <xm:f>'Ratio Analysis'!D25:Q25</xm:f>
              <xm:sqref>R25</xm:sqref>
            </x14:sparkline>
            <x14:sparkline>
              <xm:f>'Ratio Analysis'!D26:Q26</xm:f>
              <xm:sqref>R26</xm:sqref>
            </x14:sparkline>
          </x14:sparklines>
        </x14:sparklineGroup>
        <x14:sparklineGroup manualMax="0" manualMin="0" displayEmptyCellsAs="gap" xr2:uid="{D5F0A588-902A-44DA-BA64-E1F090AF089A}">
          <x14:colorSeries rgb="FF376092"/>
          <x14:colorNegative rgb="FFD00000"/>
          <x14:colorAxis rgb="FF000000"/>
          <x14:colorMarkers rgb="FFD00000"/>
          <x14:colorFirst rgb="FFD00000"/>
          <x14:colorLast rgb="FFD00000"/>
          <x14:colorHigh rgb="FFD00000"/>
          <x14:colorLow rgb="FFD00000"/>
          <x14:sparklines>
            <x14:sparkline>
              <xm:f>'Ratio Analysis'!C28:Q28</xm:f>
              <xm:sqref>R28</xm:sqref>
            </x14:sparkline>
          </x14:sparklines>
        </x14:sparklineGroup>
        <x14:sparklineGroup manualMax="0" manualMin="0" displayEmptyCellsAs="gap" xr2:uid="{6BFC6C80-2260-4F25-AEA4-DDDBCF8277D2}">
          <x14:colorSeries rgb="FF376092"/>
          <x14:colorNegative rgb="FFD00000"/>
          <x14:colorAxis rgb="FF000000"/>
          <x14:colorMarkers rgb="FFD00000"/>
          <x14:colorFirst rgb="FFD00000"/>
          <x14:colorLast rgb="FFD00000"/>
          <x14:colorHigh rgb="FFD00000"/>
          <x14:colorLow rgb="FFD00000"/>
          <x14:sparklines>
            <x14:sparkline>
              <xm:f>'Ratio Analysis'!D30:Q30</xm:f>
              <xm:sqref>R30</xm:sqref>
            </x14:sparkline>
          </x14:sparklines>
        </x14:sparklineGroup>
        <x14:sparklineGroup manualMax="0" manualMin="0" displayEmptyCellsAs="gap" xr2:uid="{67E3607B-5A70-4D5E-8A22-1F0BA6B5F449}">
          <x14:colorSeries rgb="FF376092"/>
          <x14:colorNegative rgb="FFD00000"/>
          <x14:colorAxis rgb="FF000000"/>
          <x14:colorMarkers rgb="FFD00000"/>
          <x14:colorFirst rgb="FFD00000"/>
          <x14:colorLast rgb="FFD00000"/>
          <x14:colorHigh rgb="FFD00000"/>
          <x14:colorLow rgb="FFD00000"/>
          <x14:sparklines>
            <x14:sparkline>
              <xm:f>'Ratio Analysis'!C32:Q32</xm:f>
              <xm:sqref>R32</xm:sqref>
            </x14:sparkline>
            <x14:sparkline>
              <xm:f>'Ratio Analysis'!C33:Q33</xm:f>
              <xm:sqref>R33</xm:sqref>
            </x14:sparkline>
            <x14:sparkline>
              <xm:f>'Ratio Analysis'!C34:Q34</xm:f>
              <xm:sqref>R34</xm:sqref>
            </x14:sparkline>
          </x14:sparklines>
        </x14:sparklineGroup>
        <x14:sparklineGroup manualMax="0" manualMin="0" displayEmptyCellsAs="gap" xr2:uid="{D3ED6EFB-69CE-47B0-B0ED-DD024371063F}">
          <x14:colorSeries rgb="FF376092"/>
          <x14:colorNegative rgb="FFD00000"/>
          <x14:colorAxis rgb="FF000000"/>
          <x14:colorMarkers rgb="FFD00000"/>
          <x14:colorFirst rgb="FFD00000"/>
          <x14:colorLast rgb="FFD00000"/>
          <x14:colorHigh rgb="FFD00000"/>
          <x14:colorLow rgb="FFD00000"/>
          <x14:sparklines>
            <x14:sparkline>
              <xm:f>'Ratio Analysis'!D36:Q36</xm:f>
              <xm:sqref>R36</xm:sqref>
            </x14:sparkline>
          </x14:sparklines>
        </x14:sparklineGroup>
        <x14:sparklineGroup manualMax="0" manualMin="0" displayEmptyCellsAs="gap" xr2:uid="{615A9206-5E6D-42A7-ACE1-F88CF066B521}">
          <x14:colorSeries rgb="FF376092"/>
          <x14:colorNegative rgb="FFD00000"/>
          <x14:colorAxis rgb="FF000000"/>
          <x14:colorMarkers rgb="FFD00000"/>
          <x14:colorFirst rgb="FFD00000"/>
          <x14:colorLast rgb="FFD00000"/>
          <x14:colorHigh rgb="FFD00000"/>
          <x14:colorLow rgb="FFD00000"/>
          <x14:sparklines>
            <x14:sparkline>
              <xm:f>'Ratio Analysis'!C39:Q39</xm:f>
              <xm:sqref>R39</xm:sqref>
            </x14:sparkline>
            <x14:sparkline>
              <xm:f>'Ratio Analysis'!C40:Q40</xm:f>
              <xm:sqref>R40</xm:sqref>
            </x14:sparkline>
            <x14:sparkline>
              <xm:f>'Ratio Analysis'!C41:Q41</xm:f>
              <xm:sqref>R41</xm:sqref>
            </x14:sparkline>
            <x14:sparkline>
              <xm:f>'Ratio Analysis'!C42:Q42</xm:f>
              <xm:sqref>R42</xm:sqref>
            </x14:sparkline>
            <x14:sparkline>
              <xm:f>'Ratio Analysis'!C43:Q43</xm:f>
              <xm:sqref>R43</xm:sqref>
            </x14:sparkline>
            <x14:sparkline>
              <xm:f>'Ratio Analysis'!C44:Q44</xm:f>
              <xm:sqref>R44</xm:sqref>
            </x14:sparkline>
            <x14:sparkline>
              <xm:f>'Ratio Analysis'!C45:Q45</xm:f>
              <xm:sqref>R45</xm:sqref>
            </x14:sparkline>
            <x14:sparkline>
              <xm:f>'Ratio Analysis'!C46:Q46</xm:f>
              <xm:sqref>R46</xm:sqref>
            </x14:sparkline>
            <x14:sparkline>
              <xm:f>'Ratio Analysis'!C47:Q47</xm:f>
              <xm:sqref>R47</xm:sqref>
            </x14:sparkline>
            <x14:sparkline>
              <xm:f>'Ratio Analysis'!C48:Q48</xm:f>
              <xm:sqref>R48</xm:sqref>
            </x14:sparkline>
          </x14:sparklines>
        </x14:sparklineGroup>
        <x14:sparklineGroup manualMax="0" manualMin="0" displayEmptyCellsAs="gap" xr2:uid="{626054CB-C7B8-49E9-B301-6087B5BD5CD9}">
          <x14:colorSeries rgb="FF376092"/>
          <x14:colorNegative rgb="FFD00000"/>
          <x14:colorAxis rgb="FF000000"/>
          <x14:colorMarkers rgb="FFD00000"/>
          <x14:colorFirst rgb="FFD00000"/>
          <x14:colorLast rgb="FFD00000"/>
          <x14:colorHigh rgb="FFD00000"/>
          <x14:colorLow rgb="FFD00000"/>
          <x14:sparklines>
            <x14:sparkline>
              <xm:f>'Ratio Analysis'!D51:Q51</xm:f>
              <xm:sqref>R51</xm:sqref>
            </x14:sparkline>
          </x14:sparklines>
        </x14:sparklineGroup>
        <x14:sparklineGroup manualMax="0" manualMin="0" displayEmptyCellsAs="gap" xr2:uid="{2B7E9F8E-C5E5-4479-9E18-3A7F621AD836}">
          <x14:colorSeries rgb="FF376092"/>
          <x14:colorNegative rgb="FFD00000"/>
          <x14:colorAxis rgb="FF000000"/>
          <x14:colorMarkers rgb="FFD00000"/>
          <x14:colorFirst rgb="FFD00000"/>
          <x14:colorLast rgb="FFD00000"/>
          <x14:colorHigh rgb="FFD00000"/>
          <x14:colorLow rgb="FFD00000"/>
          <x14:sparklines>
            <x14:sparkline>
              <xm:f>'Ratio Analysis'!C53:Q53</xm:f>
              <xm:sqref>R53</xm:sqref>
            </x14:sparkline>
          </x14:sparklines>
        </x14:sparklineGroup>
        <x14:sparklineGroup manualMax="0" manualMin="0" displayEmptyCellsAs="gap" xr2:uid="{75E6BEFB-9320-482E-9072-B4216E4A76C0}">
          <x14:colorSeries rgb="FF376092"/>
          <x14:colorNegative rgb="FFD00000"/>
          <x14:colorAxis rgb="FF000000"/>
          <x14:colorMarkers rgb="FFD00000"/>
          <x14:colorFirst rgb="FFD00000"/>
          <x14:colorLast rgb="FFD00000"/>
          <x14:colorHigh rgb="FFD00000"/>
          <x14:colorLow rgb="FFD00000"/>
          <x14:sparklines>
            <x14:sparkline>
              <xm:f>'Ratio Analysis'!C55:Q55</xm:f>
              <xm:sqref>R55</xm:sqref>
            </x14:sparkline>
            <x14:sparkline>
              <xm:f>'Ratio Analysis'!C56:Q56</xm:f>
              <xm:sqref>R56</xm:sqref>
            </x14:sparkline>
            <x14:sparkline>
              <xm:f>'Ratio Analysis'!C57:Q57</xm:f>
              <xm:sqref>R57</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ABB4E-8EDA-4BE7-8FBD-9CE8BE620C84}">
  <dimension ref="B6:U43"/>
  <sheetViews>
    <sheetView showGridLines="0" topLeftCell="A40" zoomScale="96" zoomScaleNormal="96" workbookViewId="0">
      <selection activeCell="K44" sqref="K44"/>
    </sheetView>
  </sheetViews>
  <sheetFormatPr defaultRowHeight="15" x14ac:dyDescent="0.25"/>
  <cols>
    <col min="1" max="1" width="0.85546875" customWidth="1"/>
  </cols>
  <sheetData>
    <row r="6" spans="2:20" ht="18" x14ac:dyDescent="0.25">
      <c r="B6" s="303" t="s">
        <v>272</v>
      </c>
      <c r="C6" s="303"/>
      <c r="D6" s="303"/>
      <c r="E6" s="303"/>
      <c r="F6" s="303"/>
      <c r="G6" s="303"/>
      <c r="H6" s="303"/>
      <c r="I6" s="303"/>
      <c r="J6" s="303"/>
      <c r="K6" s="303"/>
      <c r="L6" s="303"/>
      <c r="M6" s="303"/>
      <c r="N6" s="303"/>
      <c r="O6" s="303"/>
      <c r="P6" s="303"/>
      <c r="Q6" s="303"/>
      <c r="R6" s="303"/>
      <c r="S6" s="303"/>
      <c r="T6" s="303"/>
    </row>
    <row r="7" spans="2:20" x14ac:dyDescent="0.25">
      <c r="T7" s="17"/>
    </row>
    <row r="8" spans="2:20" x14ac:dyDescent="0.25">
      <c r="T8" s="17"/>
    </row>
    <row r="9" spans="2:20" x14ac:dyDescent="0.25">
      <c r="T9" s="17"/>
    </row>
    <row r="10" spans="2:20" x14ac:dyDescent="0.25">
      <c r="T10" s="17"/>
    </row>
    <row r="11" spans="2:20" x14ac:dyDescent="0.25">
      <c r="T11" s="17"/>
    </row>
    <row r="12" spans="2:20" x14ac:dyDescent="0.25">
      <c r="T12" s="17"/>
    </row>
    <row r="13" spans="2:20" x14ac:dyDescent="0.25">
      <c r="T13" s="17"/>
    </row>
    <row r="14" spans="2:20" x14ac:dyDescent="0.25">
      <c r="T14" s="17"/>
    </row>
    <row r="15" spans="2:20" x14ac:dyDescent="0.25">
      <c r="T15" s="17"/>
    </row>
    <row r="16" spans="2:20" x14ac:dyDescent="0.25">
      <c r="T16" s="17"/>
    </row>
    <row r="17" spans="20:20" x14ac:dyDescent="0.25">
      <c r="T17" s="17"/>
    </row>
    <row r="18" spans="20:20" x14ac:dyDescent="0.25">
      <c r="T18" s="17"/>
    </row>
    <row r="19" spans="20:20" x14ac:dyDescent="0.25">
      <c r="T19" s="17"/>
    </row>
    <row r="20" spans="20:20" x14ac:dyDescent="0.25">
      <c r="T20" s="17"/>
    </row>
    <row r="21" spans="20:20" x14ac:dyDescent="0.25">
      <c r="T21" s="17"/>
    </row>
    <row r="22" spans="20:20" x14ac:dyDescent="0.25">
      <c r="T22" s="17"/>
    </row>
    <row r="23" spans="20:20" x14ac:dyDescent="0.25">
      <c r="T23" s="17"/>
    </row>
    <row r="24" spans="20:20" x14ac:dyDescent="0.25">
      <c r="T24" s="17"/>
    </row>
    <row r="25" spans="20:20" x14ac:dyDescent="0.25">
      <c r="T25" s="17"/>
    </row>
    <row r="26" spans="20:20" x14ac:dyDescent="0.25">
      <c r="T26" s="17"/>
    </row>
    <row r="27" spans="20:20" x14ac:dyDescent="0.25">
      <c r="T27" s="17"/>
    </row>
    <row r="28" spans="20:20" x14ac:dyDescent="0.25">
      <c r="T28" s="17"/>
    </row>
    <row r="29" spans="20:20" x14ac:dyDescent="0.25">
      <c r="T29" s="17"/>
    </row>
    <row r="30" spans="20:20" x14ac:dyDescent="0.25">
      <c r="T30" s="17"/>
    </row>
    <row r="31" spans="20:20" x14ac:dyDescent="0.25">
      <c r="T31" s="17"/>
    </row>
    <row r="32" spans="20:20" x14ac:dyDescent="0.25">
      <c r="T32" s="17"/>
    </row>
    <row r="33" spans="2:21" x14ac:dyDescent="0.25">
      <c r="T33" s="17"/>
    </row>
    <row r="34" spans="2:21" x14ac:dyDescent="0.25">
      <c r="T34" s="17"/>
    </row>
    <row r="35" spans="2:21" x14ac:dyDescent="0.25">
      <c r="T35" s="17"/>
    </row>
    <row r="36" spans="2:21" x14ac:dyDescent="0.25">
      <c r="T36" s="17"/>
    </row>
    <row r="37" spans="2:21" x14ac:dyDescent="0.25">
      <c r="T37" s="17"/>
    </row>
    <row r="38" spans="2:21" x14ac:dyDescent="0.25">
      <c r="T38" s="17"/>
    </row>
    <row r="39" spans="2:21" x14ac:dyDescent="0.25">
      <c r="T39" s="17"/>
    </row>
    <row r="40" spans="2:21" x14ac:dyDescent="0.25">
      <c r="T40" s="17"/>
    </row>
    <row r="41" spans="2:21" x14ac:dyDescent="0.25">
      <c r="T41" s="17"/>
    </row>
    <row r="42" spans="2:21" x14ac:dyDescent="0.25">
      <c r="T42" s="17"/>
    </row>
    <row r="43" spans="2:21" x14ac:dyDescent="0.25">
      <c r="B43" s="39"/>
      <c r="C43" s="39"/>
      <c r="D43" s="39"/>
      <c r="E43" s="39"/>
      <c r="F43" s="39"/>
      <c r="G43" s="39"/>
      <c r="H43" s="39"/>
      <c r="I43" s="39"/>
      <c r="J43" s="39"/>
      <c r="K43" s="39"/>
      <c r="L43" s="39"/>
      <c r="M43" s="39"/>
      <c r="N43" s="39"/>
      <c r="O43" s="39"/>
      <c r="P43" s="39"/>
      <c r="Q43" s="39"/>
      <c r="R43" s="39"/>
      <c r="S43" s="39"/>
      <c r="T43" s="39"/>
      <c r="U43" s="13"/>
    </row>
  </sheetData>
  <mergeCells count="1">
    <mergeCell ref="B6:T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7CF-2CD7-49C7-928E-DAC2CF1C0E4C}">
  <dimension ref="B6:Q259"/>
  <sheetViews>
    <sheetView showGridLines="0" workbookViewId="0">
      <selection activeCell="K257" sqref="K257"/>
    </sheetView>
  </sheetViews>
  <sheetFormatPr defaultRowHeight="15" x14ac:dyDescent="0.25"/>
  <cols>
    <col min="1" max="1" width="0.85546875" customWidth="1"/>
    <col min="2" max="2" width="21" customWidth="1"/>
    <col min="3" max="3" width="19" customWidth="1"/>
    <col min="4" max="4" width="17.42578125" customWidth="1"/>
    <col min="5" max="5" width="14.5703125" customWidth="1"/>
    <col min="6" max="6" width="15.140625" customWidth="1"/>
    <col min="10" max="10" width="11.5703125" bestFit="1" customWidth="1"/>
    <col min="11" max="11" width="10.85546875" bestFit="1" customWidth="1"/>
    <col min="12" max="12" width="10.28515625" bestFit="1" customWidth="1"/>
  </cols>
  <sheetData>
    <row r="6" spans="2:17" ht="18" x14ac:dyDescent="0.25">
      <c r="B6" s="303" t="s">
        <v>138</v>
      </c>
      <c r="C6" s="303"/>
      <c r="D6" s="303"/>
      <c r="E6" s="303"/>
      <c r="F6" s="303"/>
      <c r="G6" s="303"/>
      <c r="H6" s="303"/>
      <c r="I6" s="303"/>
    </row>
    <row r="8" spans="2:17" x14ac:dyDescent="0.25">
      <c r="B8" s="206" t="s">
        <v>139</v>
      </c>
      <c r="C8" s="207" t="s">
        <v>142</v>
      </c>
      <c r="D8" s="207" t="s">
        <v>140</v>
      </c>
      <c r="E8" s="207" t="s">
        <v>141</v>
      </c>
      <c r="F8" s="208" t="s">
        <v>140</v>
      </c>
    </row>
    <row r="9" spans="2:17" x14ac:dyDescent="0.25">
      <c r="B9" s="193">
        <v>45790</v>
      </c>
      <c r="C9" s="210">
        <v>401.75</v>
      </c>
      <c r="D9" s="14"/>
      <c r="E9" s="210">
        <v>24578.35</v>
      </c>
      <c r="F9" s="24"/>
    </row>
    <row r="10" spans="2:17" x14ac:dyDescent="0.25">
      <c r="B10" s="193">
        <v>45789</v>
      </c>
      <c r="C10" s="210">
        <v>412.65</v>
      </c>
      <c r="D10" s="196">
        <f>C10/C9-1</f>
        <v>2.7131300560049754E-2</v>
      </c>
      <c r="E10" s="210">
        <v>24924.7</v>
      </c>
      <c r="F10" s="197">
        <f>E10/E9-1</f>
        <v>1.4091670108042242E-2</v>
      </c>
    </row>
    <row r="11" spans="2:17" x14ac:dyDescent="0.25">
      <c r="B11" s="193">
        <v>45786</v>
      </c>
      <c r="C11" s="210">
        <v>384.25</v>
      </c>
      <c r="D11" s="196">
        <f t="shared" ref="D11:D13" si="0">C11/C10-1</f>
        <v>-6.88234581364352E-2</v>
      </c>
      <c r="E11" s="210">
        <v>24008</v>
      </c>
      <c r="F11" s="197">
        <f t="shared" ref="F11:F13" si="1">E11/E10-1</f>
        <v>-3.6778777678367236E-2</v>
      </c>
    </row>
    <row r="12" spans="2:17" x14ac:dyDescent="0.25">
      <c r="B12" s="193">
        <v>45785</v>
      </c>
      <c r="C12" s="210">
        <v>392.4</v>
      </c>
      <c r="D12" s="196">
        <f t="shared" si="0"/>
        <v>2.1210149642159948E-2</v>
      </c>
      <c r="E12" s="210">
        <v>24273.8</v>
      </c>
      <c r="F12" s="197">
        <f t="shared" si="1"/>
        <v>1.1071309563478904E-2</v>
      </c>
      <c r="H12" s="191" t="s">
        <v>143</v>
      </c>
      <c r="I12" s="192">
        <f>SLOPE(D10:D257,F10:F257)</f>
        <v>2.4710534589008302</v>
      </c>
    </row>
    <row r="13" spans="2:17" x14ac:dyDescent="0.25">
      <c r="B13" s="193">
        <v>45784</v>
      </c>
      <c r="C13" s="210">
        <v>410.95</v>
      </c>
      <c r="D13" s="196">
        <f t="shared" si="0"/>
        <v>4.7273190621814454E-2</v>
      </c>
      <c r="E13" s="210">
        <v>24414.400000000001</v>
      </c>
      <c r="F13" s="197">
        <f t="shared" si="1"/>
        <v>5.7922533760681461E-3</v>
      </c>
    </row>
    <row r="14" spans="2:17" x14ac:dyDescent="0.25">
      <c r="B14" s="193">
        <v>45783</v>
      </c>
      <c r="C14" s="210">
        <v>404.95</v>
      </c>
      <c r="D14" s="196">
        <f t="shared" ref="D14:D20" si="2">C14/C13-1</f>
        <v>-1.4600316340187325E-2</v>
      </c>
      <c r="E14" s="210">
        <v>24379.599999999999</v>
      </c>
      <c r="F14" s="197">
        <f t="shared" ref="F14:F20" si="3">E14/E13-1</f>
        <v>-1.4253882954323727E-3</v>
      </c>
    </row>
    <row r="15" spans="2:17" x14ac:dyDescent="0.25">
      <c r="B15" s="193">
        <v>45782</v>
      </c>
      <c r="C15" s="210">
        <v>423.3</v>
      </c>
      <c r="D15" s="196">
        <f t="shared" si="2"/>
        <v>4.5314236325472379E-2</v>
      </c>
      <c r="E15" s="210">
        <v>24461.15</v>
      </c>
      <c r="F15" s="197">
        <f t="shared" si="3"/>
        <v>3.3450097622602648E-3</v>
      </c>
    </row>
    <row r="16" spans="2:17" x14ac:dyDescent="0.25">
      <c r="B16" s="193">
        <v>45779</v>
      </c>
      <c r="C16" s="210">
        <v>419.95</v>
      </c>
      <c r="D16" s="196">
        <f t="shared" si="2"/>
        <v>-7.9140089770848299E-3</v>
      </c>
      <c r="E16" s="210">
        <v>24346.7</v>
      </c>
      <c r="F16" s="197">
        <f t="shared" si="3"/>
        <v>-4.6788478873642791E-3</v>
      </c>
      <c r="J16" s="265"/>
      <c r="K16" s="265"/>
      <c r="L16" s="265"/>
      <c r="M16" s="265"/>
      <c r="N16" s="265"/>
      <c r="O16" s="265"/>
      <c r="P16" s="265"/>
      <c r="Q16" s="265"/>
    </row>
    <row r="17" spans="2:6" x14ac:dyDescent="0.25">
      <c r="B17" s="193">
        <v>45777</v>
      </c>
      <c r="C17" s="210">
        <v>420.1</v>
      </c>
      <c r="D17" s="196">
        <f t="shared" si="2"/>
        <v>3.5718537921192173E-4</v>
      </c>
      <c r="E17" s="210">
        <v>24334.7</v>
      </c>
      <c r="F17" s="197">
        <f t="shared" si="3"/>
        <v>-4.9287993855429146E-4</v>
      </c>
    </row>
    <row r="18" spans="2:6" x14ac:dyDescent="0.25">
      <c r="B18" s="193">
        <v>45776</v>
      </c>
      <c r="C18" s="210">
        <v>430.4</v>
      </c>
      <c r="D18" s="196">
        <f t="shared" si="2"/>
        <v>2.4517971911449443E-2</v>
      </c>
      <c r="E18" s="210">
        <v>24335.200000000001</v>
      </c>
      <c r="F18" s="197">
        <f t="shared" si="3"/>
        <v>2.0546791207554094E-5</v>
      </c>
    </row>
    <row r="19" spans="2:6" x14ac:dyDescent="0.25">
      <c r="B19" s="193">
        <v>45775</v>
      </c>
      <c r="C19" s="210">
        <v>433.05</v>
      </c>
      <c r="D19" s="196">
        <f t="shared" si="2"/>
        <v>6.1570631970260248E-3</v>
      </c>
      <c r="E19" s="210">
        <v>24328.5</v>
      </c>
      <c r="F19" s="197">
        <f t="shared" si="3"/>
        <v>-2.7532134521190965E-4</v>
      </c>
    </row>
    <row r="20" spans="2:6" x14ac:dyDescent="0.25">
      <c r="B20" s="193">
        <v>45772</v>
      </c>
      <c r="C20" s="210">
        <v>422.2</v>
      </c>
      <c r="D20" s="196">
        <f t="shared" si="2"/>
        <v>-2.5054843551552963E-2</v>
      </c>
      <c r="E20" s="194">
        <v>24039.35</v>
      </c>
      <c r="F20" s="197">
        <f t="shared" si="3"/>
        <v>-1.1885237478677313E-2</v>
      </c>
    </row>
    <row r="21" spans="2:6" x14ac:dyDescent="0.25">
      <c r="B21" s="193">
        <v>45771</v>
      </c>
      <c r="C21" s="209">
        <v>439.95</v>
      </c>
      <c r="D21" s="196">
        <f t="shared" ref="D21:D25" si="4">C21/C20-1</f>
        <v>4.204168640454764E-2</v>
      </c>
      <c r="E21" s="194">
        <v>24246.7</v>
      </c>
      <c r="F21" s="197">
        <f t="shared" ref="F21:F23" si="5">E21/E20-1</f>
        <v>8.6254412036932404E-3</v>
      </c>
    </row>
    <row r="22" spans="2:6" x14ac:dyDescent="0.25">
      <c r="B22" s="193">
        <v>45770</v>
      </c>
      <c r="C22" s="194">
        <v>440.8</v>
      </c>
      <c r="D22" s="196">
        <f t="shared" si="4"/>
        <v>1.9320377315603654E-3</v>
      </c>
      <c r="E22" s="194">
        <v>24328.95</v>
      </c>
      <c r="F22" s="197">
        <f t="shared" si="5"/>
        <v>3.3922141982207776E-3</v>
      </c>
    </row>
    <row r="23" spans="2:6" x14ac:dyDescent="0.25">
      <c r="B23" s="193">
        <v>45769</v>
      </c>
      <c r="C23" s="194">
        <v>440.4</v>
      </c>
      <c r="D23" s="196">
        <f t="shared" si="4"/>
        <v>-9.0744101633399854E-4</v>
      </c>
      <c r="E23" s="194">
        <v>24167.25</v>
      </c>
      <c r="F23" s="197">
        <f t="shared" si="5"/>
        <v>-6.6464027424117944E-3</v>
      </c>
    </row>
    <row r="24" spans="2:6" x14ac:dyDescent="0.25">
      <c r="B24" s="193">
        <v>45768</v>
      </c>
      <c r="C24" s="194">
        <v>442.6</v>
      </c>
      <c r="D24" s="196">
        <f t="shared" si="4"/>
        <v>4.9954586739329176E-3</v>
      </c>
      <c r="E24" s="194">
        <v>24125.55</v>
      </c>
      <c r="F24" s="197">
        <f t="shared" ref="F24:F85" si="6">E24/E23-1</f>
        <v>-1.7254755919684506E-3</v>
      </c>
    </row>
    <row r="25" spans="2:6" x14ac:dyDescent="0.25">
      <c r="B25" s="193">
        <v>45764</v>
      </c>
      <c r="C25" s="194">
        <v>428.6</v>
      </c>
      <c r="D25" s="196">
        <f t="shared" si="4"/>
        <v>-3.1631269769543557E-2</v>
      </c>
      <c r="E25" s="194">
        <v>23851.65</v>
      </c>
      <c r="F25" s="197">
        <f t="shared" si="6"/>
        <v>-1.135310904829101E-2</v>
      </c>
    </row>
    <row r="26" spans="2:6" x14ac:dyDescent="0.25">
      <c r="B26" s="193">
        <v>45763</v>
      </c>
      <c r="C26" s="194">
        <v>424.8</v>
      </c>
      <c r="D26" s="196">
        <f t="shared" ref="D26:D85" si="7">C26/C25-1</f>
        <v>-8.866075594960332E-3</v>
      </c>
      <c r="E26" s="194">
        <v>23437.200000000001</v>
      </c>
      <c r="F26" s="197">
        <f t="shared" si="6"/>
        <v>-1.7376156366540663E-2</v>
      </c>
    </row>
    <row r="27" spans="2:6" x14ac:dyDescent="0.25">
      <c r="B27" s="193">
        <v>45762</v>
      </c>
      <c r="C27" s="194">
        <v>423.3</v>
      </c>
      <c r="D27" s="196">
        <f t="shared" si="7"/>
        <v>-3.5310734463276372E-3</v>
      </c>
      <c r="E27" s="194">
        <v>23328.55</v>
      </c>
      <c r="F27" s="197">
        <f t="shared" si="6"/>
        <v>-4.6357926714796216E-3</v>
      </c>
    </row>
    <row r="28" spans="2:6" x14ac:dyDescent="0.25">
      <c r="B28" s="193">
        <v>45758</v>
      </c>
      <c r="C28" s="194">
        <v>402.25</v>
      </c>
      <c r="D28" s="196">
        <f t="shared" si="7"/>
        <v>-4.9728325064965717E-2</v>
      </c>
      <c r="E28" s="194">
        <v>22828.55</v>
      </c>
      <c r="F28" s="197">
        <f t="shared" si="6"/>
        <v>-2.1432965186434672E-2</v>
      </c>
    </row>
    <row r="29" spans="2:6" x14ac:dyDescent="0.25">
      <c r="B29" s="193">
        <v>45756</v>
      </c>
      <c r="C29" s="194">
        <v>389.45</v>
      </c>
      <c r="D29" s="196">
        <f t="shared" si="7"/>
        <v>-3.182100683654443E-2</v>
      </c>
      <c r="E29" s="194">
        <v>22399.15</v>
      </c>
      <c r="F29" s="197">
        <f t="shared" si="6"/>
        <v>-1.8809779858992237E-2</v>
      </c>
    </row>
    <row r="30" spans="2:6" x14ac:dyDescent="0.25">
      <c r="B30" s="193">
        <v>45755</v>
      </c>
      <c r="C30" s="194">
        <v>395.85</v>
      </c>
      <c r="D30" s="196">
        <f t="shared" si="7"/>
        <v>1.6433431762742368E-2</v>
      </c>
      <c r="E30" s="194">
        <v>22535.85</v>
      </c>
      <c r="F30" s="197">
        <f t="shared" si="6"/>
        <v>6.1029101550726939E-3</v>
      </c>
    </row>
    <row r="31" spans="2:6" x14ac:dyDescent="0.25">
      <c r="B31" s="193">
        <v>45754</v>
      </c>
      <c r="C31" s="194">
        <v>384.35</v>
      </c>
      <c r="D31" s="196">
        <f t="shared" si="7"/>
        <v>-2.9051408361753239E-2</v>
      </c>
      <c r="E31" s="194">
        <v>22161.599999999999</v>
      </c>
      <c r="F31" s="197">
        <f t="shared" si="6"/>
        <v>-1.6606873048942039E-2</v>
      </c>
    </row>
    <row r="32" spans="2:6" x14ac:dyDescent="0.25">
      <c r="B32" s="193">
        <v>45751</v>
      </c>
      <c r="C32" s="194">
        <v>403.4</v>
      </c>
      <c r="D32" s="196">
        <f t="shared" si="7"/>
        <v>4.9564199297515099E-2</v>
      </c>
      <c r="E32" s="194">
        <v>22904.45</v>
      </c>
      <c r="F32" s="197">
        <f t="shared" si="6"/>
        <v>3.3519691719009481E-2</v>
      </c>
    </row>
    <row r="33" spans="2:6" x14ac:dyDescent="0.25">
      <c r="B33" s="193">
        <v>45750</v>
      </c>
      <c r="C33" s="194">
        <v>425.45</v>
      </c>
      <c r="D33" s="196">
        <f t="shared" si="7"/>
        <v>5.4660386712940046E-2</v>
      </c>
      <c r="E33" s="194">
        <v>23250.1</v>
      </c>
      <c r="F33" s="197">
        <f t="shared" si="6"/>
        <v>1.5090953941264695E-2</v>
      </c>
    </row>
    <row r="34" spans="2:6" x14ac:dyDescent="0.25">
      <c r="B34" s="193">
        <v>45749</v>
      </c>
      <c r="C34" s="194">
        <v>424.55</v>
      </c>
      <c r="D34" s="196">
        <f t="shared" si="7"/>
        <v>-2.1154072158889869E-3</v>
      </c>
      <c r="E34" s="194">
        <v>23332.35</v>
      </c>
      <c r="F34" s="197">
        <f t="shared" si="6"/>
        <v>3.5376191930356349E-3</v>
      </c>
    </row>
    <row r="35" spans="2:6" x14ac:dyDescent="0.25">
      <c r="B35" s="193">
        <v>45748</v>
      </c>
      <c r="C35" s="194">
        <v>416.9</v>
      </c>
      <c r="D35" s="196">
        <f t="shared" si="7"/>
        <v>-1.8019079024849893E-2</v>
      </c>
      <c r="E35" s="194">
        <v>23165.7</v>
      </c>
      <c r="F35" s="197">
        <f t="shared" si="6"/>
        <v>-7.1424438601339624E-3</v>
      </c>
    </row>
    <row r="36" spans="2:6" x14ac:dyDescent="0.25">
      <c r="B36" s="193">
        <v>45744</v>
      </c>
      <c r="C36" s="194">
        <v>429.2</v>
      </c>
      <c r="D36" s="196">
        <f t="shared" si="7"/>
        <v>2.9503478052290699E-2</v>
      </c>
      <c r="E36" s="194">
        <v>23519.35</v>
      </c>
      <c r="F36" s="197">
        <f t="shared" si="6"/>
        <v>1.5266104628826049E-2</v>
      </c>
    </row>
    <row r="37" spans="2:6" x14ac:dyDescent="0.25">
      <c r="B37" s="193">
        <v>45743</v>
      </c>
      <c r="C37" s="194">
        <v>433.4</v>
      </c>
      <c r="D37" s="196">
        <f t="shared" si="7"/>
        <v>9.785647716682222E-3</v>
      </c>
      <c r="E37" s="194">
        <v>23591.95</v>
      </c>
      <c r="F37" s="197">
        <f t="shared" si="6"/>
        <v>3.0868200014031455E-3</v>
      </c>
    </row>
    <row r="38" spans="2:6" x14ac:dyDescent="0.25">
      <c r="B38" s="193">
        <v>45742</v>
      </c>
      <c r="C38" s="194">
        <v>425.6</v>
      </c>
      <c r="D38" s="196">
        <f t="shared" si="7"/>
        <v>-1.799723119520058E-2</v>
      </c>
      <c r="E38" s="194">
        <v>23486.85</v>
      </c>
      <c r="F38" s="197">
        <f t="shared" si="6"/>
        <v>-4.4549094076582474E-3</v>
      </c>
    </row>
    <row r="39" spans="2:6" x14ac:dyDescent="0.25">
      <c r="B39" s="193">
        <v>45741</v>
      </c>
      <c r="C39" s="194">
        <v>442.75</v>
      </c>
      <c r="D39" s="196">
        <f t="shared" si="7"/>
        <v>4.0296052631578982E-2</v>
      </c>
      <c r="E39" s="194">
        <v>23668.65</v>
      </c>
      <c r="F39" s="197">
        <f t="shared" si="6"/>
        <v>7.7405015998315285E-3</v>
      </c>
    </row>
    <row r="40" spans="2:6" x14ac:dyDescent="0.25">
      <c r="B40" s="193">
        <v>45740</v>
      </c>
      <c r="C40" s="194">
        <v>444.45</v>
      </c>
      <c r="D40" s="196">
        <f t="shared" si="7"/>
        <v>3.8396386222472323E-3</v>
      </c>
      <c r="E40" s="194">
        <v>23658.35</v>
      </c>
      <c r="F40" s="197">
        <f t="shared" si="6"/>
        <v>-4.3517479873178555E-4</v>
      </c>
    </row>
    <row r="41" spans="2:6" x14ac:dyDescent="0.25">
      <c r="B41" s="193">
        <v>45737</v>
      </c>
      <c r="C41" s="194">
        <v>428.95</v>
      </c>
      <c r="D41" s="196">
        <f t="shared" si="7"/>
        <v>-3.4874564067949199E-2</v>
      </c>
      <c r="E41" s="194">
        <v>23350.400000000001</v>
      </c>
      <c r="F41" s="197">
        <f t="shared" si="6"/>
        <v>-1.3016545955233494E-2</v>
      </c>
    </row>
    <row r="42" spans="2:6" x14ac:dyDescent="0.25">
      <c r="B42" s="193">
        <v>45736</v>
      </c>
      <c r="C42" s="194">
        <v>429.05</v>
      </c>
      <c r="D42" s="196">
        <f t="shared" si="7"/>
        <v>2.3312740412650967E-4</v>
      </c>
      <c r="E42" s="194">
        <v>23190.65</v>
      </c>
      <c r="F42" s="197">
        <f t="shared" si="6"/>
        <v>-6.841424558037601E-3</v>
      </c>
    </row>
    <row r="43" spans="2:6" x14ac:dyDescent="0.25">
      <c r="B43" s="193">
        <v>45735</v>
      </c>
      <c r="C43" s="194">
        <v>429.5</v>
      </c>
      <c r="D43" s="196">
        <f t="shared" si="7"/>
        <v>1.0488288078311925E-3</v>
      </c>
      <c r="E43" s="194">
        <v>22907.599999999999</v>
      </c>
      <c r="F43" s="197">
        <f t="shared" si="6"/>
        <v>-1.2205350000970339E-2</v>
      </c>
    </row>
    <row r="44" spans="2:6" x14ac:dyDescent="0.25">
      <c r="B44" s="193">
        <v>45734</v>
      </c>
      <c r="C44" s="194">
        <v>421.55</v>
      </c>
      <c r="D44" s="196">
        <f t="shared" si="7"/>
        <v>-1.8509895227008077E-2</v>
      </c>
      <c r="E44" s="194">
        <v>22834.3</v>
      </c>
      <c r="F44" s="197">
        <f t="shared" si="6"/>
        <v>-3.199811416298437E-3</v>
      </c>
    </row>
    <row r="45" spans="2:6" x14ac:dyDescent="0.25">
      <c r="B45" s="193">
        <v>45733</v>
      </c>
      <c r="C45" s="194">
        <v>412.9</v>
      </c>
      <c r="D45" s="196">
        <f t="shared" si="7"/>
        <v>-2.0519511327244722E-2</v>
      </c>
      <c r="E45" s="194">
        <v>22508.75</v>
      </c>
      <c r="F45" s="197">
        <f t="shared" si="6"/>
        <v>-1.4257060649986997E-2</v>
      </c>
    </row>
    <row r="46" spans="2:6" x14ac:dyDescent="0.25">
      <c r="B46" s="193">
        <v>45729</v>
      </c>
      <c r="C46" s="194">
        <v>406.65</v>
      </c>
      <c r="D46" s="196">
        <f t="shared" si="7"/>
        <v>-1.5136837006539117E-2</v>
      </c>
      <c r="E46" s="194">
        <v>22397.200000000001</v>
      </c>
      <c r="F46" s="197">
        <f t="shared" si="6"/>
        <v>-4.955850502582293E-3</v>
      </c>
    </row>
    <row r="47" spans="2:6" x14ac:dyDescent="0.25">
      <c r="B47" s="193">
        <v>45728</v>
      </c>
      <c r="C47" s="194">
        <v>402.2</v>
      </c>
      <c r="D47" s="196">
        <f t="shared" si="7"/>
        <v>-1.0943071437353957E-2</v>
      </c>
      <c r="E47" s="194">
        <v>22470.5</v>
      </c>
      <c r="F47" s="197">
        <f t="shared" si="6"/>
        <v>3.2727305198863021E-3</v>
      </c>
    </row>
    <row r="48" spans="2:6" x14ac:dyDescent="0.25">
      <c r="B48" s="193">
        <v>45727</v>
      </c>
      <c r="C48" s="194">
        <v>402.6</v>
      </c>
      <c r="D48" s="196">
        <f t="shared" si="7"/>
        <v>9.9453008453509462E-4</v>
      </c>
      <c r="E48" s="194">
        <v>22497.9</v>
      </c>
      <c r="F48" s="197">
        <f t="shared" si="6"/>
        <v>1.2193765158763359E-3</v>
      </c>
    </row>
    <row r="49" spans="2:6" x14ac:dyDescent="0.25">
      <c r="B49" s="193">
        <v>45726</v>
      </c>
      <c r="C49" s="194">
        <v>394.2</v>
      </c>
      <c r="D49" s="196">
        <f t="shared" si="7"/>
        <v>-2.0864381520119268E-2</v>
      </c>
      <c r="E49" s="194">
        <v>22460.3</v>
      </c>
      <c r="F49" s="197">
        <f t="shared" si="6"/>
        <v>-1.6712670960401521E-3</v>
      </c>
    </row>
    <row r="50" spans="2:6" x14ac:dyDescent="0.25">
      <c r="B50" s="193">
        <v>45723</v>
      </c>
      <c r="C50" s="194">
        <v>406.2</v>
      </c>
      <c r="D50" s="196">
        <f t="shared" si="7"/>
        <v>3.0441400304414001E-2</v>
      </c>
      <c r="E50" s="194">
        <v>22552.5</v>
      </c>
      <c r="F50" s="197">
        <f t="shared" si="6"/>
        <v>4.1050208590267534E-3</v>
      </c>
    </row>
    <row r="51" spans="2:6" x14ac:dyDescent="0.25">
      <c r="B51" s="193">
        <v>45722</v>
      </c>
      <c r="C51" s="194">
        <v>413.15</v>
      </c>
      <c r="D51" s="196">
        <f t="shared" si="7"/>
        <v>1.7109798129000486E-2</v>
      </c>
      <c r="E51" s="194">
        <v>22544.7</v>
      </c>
      <c r="F51" s="197">
        <f t="shared" si="6"/>
        <v>-3.4585966079148101E-4</v>
      </c>
    </row>
    <row r="52" spans="2:6" x14ac:dyDescent="0.25">
      <c r="B52" s="193">
        <v>45721</v>
      </c>
      <c r="C52" s="194">
        <v>402.2</v>
      </c>
      <c r="D52" s="196">
        <f t="shared" si="7"/>
        <v>-2.6503691153334064E-2</v>
      </c>
      <c r="E52" s="194">
        <v>22337.3</v>
      </c>
      <c r="F52" s="197">
        <f t="shared" si="6"/>
        <v>-9.1995014349270932E-3</v>
      </c>
    </row>
    <row r="53" spans="2:6" x14ac:dyDescent="0.25">
      <c r="B53" s="193">
        <v>45720</v>
      </c>
      <c r="C53" s="194">
        <v>386.9</v>
      </c>
      <c r="D53" s="196">
        <f t="shared" si="7"/>
        <v>-3.8040775733465981E-2</v>
      </c>
      <c r="E53" s="194">
        <v>22082.65</v>
      </c>
      <c r="F53" s="197">
        <f t="shared" si="6"/>
        <v>-1.14002139918431E-2</v>
      </c>
    </row>
    <row r="54" spans="2:6" x14ac:dyDescent="0.25">
      <c r="B54" s="193">
        <v>45719</v>
      </c>
      <c r="C54" s="194">
        <v>377.8</v>
      </c>
      <c r="D54" s="196">
        <f t="shared" si="7"/>
        <v>-2.352028948048579E-2</v>
      </c>
      <c r="E54" s="194">
        <v>22119.3</v>
      </c>
      <c r="F54" s="197">
        <f t="shared" si="6"/>
        <v>1.6596739974594765E-3</v>
      </c>
    </row>
    <row r="55" spans="2:6" x14ac:dyDescent="0.25">
      <c r="B55" s="193">
        <v>45716</v>
      </c>
      <c r="C55" s="194">
        <v>360.3</v>
      </c>
      <c r="D55" s="196">
        <f t="shared" si="7"/>
        <v>-4.6320804658549486E-2</v>
      </c>
      <c r="E55" s="194">
        <v>22124.7</v>
      </c>
      <c r="F55" s="197">
        <f t="shared" si="6"/>
        <v>2.4413069129680665E-4</v>
      </c>
    </row>
    <row r="56" spans="2:6" x14ac:dyDescent="0.25">
      <c r="B56" s="193">
        <v>45715</v>
      </c>
      <c r="C56" s="194">
        <v>378.5</v>
      </c>
      <c r="D56" s="196">
        <f t="shared" si="7"/>
        <v>5.0513461004718208E-2</v>
      </c>
      <c r="E56" s="194">
        <v>22545.05</v>
      </c>
      <c r="F56" s="197">
        <f t="shared" si="6"/>
        <v>1.8999127671787575E-2</v>
      </c>
    </row>
    <row r="57" spans="2:6" x14ac:dyDescent="0.25">
      <c r="B57" s="193">
        <v>45713</v>
      </c>
      <c r="C57" s="194">
        <v>383.6</v>
      </c>
      <c r="D57" s="196">
        <f t="shared" si="7"/>
        <v>1.3474240422721273E-2</v>
      </c>
      <c r="E57" s="194">
        <v>22547.55</v>
      </c>
      <c r="F57" s="197">
        <f t="shared" si="6"/>
        <v>1.1088908651779583E-4</v>
      </c>
    </row>
    <row r="58" spans="2:6" x14ac:dyDescent="0.25">
      <c r="B58" s="193">
        <v>45712</v>
      </c>
      <c r="C58" s="194">
        <v>391.7</v>
      </c>
      <c r="D58" s="196">
        <f t="shared" si="7"/>
        <v>2.1115745568300204E-2</v>
      </c>
      <c r="E58" s="194">
        <v>22553.35</v>
      </c>
      <c r="F58" s="197">
        <f t="shared" si="6"/>
        <v>2.5723415626077717E-4</v>
      </c>
    </row>
    <row r="59" spans="2:6" x14ac:dyDescent="0.25">
      <c r="B59" s="193">
        <v>45709</v>
      </c>
      <c r="C59" s="194">
        <v>403.55</v>
      </c>
      <c r="D59" s="196">
        <f t="shared" si="7"/>
        <v>3.0252744447281099E-2</v>
      </c>
      <c r="E59" s="194">
        <v>22795.9</v>
      </c>
      <c r="F59" s="197">
        <f t="shared" si="6"/>
        <v>1.0754499885826441E-2</v>
      </c>
    </row>
    <row r="60" spans="2:6" x14ac:dyDescent="0.25">
      <c r="B60" s="193">
        <v>45708</v>
      </c>
      <c r="C60" s="194">
        <v>409.45</v>
      </c>
      <c r="D60" s="196">
        <f t="shared" si="7"/>
        <v>1.4620245322760406E-2</v>
      </c>
      <c r="E60" s="194">
        <v>22913.15</v>
      </c>
      <c r="F60" s="197">
        <f t="shared" si="6"/>
        <v>5.1434687816669378E-3</v>
      </c>
    </row>
    <row r="61" spans="2:6" x14ac:dyDescent="0.25">
      <c r="B61" s="193">
        <v>45707</v>
      </c>
      <c r="C61" s="194">
        <v>395.65</v>
      </c>
      <c r="D61" s="196">
        <f t="shared" si="7"/>
        <v>-3.3703748931493527E-2</v>
      </c>
      <c r="E61" s="194">
        <v>22932.9</v>
      </c>
      <c r="F61" s="197">
        <f t="shared" si="6"/>
        <v>8.6195045203307785E-4</v>
      </c>
    </row>
    <row r="62" spans="2:6" x14ac:dyDescent="0.25">
      <c r="B62" s="193">
        <v>45706</v>
      </c>
      <c r="C62" s="194">
        <v>385.3</v>
      </c>
      <c r="D62" s="196">
        <f t="shared" si="7"/>
        <v>-2.6159484392771271E-2</v>
      </c>
      <c r="E62" s="194">
        <v>22945.3</v>
      </c>
      <c r="F62" s="197">
        <f t="shared" si="6"/>
        <v>5.4070789128268792E-4</v>
      </c>
    </row>
    <row r="63" spans="2:6" x14ac:dyDescent="0.25">
      <c r="B63" s="193">
        <v>45705</v>
      </c>
      <c r="C63" s="194">
        <v>389.1</v>
      </c>
      <c r="D63" s="196">
        <f t="shared" si="7"/>
        <v>9.8624448481703375E-3</v>
      </c>
      <c r="E63" s="194">
        <v>22959.5</v>
      </c>
      <c r="F63" s="197">
        <f t="shared" si="6"/>
        <v>6.1886312229519902E-4</v>
      </c>
    </row>
    <row r="64" spans="2:6" x14ac:dyDescent="0.25">
      <c r="B64" s="193">
        <v>45702</v>
      </c>
      <c r="C64" s="194">
        <v>391.65</v>
      </c>
      <c r="D64" s="196">
        <f t="shared" si="7"/>
        <v>6.5535851966074254E-3</v>
      </c>
      <c r="E64" s="194">
        <v>22929.25</v>
      </c>
      <c r="F64" s="197">
        <f t="shared" si="6"/>
        <v>-1.3175374028180364E-3</v>
      </c>
    </row>
    <row r="65" spans="2:6" x14ac:dyDescent="0.25">
      <c r="B65" s="193">
        <v>45701</v>
      </c>
      <c r="C65" s="194">
        <v>409.65</v>
      </c>
      <c r="D65" s="196">
        <f t="shared" si="7"/>
        <v>4.5959402527767201E-2</v>
      </c>
      <c r="E65" s="194">
        <v>23031.4</v>
      </c>
      <c r="F65" s="197">
        <f t="shared" si="6"/>
        <v>4.4550083408747554E-3</v>
      </c>
    </row>
    <row r="66" spans="2:6" x14ac:dyDescent="0.25">
      <c r="B66" s="193">
        <v>45700</v>
      </c>
      <c r="C66" s="194">
        <v>408.05</v>
      </c>
      <c r="D66" s="196">
        <f t="shared" si="7"/>
        <v>-3.9057732210422413E-3</v>
      </c>
      <c r="E66" s="194">
        <v>23045.25</v>
      </c>
      <c r="F66" s="197">
        <f t="shared" si="6"/>
        <v>6.0135293555751979E-4</v>
      </c>
    </row>
    <row r="67" spans="2:6" x14ac:dyDescent="0.25">
      <c r="B67" s="193">
        <v>45699</v>
      </c>
      <c r="C67" s="194">
        <v>409.95</v>
      </c>
      <c r="D67" s="196">
        <f t="shared" si="7"/>
        <v>4.6562921210635544E-3</v>
      </c>
      <c r="E67" s="194">
        <v>23071.8</v>
      </c>
      <c r="F67" s="197">
        <f t="shared" si="6"/>
        <v>1.1520812314902429E-3</v>
      </c>
    </row>
    <row r="68" spans="2:6" x14ac:dyDescent="0.25">
      <c r="B68" s="193">
        <v>45698</v>
      </c>
      <c r="C68" s="194">
        <v>423.45</v>
      </c>
      <c r="D68" s="196">
        <f t="shared" si="7"/>
        <v>3.2930845225027428E-2</v>
      </c>
      <c r="E68" s="194">
        <v>23381.599999999999</v>
      </c>
      <c r="F68" s="197">
        <f t="shared" si="6"/>
        <v>1.3427647604434823E-2</v>
      </c>
    </row>
    <row r="69" spans="2:6" x14ac:dyDescent="0.25">
      <c r="B69" s="193">
        <v>45695</v>
      </c>
      <c r="C69" s="194">
        <v>441.2</v>
      </c>
      <c r="D69" s="196">
        <f t="shared" si="7"/>
        <v>4.191758176880378E-2</v>
      </c>
      <c r="E69" s="194">
        <v>23559.95</v>
      </c>
      <c r="F69" s="197">
        <f t="shared" si="6"/>
        <v>7.6277927943340096E-3</v>
      </c>
    </row>
    <row r="70" spans="2:6" x14ac:dyDescent="0.25">
      <c r="B70" s="193">
        <v>45694</v>
      </c>
      <c r="C70" s="194">
        <v>434.15</v>
      </c>
      <c r="D70" s="196">
        <f t="shared" si="7"/>
        <v>-1.5979147778785174E-2</v>
      </c>
      <c r="E70" s="194">
        <v>23603.35</v>
      </c>
      <c r="F70" s="197">
        <f t="shared" si="6"/>
        <v>1.84210917255756E-3</v>
      </c>
    </row>
    <row r="71" spans="2:6" x14ac:dyDescent="0.25">
      <c r="B71" s="193">
        <v>45693</v>
      </c>
      <c r="C71" s="194">
        <v>440.25</v>
      </c>
      <c r="D71" s="196">
        <f t="shared" si="7"/>
        <v>1.4050443395140055E-2</v>
      </c>
      <c r="E71" s="194">
        <v>23696.3</v>
      </c>
      <c r="F71" s="197">
        <f t="shared" si="6"/>
        <v>3.938000326224822E-3</v>
      </c>
    </row>
    <row r="72" spans="2:6" x14ac:dyDescent="0.25">
      <c r="B72" s="193">
        <v>45692</v>
      </c>
      <c r="C72" s="194">
        <v>427.35</v>
      </c>
      <c r="D72" s="196">
        <f t="shared" si="7"/>
        <v>-2.9301533219761478E-2</v>
      </c>
      <c r="E72" s="194">
        <v>23739.25</v>
      </c>
      <c r="F72" s="197">
        <f t="shared" si="6"/>
        <v>1.8125192540607848E-3</v>
      </c>
    </row>
    <row r="73" spans="2:6" x14ac:dyDescent="0.25">
      <c r="B73" s="193">
        <v>45691</v>
      </c>
      <c r="C73" s="194">
        <v>405.5</v>
      </c>
      <c r="D73" s="196">
        <f t="shared" si="7"/>
        <v>-5.1129051129051195E-2</v>
      </c>
      <c r="E73" s="194">
        <v>23361.05</v>
      </c>
      <c r="F73" s="197">
        <f t="shared" si="6"/>
        <v>-1.593142159082539E-2</v>
      </c>
    </row>
    <row r="74" spans="2:6" x14ac:dyDescent="0.25">
      <c r="B74" s="193">
        <v>45689</v>
      </c>
      <c r="C74" s="194">
        <v>427.85</v>
      </c>
      <c r="D74" s="196">
        <f t="shared" si="7"/>
        <v>5.5117139334155407E-2</v>
      </c>
      <c r="E74" s="194">
        <v>23482.15</v>
      </c>
      <c r="F74" s="197">
        <f t="shared" si="6"/>
        <v>5.1838423358538943E-3</v>
      </c>
    </row>
    <row r="75" spans="2:6" x14ac:dyDescent="0.25">
      <c r="B75" s="193">
        <v>45688</v>
      </c>
      <c r="C75" s="194">
        <v>449.85</v>
      </c>
      <c r="D75" s="196">
        <f t="shared" si="7"/>
        <v>5.1419890148416414E-2</v>
      </c>
      <c r="E75" s="194">
        <v>23508.400000000001</v>
      </c>
      <c r="F75" s="197">
        <f t="shared" si="6"/>
        <v>1.1178703823968572E-3</v>
      </c>
    </row>
    <row r="76" spans="2:6" x14ac:dyDescent="0.25">
      <c r="B76" s="193">
        <v>45687</v>
      </c>
      <c r="C76" s="194">
        <v>440.35</v>
      </c>
      <c r="D76" s="196">
        <f t="shared" si="7"/>
        <v>-2.11181504946093E-2</v>
      </c>
      <c r="E76" s="194">
        <v>23249.5</v>
      </c>
      <c r="F76" s="197">
        <f t="shared" si="6"/>
        <v>-1.1013084684623475E-2</v>
      </c>
    </row>
    <row r="77" spans="2:6" x14ac:dyDescent="0.25">
      <c r="B77" s="193">
        <v>45686</v>
      </c>
      <c r="C77" s="194">
        <v>434.85</v>
      </c>
      <c r="D77" s="196">
        <f t="shared" si="7"/>
        <v>-1.2490064721244476E-2</v>
      </c>
      <c r="E77" s="194">
        <v>23163.1</v>
      </c>
      <c r="F77" s="197">
        <f t="shared" si="6"/>
        <v>-3.7162089507302154E-3</v>
      </c>
    </row>
    <row r="78" spans="2:6" x14ac:dyDescent="0.25">
      <c r="B78" s="193">
        <v>45685</v>
      </c>
      <c r="C78" s="194">
        <v>419.65</v>
      </c>
      <c r="D78" s="196">
        <f t="shared" si="7"/>
        <v>-3.4954582039783966E-2</v>
      </c>
      <c r="E78" s="194">
        <v>22957.25</v>
      </c>
      <c r="F78" s="197">
        <f t="shared" si="6"/>
        <v>-8.886979722057875E-3</v>
      </c>
    </row>
    <row r="79" spans="2:6" x14ac:dyDescent="0.25">
      <c r="B79" s="193">
        <v>45684</v>
      </c>
      <c r="C79" s="194">
        <v>428.5</v>
      </c>
      <c r="D79" s="196">
        <f t="shared" si="7"/>
        <v>2.1089002740378948E-2</v>
      </c>
      <c r="E79" s="194">
        <v>22829.15</v>
      </c>
      <c r="F79" s="197">
        <f t="shared" si="6"/>
        <v>-5.5799366213287183E-3</v>
      </c>
    </row>
    <row r="80" spans="2:6" x14ac:dyDescent="0.25">
      <c r="B80" s="193">
        <v>45681</v>
      </c>
      <c r="C80" s="194">
        <v>446.25</v>
      </c>
      <c r="D80" s="196">
        <f t="shared" si="7"/>
        <v>4.1423570595099157E-2</v>
      </c>
      <c r="E80" s="194">
        <v>23092.2</v>
      </c>
      <c r="F80" s="197">
        <f t="shared" si="6"/>
        <v>1.152254902175498E-2</v>
      </c>
    </row>
    <row r="81" spans="2:6" x14ac:dyDescent="0.25">
      <c r="B81" s="193">
        <v>45680</v>
      </c>
      <c r="C81" s="194">
        <v>463.75</v>
      </c>
      <c r="D81" s="196">
        <f t="shared" si="7"/>
        <v>3.9215686274509887E-2</v>
      </c>
      <c r="E81" s="194">
        <v>23205.35</v>
      </c>
      <c r="F81" s="197">
        <f t="shared" si="6"/>
        <v>4.8999229176951431E-3</v>
      </c>
    </row>
    <row r="82" spans="2:6" x14ac:dyDescent="0.25">
      <c r="B82" s="193">
        <v>45679</v>
      </c>
      <c r="C82" s="194">
        <v>462.05</v>
      </c>
      <c r="D82" s="196">
        <f t="shared" si="7"/>
        <v>-3.6657681940700515E-3</v>
      </c>
      <c r="E82" s="194">
        <v>23155.35</v>
      </c>
      <c r="F82" s="197">
        <f t="shared" si="6"/>
        <v>-2.1546755381840477E-3</v>
      </c>
    </row>
    <row r="83" spans="2:6" x14ac:dyDescent="0.25">
      <c r="B83" s="193">
        <v>45678</v>
      </c>
      <c r="C83" s="194">
        <v>476.45</v>
      </c>
      <c r="D83" s="196">
        <f t="shared" si="7"/>
        <v>3.1165458283735514E-2</v>
      </c>
      <c r="E83" s="194">
        <v>23024.65</v>
      </c>
      <c r="F83" s="197">
        <f t="shared" si="6"/>
        <v>-5.6444838881726245E-3</v>
      </c>
    </row>
    <row r="84" spans="2:6" x14ac:dyDescent="0.25">
      <c r="B84" s="193">
        <v>45677</v>
      </c>
      <c r="C84" s="194">
        <v>490.75</v>
      </c>
      <c r="D84" s="196">
        <f t="shared" si="7"/>
        <v>3.0013642564802101E-2</v>
      </c>
      <c r="E84" s="194">
        <v>23344.75</v>
      </c>
      <c r="F84" s="197">
        <f t="shared" si="6"/>
        <v>1.3902491460239252E-2</v>
      </c>
    </row>
    <row r="85" spans="2:6" x14ac:dyDescent="0.25">
      <c r="B85" s="193">
        <v>45674</v>
      </c>
      <c r="C85" s="194">
        <v>482.35</v>
      </c>
      <c r="D85" s="196">
        <f t="shared" si="7"/>
        <v>-1.7116658176260735E-2</v>
      </c>
      <c r="E85" s="194">
        <v>23203.200000000001</v>
      </c>
      <c r="F85" s="197">
        <f t="shared" si="6"/>
        <v>-6.0634618061876644E-3</v>
      </c>
    </row>
    <row r="86" spans="2:6" x14ac:dyDescent="0.25">
      <c r="B86" s="193">
        <v>45673</v>
      </c>
      <c r="C86" s="194">
        <v>485.15</v>
      </c>
      <c r="D86" s="196">
        <f t="shared" ref="D86:D149" si="8">C86/C85-1</f>
        <v>5.8049134445941064E-3</v>
      </c>
      <c r="E86" s="194">
        <v>23311.8</v>
      </c>
      <c r="F86" s="197">
        <f t="shared" ref="F86:F149" si="9">E86/E85-1</f>
        <v>4.680388911874056E-3</v>
      </c>
    </row>
    <row r="87" spans="2:6" x14ac:dyDescent="0.25">
      <c r="B87" s="193">
        <v>45672</v>
      </c>
      <c r="C87" s="194">
        <v>478.65</v>
      </c>
      <c r="D87" s="196">
        <f t="shared" si="8"/>
        <v>-1.3397918169638312E-2</v>
      </c>
      <c r="E87" s="194">
        <v>23213.200000000001</v>
      </c>
      <c r="F87" s="197">
        <f t="shared" si="9"/>
        <v>-4.2296176185450118E-3</v>
      </c>
    </row>
    <row r="88" spans="2:6" x14ac:dyDescent="0.25">
      <c r="B88" s="193">
        <v>45671</v>
      </c>
      <c r="C88" s="194">
        <v>476.15</v>
      </c>
      <c r="D88" s="196">
        <f t="shared" si="8"/>
        <v>-5.2230230857620574E-3</v>
      </c>
      <c r="E88" s="194">
        <v>23176.05</v>
      </c>
      <c r="F88" s="197">
        <f t="shared" si="9"/>
        <v>-1.6003825409681705E-3</v>
      </c>
    </row>
    <row r="89" spans="2:6" x14ac:dyDescent="0.25">
      <c r="B89" s="193">
        <v>45670</v>
      </c>
      <c r="C89" s="194">
        <v>446.75</v>
      </c>
      <c r="D89" s="196">
        <f t="shared" si="8"/>
        <v>-6.1745248346109394E-2</v>
      </c>
      <c r="E89" s="194">
        <v>23085.95</v>
      </c>
      <c r="F89" s="197">
        <f t="shared" si="9"/>
        <v>-3.887634001479956E-3</v>
      </c>
    </row>
    <row r="90" spans="2:6" x14ac:dyDescent="0.25">
      <c r="B90" s="193">
        <v>45667</v>
      </c>
      <c r="C90" s="194">
        <v>459.35</v>
      </c>
      <c r="D90" s="196">
        <f t="shared" si="8"/>
        <v>2.8203693340794755E-2</v>
      </c>
      <c r="E90" s="194">
        <v>23431.5</v>
      </c>
      <c r="F90" s="197">
        <f t="shared" si="9"/>
        <v>1.4967978359131884E-2</v>
      </c>
    </row>
    <row r="91" spans="2:6" x14ac:dyDescent="0.25">
      <c r="B91" s="193">
        <v>45666</v>
      </c>
      <c r="C91" s="194">
        <v>491.2</v>
      </c>
      <c r="D91" s="196">
        <f t="shared" si="8"/>
        <v>6.9337106781321323E-2</v>
      </c>
      <c r="E91" s="194">
        <v>23526.5</v>
      </c>
      <c r="F91" s="197">
        <f t="shared" si="9"/>
        <v>4.0543712523739561E-3</v>
      </c>
    </row>
    <row r="92" spans="2:6" x14ac:dyDescent="0.25">
      <c r="B92" s="193">
        <v>45665</v>
      </c>
      <c r="C92" s="194">
        <v>503.6</v>
      </c>
      <c r="D92" s="196">
        <f t="shared" si="8"/>
        <v>2.5244299674267223E-2</v>
      </c>
      <c r="E92" s="194">
        <v>23688.95</v>
      </c>
      <c r="F92" s="197">
        <f t="shared" si="9"/>
        <v>6.9049794912121598E-3</v>
      </c>
    </row>
    <row r="93" spans="2:6" x14ac:dyDescent="0.25">
      <c r="B93" s="193">
        <v>45664</v>
      </c>
      <c r="C93" s="194">
        <v>515.45000000000005</v>
      </c>
      <c r="D93" s="196">
        <f t="shared" si="8"/>
        <v>2.353057982525808E-2</v>
      </c>
      <c r="E93" s="194">
        <v>23707.9</v>
      </c>
      <c r="F93" s="197">
        <f t="shared" si="9"/>
        <v>7.9995103202135098E-4</v>
      </c>
    </row>
    <row r="94" spans="2:6" x14ac:dyDescent="0.25">
      <c r="B94" s="193">
        <v>45663</v>
      </c>
      <c r="C94" s="194">
        <v>512.54999999999995</v>
      </c>
      <c r="D94" s="196">
        <f t="shared" si="8"/>
        <v>-5.6261519061016063E-3</v>
      </c>
      <c r="E94" s="194">
        <v>23616.05</v>
      </c>
      <c r="F94" s="197">
        <f t="shared" si="9"/>
        <v>-3.8742360141557075E-3</v>
      </c>
    </row>
    <row r="95" spans="2:6" x14ac:dyDescent="0.25">
      <c r="B95" s="193">
        <v>45660</v>
      </c>
      <c r="C95" s="194">
        <v>538.04999999999995</v>
      </c>
      <c r="D95" s="196">
        <f t="shared" si="8"/>
        <v>4.9751243781094523E-2</v>
      </c>
      <c r="E95" s="194">
        <v>24004.75</v>
      </c>
      <c r="F95" s="197">
        <f t="shared" si="9"/>
        <v>1.6459145369356998E-2</v>
      </c>
    </row>
    <row r="96" spans="2:6" x14ac:dyDescent="0.25">
      <c r="B96" s="193">
        <v>45659</v>
      </c>
      <c r="C96" s="194">
        <v>518.45000000000005</v>
      </c>
      <c r="D96" s="196">
        <f t="shared" si="8"/>
        <v>-3.6427841278691364E-2</v>
      </c>
      <c r="E96" s="194">
        <v>24188.65</v>
      </c>
      <c r="F96" s="197">
        <f t="shared" si="9"/>
        <v>7.6609837636301137E-3</v>
      </c>
    </row>
    <row r="97" spans="2:6" x14ac:dyDescent="0.25">
      <c r="B97" s="193">
        <v>45658</v>
      </c>
      <c r="C97" s="194">
        <v>505.55</v>
      </c>
      <c r="D97" s="196">
        <f t="shared" si="8"/>
        <v>-2.4881859388562133E-2</v>
      </c>
      <c r="E97" s="194">
        <v>23742.9</v>
      </c>
      <c r="F97" s="197">
        <f t="shared" si="9"/>
        <v>-1.8428064402105981E-2</v>
      </c>
    </row>
    <row r="98" spans="2:6" x14ac:dyDescent="0.25">
      <c r="B98" s="193">
        <v>45657</v>
      </c>
      <c r="C98" s="194">
        <v>500.7</v>
      </c>
      <c r="D98" s="196">
        <f t="shared" si="8"/>
        <v>-9.593512016615624E-3</v>
      </c>
      <c r="E98" s="194">
        <v>23644.799999999999</v>
      </c>
      <c r="F98" s="197">
        <f t="shared" si="9"/>
        <v>-4.1317614950154846E-3</v>
      </c>
    </row>
    <row r="99" spans="2:6" x14ac:dyDescent="0.25">
      <c r="B99" s="193">
        <v>45656</v>
      </c>
      <c r="C99" s="194">
        <v>496.5</v>
      </c>
      <c r="D99" s="196">
        <f t="shared" si="8"/>
        <v>-8.3882564409826221E-3</v>
      </c>
      <c r="E99" s="194">
        <v>23644.9</v>
      </c>
      <c r="F99" s="197">
        <f t="shared" si="9"/>
        <v>4.2292597104420793E-6</v>
      </c>
    </row>
    <row r="100" spans="2:6" x14ac:dyDescent="0.25">
      <c r="B100" s="193">
        <v>45653</v>
      </c>
      <c r="C100" s="194">
        <v>507.45</v>
      </c>
      <c r="D100" s="196">
        <f t="shared" si="8"/>
        <v>2.2054380664652484E-2</v>
      </c>
      <c r="E100" s="194">
        <v>23813.4</v>
      </c>
      <c r="F100" s="197">
        <f t="shared" si="9"/>
        <v>7.126272473133799E-3</v>
      </c>
    </row>
    <row r="101" spans="2:6" x14ac:dyDescent="0.25">
      <c r="B101" s="193">
        <v>45652</v>
      </c>
      <c r="C101" s="194">
        <v>519.1</v>
      </c>
      <c r="D101" s="196">
        <f t="shared" si="8"/>
        <v>2.2957926889348723E-2</v>
      </c>
      <c r="E101" s="194">
        <v>23750.2</v>
      </c>
      <c r="F101" s="197">
        <f t="shared" si="9"/>
        <v>-2.6539679340203959E-3</v>
      </c>
    </row>
    <row r="102" spans="2:6" x14ac:dyDescent="0.25">
      <c r="B102" s="193">
        <v>45650</v>
      </c>
      <c r="C102" s="194">
        <v>507.4</v>
      </c>
      <c r="D102" s="196">
        <f t="shared" si="8"/>
        <v>-2.2539009824696699E-2</v>
      </c>
      <c r="E102" s="194">
        <v>23727.65</v>
      </c>
      <c r="F102" s="197">
        <f t="shared" si="9"/>
        <v>-9.4946568870990511E-4</v>
      </c>
    </row>
    <row r="103" spans="2:6" x14ac:dyDescent="0.25">
      <c r="B103" s="193">
        <v>45649</v>
      </c>
      <c r="C103" s="194">
        <v>512.4</v>
      </c>
      <c r="D103" s="196">
        <f t="shared" si="8"/>
        <v>9.8541584548679229E-3</v>
      </c>
      <c r="E103" s="194">
        <v>23753.45</v>
      </c>
      <c r="F103" s="197">
        <f t="shared" si="9"/>
        <v>1.0873390327317267E-3</v>
      </c>
    </row>
    <row r="104" spans="2:6" x14ac:dyDescent="0.25">
      <c r="B104" s="193">
        <v>45646</v>
      </c>
      <c r="C104" s="194">
        <v>513.25</v>
      </c>
      <c r="D104" s="196">
        <f t="shared" si="8"/>
        <v>1.6588602654177276E-3</v>
      </c>
      <c r="E104" s="194">
        <v>23587.5</v>
      </c>
      <c r="F104" s="197">
        <f t="shared" si="9"/>
        <v>-6.9863535612721961E-3</v>
      </c>
    </row>
    <row r="105" spans="2:6" x14ac:dyDescent="0.25">
      <c r="B105" s="193">
        <v>45645</v>
      </c>
      <c r="C105" s="194">
        <v>529.1</v>
      </c>
      <c r="D105" s="196">
        <f t="shared" si="8"/>
        <v>3.0881636629322973E-2</v>
      </c>
      <c r="E105" s="194">
        <v>23951.7</v>
      </c>
      <c r="F105" s="197">
        <f t="shared" si="9"/>
        <v>1.5440381558028626E-2</v>
      </c>
    </row>
    <row r="106" spans="2:6" x14ac:dyDescent="0.25">
      <c r="B106" s="193">
        <v>45644</v>
      </c>
      <c r="C106" s="194">
        <v>537.20000000000005</v>
      </c>
      <c r="D106" s="196">
        <f t="shared" si="8"/>
        <v>1.5309015309015406E-2</v>
      </c>
      <c r="E106" s="194">
        <v>24198.85</v>
      </c>
      <c r="F106" s="197">
        <f t="shared" si="9"/>
        <v>1.0318683016236729E-2</v>
      </c>
    </row>
    <row r="107" spans="2:6" x14ac:dyDescent="0.25">
      <c r="B107" s="193">
        <v>45643</v>
      </c>
      <c r="C107" s="194">
        <v>550.54999999999995</v>
      </c>
      <c r="D107" s="196">
        <f t="shared" si="8"/>
        <v>2.4851079672375098E-2</v>
      </c>
      <c r="E107" s="194">
        <v>24336</v>
      </c>
      <c r="F107" s="197">
        <f t="shared" si="9"/>
        <v>5.6676247011737679E-3</v>
      </c>
    </row>
    <row r="108" spans="2:6" x14ac:dyDescent="0.25">
      <c r="B108" s="193">
        <v>45642</v>
      </c>
      <c r="C108" s="194">
        <v>559.79999999999995</v>
      </c>
      <c r="D108" s="196">
        <f t="shared" si="8"/>
        <v>1.680138043774404E-2</v>
      </c>
      <c r="E108" s="194">
        <v>24668.25</v>
      </c>
      <c r="F108" s="197">
        <f t="shared" si="9"/>
        <v>1.3652613412228787E-2</v>
      </c>
    </row>
    <row r="109" spans="2:6" x14ac:dyDescent="0.25">
      <c r="B109" s="193">
        <v>45639</v>
      </c>
      <c r="C109" s="194">
        <v>556.95000000000005</v>
      </c>
      <c r="D109" s="196">
        <f t="shared" si="8"/>
        <v>-5.0911039657018931E-3</v>
      </c>
      <c r="E109" s="194">
        <v>24768.3</v>
      </c>
      <c r="F109" s="197">
        <f t="shared" si="9"/>
        <v>4.0558207412362268E-3</v>
      </c>
    </row>
    <row r="110" spans="2:6" x14ac:dyDescent="0.25">
      <c r="B110" s="193">
        <v>45638</v>
      </c>
      <c r="C110" s="194">
        <v>559.54999999999995</v>
      </c>
      <c r="D110" s="196">
        <f t="shared" si="8"/>
        <v>4.668282610647001E-3</v>
      </c>
      <c r="E110" s="194">
        <v>24548.7</v>
      </c>
      <c r="F110" s="197">
        <f t="shared" si="9"/>
        <v>-8.8661716791220702E-3</v>
      </c>
    </row>
    <row r="111" spans="2:6" x14ac:dyDescent="0.25">
      <c r="B111" s="193">
        <v>45637</v>
      </c>
      <c r="C111" s="194">
        <v>569.75</v>
      </c>
      <c r="D111" s="196">
        <f t="shared" si="8"/>
        <v>1.8228933964793193E-2</v>
      </c>
      <c r="E111" s="194">
        <v>24641.8</v>
      </c>
      <c r="F111" s="197">
        <f t="shared" si="9"/>
        <v>3.7924615152735708E-3</v>
      </c>
    </row>
    <row r="112" spans="2:6" x14ac:dyDescent="0.25">
      <c r="B112" s="193">
        <v>45636</v>
      </c>
      <c r="C112" s="194">
        <v>570.15</v>
      </c>
      <c r="D112" s="196">
        <f t="shared" si="8"/>
        <v>7.0206230802982716E-4</v>
      </c>
      <c r="E112" s="194">
        <v>24610.05</v>
      </c>
      <c r="F112" s="197">
        <f t="shared" si="9"/>
        <v>-1.2884610702140753E-3</v>
      </c>
    </row>
    <row r="113" spans="2:6" x14ac:dyDescent="0.25">
      <c r="B113" s="193">
        <v>45635</v>
      </c>
      <c r="C113" s="194">
        <v>563.70000000000005</v>
      </c>
      <c r="D113" s="196">
        <f t="shared" si="8"/>
        <v>-1.1312812417784701E-2</v>
      </c>
      <c r="E113" s="194">
        <v>24619</v>
      </c>
      <c r="F113" s="197">
        <f t="shared" si="9"/>
        <v>3.6367256466363074E-4</v>
      </c>
    </row>
    <row r="114" spans="2:6" x14ac:dyDescent="0.25">
      <c r="B114" s="193">
        <v>45632</v>
      </c>
      <c r="C114" s="194">
        <v>559.1</v>
      </c>
      <c r="D114" s="196">
        <f t="shared" si="8"/>
        <v>-8.1603689905979104E-3</v>
      </c>
      <c r="E114" s="194">
        <v>24677.8</v>
      </c>
      <c r="F114" s="197">
        <f t="shared" si="9"/>
        <v>2.3883992038669088E-3</v>
      </c>
    </row>
    <row r="115" spans="2:6" x14ac:dyDescent="0.25">
      <c r="B115" s="193">
        <v>45631</v>
      </c>
      <c r="C115" s="194">
        <v>545</v>
      </c>
      <c r="D115" s="196">
        <f t="shared" si="8"/>
        <v>-2.5219102128420712E-2</v>
      </c>
      <c r="E115" s="194">
        <v>24708.400000000001</v>
      </c>
      <c r="F115" s="197">
        <f t="shared" si="9"/>
        <v>1.239980873497748E-3</v>
      </c>
    </row>
    <row r="116" spans="2:6" x14ac:dyDescent="0.25">
      <c r="B116" s="193">
        <v>45630</v>
      </c>
      <c r="C116" s="194">
        <v>543.65</v>
      </c>
      <c r="D116" s="196">
        <f t="shared" si="8"/>
        <v>-2.4770642201835669E-3</v>
      </c>
      <c r="E116" s="194">
        <v>24467.45</v>
      </c>
      <c r="F116" s="197">
        <f t="shared" si="9"/>
        <v>-9.7517443460524156E-3</v>
      </c>
    </row>
    <row r="117" spans="2:6" x14ac:dyDescent="0.25">
      <c r="B117" s="193">
        <v>45629</v>
      </c>
      <c r="C117" s="194">
        <v>539.70000000000005</v>
      </c>
      <c r="D117" s="196">
        <f t="shared" si="8"/>
        <v>-7.2657040375240234E-3</v>
      </c>
      <c r="E117" s="194">
        <v>24457.15</v>
      </c>
      <c r="F117" s="197">
        <f t="shared" si="9"/>
        <v>-4.2096744858988178E-4</v>
      </c>
    </row>
    <row r="118" spans="2:6" x14ac:dyDescent="0.25">
      <c r="B118" s="193">
        <v>45628</v>
      </c>
      <c r="C118" s="194">
        <v>531.9</v>
      </c>
      <c r="D118" s="196">
        <f t="shared" si="8"/>
        <v>-1.4452473596442639E-2</v>
      </c>
      <c r="E118" s="194">
        <v>24276.05</v>
      </c>
      <c r="F118" s="197">
        <f t="shared" si="9"/>
        <v>-7.4047875570130151E-3</v>
      </c>
    </row>
    <row r="119" spans="2:6" x14ac:dyDescent="0.25">
      <c r="B119" s="193">
        <v>45625</v>
      </c>
      <c r="C119" s="194">
        <v>532.6</v>
      </c>
      <c r="D119" s="196">
        <f t="shared" si="8"/>
        <v>1.3160368490319208E-3</v>
      </c>
      <c r="E119" s="194">
        <v>24131.1</v>
      </c>
      <c r="F119" s="197">
        <f t="shared" si="9"/>
        <v>-5.9709054809163886E-3</v>
      </c>
    </row>
    <row r="120" spans="2:6" x14ac:dyDescent="0.25">
      <c r="B120" s="193">
        <v>45624</v>
      </c>
      <c r="C120" s="194">
        <v>528.25</v>
      </c>
      <c r="D120" s="196">
        <f t="shared" si="8"/>
        <v>-8.1674802853924922E-3</v>
      </c>
      <c r="E120" s="194">
        <v>23914.15</v>
      </c>
      <c r="F120" s="197">
        <f t="shared" si="9"/>
        <v>-8.9904728752521201E-3</v>
      </c>
    </row>
    <row r="121" spans="2:6" x14ac:dyDescent="0.25">
      <c r="B121" s="193">
        <v>45623</v>
      </c>
      <c r="C121" s="194">
        <v>526.35</v>
      </c>
      <c r="D121" s="196">
        <f t="shared" si="8"/>
        <v>-3.596781826786466E-3</v>
      </c>
      <c r="E121" s="194">
        <v>24274.9</v>
      </c>
      <c r="F121" s="197">
        <f t="shared" si="9"/>
        <v>1.5085211057052073E-2</v>
      </c>
    </row>
    <row r="122" spans="2:6" x14ac:dyDescent="0.25">
      <c r="B122" s="193">
        <v>45622</v>
      </c>
      <c r="C122" s="194">
        <v>520.04999999999995</v>
      </c>
      <c r="D122" s="196">
        <f t="shared" si="8"/>
        <v>-1.1969222000570046E-2</v>
      </c>
      <c r="E122" s="194">
        <v>24194.5</v>
      </c>
      <c r="F122" s="197">
        <f t="shared" si="9"/>
        <v>-3.3120630774998716E-3</v>
      </c>
    </row>
    <row r="123" spans="2:6" x14ac:dyDescent="0.25">
      <c r="B123" s="193">
        <v>45621</v>
      </c>
      <c r="C123" s="194">
        <v>519.4</v>
      </c>
      <c r="D123" s="196">
        <f t="shared" si="8"/>
        <v>-1.2498798192480676E-3</v>
      </c>
      <c r="E123" s="194">
        <v>24221.9</v>
      </c>
      <c r="F123" s="197">
        <f t="shared" si="9"/>
        <v>1.1324887887744772E-3</v>
      </c>
    </row>
    <row r="124" spans="2:6" x14ac:dyDescent="0.25">
      <c r="B124" s="193">
        <v>45618</v>
      </c>
      <c r="C124" s="194">
        <v>506.25</v>
      </c>
      <c r="D124" s="196">
        <f t="shared" si="8"/>
        <v>-2.5317674239507038E-2</v>
      </c>
      <c r="E124" s="194">
        <v>23907.25</v>
      </c>
      <c r="F124" s="197">
        <f t="shared" si="9"/>
        <v>-1.2990310421560736E-2</v>
      </c>
    </row>
    <row r="125" spans="2:6" x14ac:dyDescent="0.25">
      <c r="B125" s="193">
        <v>45617</v>
      </c>
      <c r="C125" s="194">
        <v>490.95</v>
      </c>
      <c r="D125" s="196">
        <f t="shared" si="8"/>
        <v>-3.0222222222222261E-2</v>
      </c>
      <c r="E125" s="194">
        <v>23349.9</v>
      </c>
      <c r="F125" s="197">
        <f t="shared" si="9"/>
        <v>-2.3313011743299583E-2</v>
      </c>
    </row>
    <row r="126" spans="2:6" x14ac:dyDescent="0.25">
      <c r="B126" s="193">
        <v>45615</v>
      </c>
      <c r="C126" s="194">
        <v>516.6</v>
      </c>
      <c r="D126" s="196">
        <f t="shared" si="8"/>
        <v>5.2245646196150464E-2</v>
      </c>
      <c r="E126" s="194">
        <v>23518.5</v>
      </c>
      <c r="F126" s="197">
        <f t="shared" si="9"/>
        <v>7.220587668469669E-3</v>
      </c>
    </row>
    <row r="127" spans="2:6" x14ac:dyDescent="0.25">
      <c r="B127" s="193">
        <v>45614</v>
      </c>
      <c r="C127" s="194">
        <v>501</v>
      </c>
      <c r="D127" s="196">
        <f t="shared" si="8"/>
        <v>-3.0197444831591258E-2</v>
      </c>
      <c r="E127" s="194">
        <v>23453.8</v>
      </c>
      <c r="F127" s="197">
        <f t="shared" si="9"/>
        <v>-2.7510257882092937E-3</v>
      </c>
    </row>
    <row r="128" spans="2:6" x14ac:dyDescent="0.25">
      <c r="B128" s="193">
        <v>45610</v>
      </c>
      <c r="C128" s="194">
        <v>502.35</v>
      </c>
      <c r="D128" s="196">
        <f t="shared" si="8"/>
        <v>2.6946107784431295E-3</v>
      </c>
      <c r="E128" s="194">
        <v>23532.7</v>
      </c>
      <c r="F128" s="197">
        <f t="shared" si="9"/>
        <v>3.3640604081215386E-3</v>
      </c>
    </row>
    <row r="129" spans="2:6" x14ac:dyDescent="0.25">
      <c r="B129" s="193">
        <v>45609</v>
      </c>
      <c r="C129" s="194">
        <v>508.45</v>
      </c>
      <c r="D129" s="196">
        <f t="shared" si="8"/>
        <v>1.2142928237284689E-2</v>
      </c>
      <c r="E129" s="194">
        <v>23559.05</v>
      </c>
      <c r="F129" s="197">
        <f t="shared" si="9"/>
        <v>1.1197185193367876E-3</v>
      </c>
    </row>
    <row r="130" spans="2:6" x14ac:dyDescent="0.25">
      <c r="B130" s="193">
        <v>45608</v>
      </c>
      <c r="C130" s="194">
        <v>514.5</v>
      </c>
      <c r="D130" s="196">
        <f t="shared" si="8"/>
        <v>1.1898908447241618E-2</v>
      </c>
      <c r="E130" s="194">
        <v>23883.45</v>
      </c>
      <c r="F130" s="197">
        <f t="shared" si="9"/>
        <v>1.3769655397819491E-2</v>
      </c>
    </row>
    <row r="131" spans="2:6" x14ac:dyDescent="0.25">
      <c r="B131" s="193">
        <v>45607</v>
      </c>
      <c r="C131" s="194">
        <v>528.35</v>
      </c>
      <c r="D131" s="196">
        <f t="shared" si="8"/>
        <v>2.6919339164237277E-2</v>
      </c>
      <c r="E131" s="194">
        <v>24141.3</v>
      </c>
      <c r="F131" s="197">
        <f t="shared" si="9"/>
        <v>1.0796178943996759E-2</v>
      </c>
    </row>
    <row r="132" spans="2:6" x14ac:dyDescent="0.25">
      <c r="B132" s="193">
        <v>45604</v>
      </c>
      <c r="C132" s="194">
        <v>514.54999999999995</v>
      </c>
      <c r="D132" s="196">
        <f t="shared" si="8"/>
        <v>-2.6119049872243894E-2</v>
      </c>
      <c r="E132" s="194">
        <v>24148.2</v>
      </c>
      <c r="F132" s="197">
        <f t="shared" si="9"/>
        <v>2.8581725093523858E-4</v>
      </c>
    </row>
    <row r="133" spans="2:6" x14ac:dyDescent="0.25">
      <c r="B133" s="193">
        <v>45603</v>
      </c>
      <c r="C133" s="194">
        <v>528.65</v>
      </c>
      <c r="D133" s="196">
        <f t="shared" si="8"/>
        <v>2.7402584782820094E-2</v>
      </c>
      <c r="E133" s="194">
        <v>24199.35</v>
      </c>
      <c r="F133" s="197">
        <f t="shared" si="9"/>
        <v>2.1181702984072182E-3</v>
      </c>
    </row>
    <row r="134" spans="2:6" x14ac:dyDescent="0.25">
      <c r="B134" s="193">
        <v>45602</v>
      </c>
      <c r="C134" s="194">
        <v>532.79999999999995</v>
      </c>
      <c r="D134" s="196">
        <f t="shared" si="8"/>
        <v>7.8501844320437719E-3</v>
      </c>
      <c r="E134" s="194">
        <v>24484.05</v>
      </c>
      <c r="F134" s="197">
        <f t="shared" si="9"/>
        <v>1.1764778806042431E-2</v>
      </c>
    </row>
    <row r="135" spans="2:6" x14ac:dyDescent="0.25">
      <c r="B135" s="193">
        <v>45601</v>
      </c>
      <c r="C135" s="194">
        <v>526</v>
      </c>
      <c r="D135" s="196">
        <f t="shared" si="8"/>
        <v>-1.2762762762762669E-2</v>
      </c>
      <c r="E135" s="194">
        <v>24213.3</v>
      </c>
      <c r="F135" s="197">
        <f t="shared" si="9"/>
        <v>-1.1058219534758384E-2</v>
      </c>
    </row>
    <row r="136" spans="2:6" x14ac:dyDescent="0.25">
      <c r="B136" s="193">
        <v>45600</v>
      </c>
      <c r="C136" s="194">
        <v>518.35</v>
      </c>
      <c r="D136" s="196">
        <f t="shared" si="8"/>
        <v>-1.4543726235741405E-2</v>
      </c>
      <c r="E136" s="194">
        <v>23995.35</v>
      </c>
      <c r="F136" s="197">
        <f t="shared" si="9"/>
        <v>-9.0012513783747083E-3</v>
      </c>
    </row>
    <row r="137" spans="2:6" x14ac:dyDescent="0.25">
      <c r="B137" s="193">
        <v>45597</v>
      </c>
      <c r="C137" s="194">
        <v>526.79999999999995</v>
      </c>
      <c r="D137" s="196">
        <f t="shared" si="8"/>
        <v>1.6301726632584002E-2</v>
      </c>
      <c r="E137" s="194">
        <v>24304.35</v>
      </c>
      <c r="F137" s="197">
        <f t="shared" si="9"/>
        <v>1.2877495014659068E-2</v>
      </c>
    </row>
    <row r="138" spans="2:6" x14ac:dyDescent="0.25">
      <c r="B138" s="193">
        <v>45596</v>
      </c>
      <c r="C138" s="194">
        <v>522.6</v>
      </c>
      <c r="D138" s="196">
        <f t="shared" si="8"/>
        <v>-7.9726651480636068E-3</v>
      </c>
      <c r="E138" s="194">
        <v>24205.35</v>
      </c>
      <c r="F138" s="197">
        <f t="shared" si="9"/>
        <v>-4.0733448950496243E-3</v>
      </c>
    </row>
    <row r="139" spans="2:6" x14ac:dyDescent="0.25">
      <c r="B139" s="193">
        <v>45595</v>
      </c>
      <c r="C139" s="194">
        <v>534.25</v>
      </c>
      <c r="D139" s="196">
        <f t="shared" si="8"/>
        <v>2.229238423268276E-2</v>
      </c>
      <c r="E139" s="194">
        <v>24340.85</v>
      </c>
      <c r="F139" s="197">
        <f t="shared" si="9"/>
        <v>5.5979359934890116E-3</v>
      </c>
    </row>
    <row r="140" spans="2:6" x14ac:dyDescent="0.25">
      <c r="B140" s="193">
        <v>45594</v>
      </c>
      <c r="C140" s="194">
        <v>547.5</v>
      </c>
      <c r="D140" s="196">
        <f t="shared" si="8"/>
        <v>2.4801123069723818E-2</v>
      </c>
      <c r="E140" s="194">
        <v>24466.85</v>
      </c>
      <c r="F140" s="197">
        <f t="shared" si="9"/>
        <v>5.1764831548610779E-3</v>
      </c>
    </row>
    <row r="141" spans="2:6" x14ac:dyDescent="0.25">
      <c r="B141" s="193">
        <v>45593</v>
      </c>
      <c r="C141" s="194">
        <v>523.65</v>
      </c>
      <c r="D141" s="196">
        <f t="shared" si="8"/>
        <v>-4.3561643835616448E-2</v>
      </c>
      <c r="E141" s="194">
        <v>24339.15</v>
      </c>
      <c r="F141" s="197">
        <f t="shared" si="9"/>
        <v>-5.2193069397979963E-3</v>
      </c>
    </row>
    <row r="142" spans="2:6" x14ac:dyDescent="0.25">
      <c r="B142" s="193">
        <v>45590</v>
      </c>
      <c r="C142" s="194">
        <v>508</v>
      </c>
      <c r="D142" s="196">
        <f t="shared" si="8"/>
        <v>-2.9886374486775447E-2</v>
      </c>
      <c r="E142" s="194">
        <v>24180.799999999999</v>
      </c>
      <c r="F142" s="197">
        <f t="shared" si="9"/>
        <v>-6.5059790502134396E-3</v>
      </c>
    </row>
    <row r="143" spans="2:6" x14ac:dyDescent="0.25">
      <c r="B143" s="193">
        <v>45589</v>
      </c>
      <c r="C143" s="194">
        <v>521.29999999999995</v>
      </c>
      <c r="D143" s="196">
        <f t="shared" si="8"/>
        <v>2.6181102362204722E-2</v>
      </c>
      <c r="E143" s="194">
        <v>24399.4</v>
      </c>
      <c r="F143" s="197">
        <f t="shared" si="9"/>
        <v>9.0402302653345146E-3</v>
      </c>
    </row>
    <row r="144" spans="2:6" x14ac:dyDescent="0.25">
      <c r="B144" s="193">
        <v>45588</v>
      </c>
      <c r="C144" s="194">
        <v>505.7</v>
      </c>
      <c r="D144" s="196">
        <f t="shared" si="8"/>
        <v>-2.9925187032418865E-2</v>
      </c>
      <c r="E144" s="194">
        <v>24435.5</v>
      </c>
      <c r="F144" s="197">
        <f t="shared" si="9"/>
        <v>1.4795445789650419E-3</v>
      </c>
    </row>
    <row r="145" spans="2:6" x14ac:dyDescent="0.25">
      <c r="B145" s="193">
        <v>45587</v>
      </c>
      <c r="C145" s="194">
        <v>508.05</v>
      </c>
      <c r="D145" s="196">
        <f t="shared" si="8"/>
        <v>4.6470239272295988E-3</v>
      </c>
      <c r="E145" s="194">
        <v>24472.1</v>
      </c>
      <c r="F145" s="197">
        <f t="shared" si="9"/>
        <v>1.497820793517679E-3</v>
      </c>
    </row>
    <row r="146" spans="2:6" x14ac:dyDescent="0.25">
      <c r="B146" s="193">
        <v>45586</v>
      </c>
      <c r="C146" s="194">
        <v>532.5</v>
      </c>
      <c r="D146" s="196">
        <f t="shared" si="8"/>
        <v>4.8125184529081766E-2</v>
      </c>
      <c r="E146" s="194">
        <v>24781.1</v>
      </c>
      <c r="F146" s="197">
        <f t="shared" si="9"/>
        <v>1.2626623787905356E-2</v>
      </c>
    </row>
    <row r="147" spans="2:6" x14ac:dyDescent="0.25">
      <c r="B147" s="193">
        <v>45583</v>
      </c>
      <c r="C147" s="194">
        <v>546.25</v>
      </c>
      <c r="D147" s="196">
        <f t="shared" si="8"/>
        <v>2.5821596244131495E-2</v>
      </c>
      <c r="E147" s="194">
        <v>24854.05</v>
      </c>
      <c r="F147" s="197">
        <f t="shared" si="9"/>
        <v>2.9437757000294607E-3</v>
      </c>
    </row>
    <row r="148" spans="2:6" x14ac:dyDescent="0.25">
      <c r="B148" s="193">
        <v>45582</v>
      </c>
      <c r="C148" s="194">
        <v>542.35</v>
      </c>
      <c r="D148" s="196">
        <f t="shared" si="8"/>
        <v>-7.1395881006864892E-3</v>
      </c>
      <c r="E148" s="194">
        <v>24749.85</v>
      </c>
      <c r="F148" s="197">
        <f t="shared" si="9"/>
        <v>-4.1924756729788681E-3</v>
      </c>
    </row>
    <row r="149" spans="2:6" x14ac:dyDescent="0.25">
      <c r="B149" s="193">
        <v>45581</v>
      </c>
      <c r="C149" s="194">
        <v>552.1</v>
      </c>
      <c r="D149" s="196">
        <f t="shared" si="8"/>
        <v>1.7977320918226347E-2</v>
      </c>
      <c r="E149" s="194">
        <v>24971.3</v>
      </c>
      <c r="F149" s="197">
        <f t="shared" si="9"/>
        <v>8.9475289749230136E-3</v>
      </c>
    </row>
    <row r="150" spans="2:6" x14ac:dyDescent="0.25">
      <c r="B150" s="193">
        <v>45580</v>
      </c>
      <c r="C150" s="194">
        <v>547.29999999999995</v>
      </c>
      <c r="D150" s="196">
        <f t="shared" ref="D150:D213" si="10">C150/C149-1</f>
        <v>-8.6940771599348654E-3</v>
      </c>
      <c r="E150" s="194">
        <v>25057.35</v>
      </c>
      <c r="F150" s="197">
        <f t="shared" ref="F150:F213" si="11">E150/E149-1</f>
        <v>3.4459559574391285E-3</v>
      </c>
    </row>
    <row r="151" spans="2:6" x14ac:dyDescent="0.25">
      <c r="B151" s="193">
        <v>45579</v>
      </c>
      <c r="C151" s="194">
        <v>540.35</v>
      </c>
      <c r="D151" s="196">
        <f t="shared" si="10"/>
        <v>-1.2698702722455546E-2</v>
      </c>
      <c r="E151" s="194">
        <v>25127.95</v>
      </c>
      <c r="F151" s="197">
        <f t="shared" si="11"/>
        <v>2.8175365711060607E-3</v>
      </c>
    </row>
    <row r="152" spans="2:6" x14ac:dyDescent="0.25">
      <c r="B152" s="193">
        <v>45576</v>
      </c>
      <c r="C152" s="194">
        <v>537.9</v>
      </c>
      <c r="D152" s="196">
        <f t="shared" si="10"/>
        <v>-4.53409826964013E-3</v>
      </c>
      <c r="E152" s="194">
        <v>24964.25</v>
      </c>
      <c r="F152" s="197">
        <f t="shared" si="11"/>
        <v>-6.514657980456029E-3</v>
      </c>
    </row>
    <row r="153" spans="2:6" x14ac:dyDescent="0.25">
      <c r="B153" s="193">
        <v>45575</v>
      </c>
      <c r="C153" s="194">
        <v>544.25</v>
      </c>
      <c r="D153" s="196">
        <f t="shared" si="10"/>
        <v>1.1805168246886044E-2</v>
      </c>
      <c r="E153" s="194">
        <v>24998.45</v>
      </c>
      <c r="F153" s="197">
        <f t="shared" si="11"/>
        <v>1.3699590414293361E-3</v>
      </c>
    </row>
    <row r="154" spans="2:6" x14ac:dyDescent="0.25">
      <c r="B154" s="193">
        <v>45574</v>
      </c>
      <c r="C154" s="194">
        <v>532.4</v>
      </c>
      <c r="D154" s="196">
        <f t="shared" si="10"/>
        <v>-2.1773082223243034E-2</v>
      </c>
      <c r="E154" s="194">
        <v>24981.95</v>
      </c>
      <c r="F154" s="197">
        <f t="shared" si="11"/>
        <v>-6.6004092253724167E-4</v>
      </c>
    </row>
    <row r="155" spans="2:6" x14ac:dyDescent="0.25">
      <c r="B155" s="193">
        <v>45573</v>
      </c>
      <c r="C155" s="194">
        <v>524.25</v>
      </c>
      <c r="D155" s="196">
        <f t="shared" si="10"/>
        <v>-1.5308039068369639E-2</v>
      </c>
      <c r="E155" s="194">
        <v>25013.15</v>
      </c>
      <c r="F155" s="197">
        <f t="shared" si="11"/>
        <v>1.2489017070325126E-3</v>
      </c>
    </row>
    <row r="156" spans="2:6" x14ac:dyDescent="0.25">
      <c r="B156" s="193">
        <v>45572</v>
      </c>
      <c r="C156" s="194">
        <v>500.15</v>
      </c>
      <c r="D156" s="196">
        <f t="shared" si="10"/>
        <v>-4.597043395326661E-2</v>
      </c>
      <c r="E156" s="194">
        <v>24795.75</v>
      </c>
      <c r="F156" s="197">
        <f t="shared" si="11"/>
        <v>-8.6914283087097255E-3</v>
      </c>
    </row>
    <row r="157" spans="2:6" x14ac:dyDescent="0.25">
      <c r="B157" s="193">
        <v>45569</v>
      </c>
      <c r="C157" s="194">
        <v>524.04999999999995</v>
      </c>
      <c r="D157" s="196">
        <f t="shared" si="10"/>
        <v>4.778566430070974E-2</v>
      </c>
      <c r="E157" s="194">
        <v>25014.6</v>
      </c>
      <c r="F157" s="197">
        <f t="shared" si="11"/>
        <v>8.8261093130879154E-3</v>
      </c>
    </row>
    <row r="158" spans="2:6" x14ac:dyDescent="0.25">
      <c r="B158" s="193">
        <v>45568</v>
      </c>
      <c r="C158" s="194">
        <v>537.70000000000005</v>
      </c>
      <c r="D158" s="196">
        <f t="shared" si="10"/>
        <v>2.6047132907165427E-2</v>
      </c>
      <c r="E158" s="194">
        <v>25250.1</v>
      </c>
      <c r="F158" s="197">
        <f t="shared" si="11"/>
        <v>9.4145019308724542E-3</v>
      </c>
    </row>
    <row r="159" spans="2:6" x14ac:dyDescent="0.25">
      <c r="B159" s="193">
        <v>45566</v>
      </c>
      <c r="C159" s="194">
        <v>556.79999999999995</v>
      </c>
      <c r="D159" s="196">
        <f t="shared" si="10"/>
        <v>3.5521666356704396E-2</v>
      </c>
      <c r="E159" s="194">
        <v>25796.9</v>
      </c>
      <c r="F159" s="197">
        <f t="shared" si="11"/>
        <v>2.1655359780753392E-2</v>
      </c>
    </row>
    <row r="160" spans="2:6" x14ac:dyDescent="0.25">
      <c r="B160" s="193">
        <v>45565</v>
      </c>
      <c r="C160" s="194">
        <v>554.5</v>
      </c>
      <c r="D160" s="196">
        <f t="shared" si="10"/>
        <v>-4.1307471264366846E-3</v>
      </c>
      <c r="E160" s="194">
        <v>25810.85</v>
      </c>
      <c r="F160" s="197">
        <f t="shared" si="11"/>
        <v>5.4076264977553912E-4</v>
      </c>
    </row>
    <row r="161" spans="2:6" x14ac:dyDescent="0.25">
      <c r="B161" s="193">
        <v>45562</v>
      </c>
      <c r="C161" s="194">
        <v>560.20000000000005</v>
      </c>
      <c r="D161" s="196">
        <f t="shared" si="10"/>
        <v>1.0279531109107287E-2</v>
      </c>
      <c r="E161" s="194">
        <v>26178.95</v>
      </c>
      <c r="F161" s="197">
        <f t="shared" si="11"/>
        <v>1.4261444315084582E-2</v>
      </c>
    </row>
    <row r="162" spans="2:6" x14ac:dyDescent="0.25">
      <c r="B162" s="193">
        <v>45561</v>
      </c>
      <c r="C162" s="194">
        <v>544.1</v>
      </c>
      <c r="D162" s="196">
        <f t="shared" si="10"/>
        <v>-2.8739735808639755E-2</v>
      </c>
      <c r="E162" s="194">
        <v>26216.05</v>
      </c>
      <c r="F162" s="197">
        <f t="shared" si="11"/>
        <v>1.4171691377995455E-3</v>
      </c>
    </row>
    <row r="163" spans="2:6" x14ac:dyDescent="0.25">
      <c r="B163" s="193">
        <v>45560</v>
      </c>
      <c r="C163" s="194">
        <v>545.04999999999995</v>
      </c>
      <c r="D163" s="196">
        <f t="shared" si="10"/>
        <v>1.7460025730562378E-3</v>
      </c>
      <c r="E163" s="194">
        <v>26004.15</v>
      </c>
      <c r="F163" s="197">
        <f t="shared" si="11"/>
        <v>-8.0828347519934507E-3</v>
      </c>
    </row>
    <row r="164" spans="2:6" x14ac:dyDescent="0.25">
      <c r="B164" s="193">
        <v>45559</v>
      </c>
      <c r="C164" s="194">
        <v>548.35</v>
      </c>
      <c r="D164" s="196">
        <f t="shared" si="10"/>
        <v>6.0544904137236344E-3</v>
      </c>
      <c r="E164" s="194">
        <v>25940.400000000001</v>
      </c>
      <c r="F164" s="197">
        <f t="shared" si="11"/>
        <v>-2.4515317747360044E-3</v>
      </c>
    </row>
    <row r="165" spans="2:6" x14ac:dyDescent="0.25">
      <c r="B165" s="193">
        <v>45558</v>
      </c>
      <c r="C165" s="194">
        <v>542.5</v>
      </c>
      <c r="D165" s="196">
        <f t="shared" si="10"/>
        <v>-1.0668368742591472E-2</v>
      </c>
      <c r="E165" s="194">
        <v>25939.05</v>
      </c>
      <c r="F165" s="197">
        <f t="shared" si="11"/>
        <v>-5.2042374057537089E-5</v>
      </c>
    </row>
    <row r="166" spans="2:6" x14ac:dyDescent="0.25">
      <c r="B166" s="193">
        <v>45555</v>
      </c>
      <c r="C166" s="194">
        <v>539.95000000000005</v>
      </c>
      <c r="D166" s="196">
        <f t="shared" si="10"/>
        <v>-4.7004608294930472E-3</v>
      </c>
      <c r="E166" s="194">
        <v>25790.95</v>
      </c>
      <c r="F166" s="197">
        <f t="shared" si="11"/>
        <v>-5.7095383215652884E-3</v>
      </c>
    </row>
    <row r="167" spans="2:6" x14ac:dyDescent="0.25">
      <c r="B167" s="193">
        <v>45554</v>
      </c>
      <c r="C167" s="194">
        <v>529.70000000000005</v>
      </c>
      <c r="D167" s="196">
        <f t="shared" si="10"/>
        <v>-1.8983239188813728E-2</v>
      </c>
      <c r="E167" s="194">
        <v>25415.8</v>
      </c>
      <c r="F167" s="197">
        <f t="shared" si="11"/>
        <v>-1.4545799980225649E-2</v>
      </c>
    </row>
    <row r="168" spans="2:6" x14ac:dyDescent="0.25">
      <c r="B168" s="193">
        <v>45553</v>
      </c>
      <c r="C168" s="194">
        <v>546.04999999999995</v>
      </c>
      <c r="D168" s="196">
        <f t="shared" si="10"/>
        <v>3.0866528223522538E-2</v>
      </c>
      <c r="E168" s="194">
        <v>25377.55</v>
      </c>
      <c r="F168" s="197">
        <f t="shared" si="11"/>
        <v>-1.5049693497745098E-3</v>
      </c>
    </row>
    <row r="169" spans="2:6" x14ac:dyDescent="0.25">
      <c r="B169" s="193">
        <v>45552</v>
      </c>
      <c r="C169" s="194">
        <v>544.85</v>
      </c>
      <c r="D169" s="196">
        <f t="shared" si="10"/>
        <v>-2.1976009522935991E-3</v>
      </c>
      <c r="E169" s="194">
        <v>25418.55</v>
      </c>
      <c r="F169" s="197">
        <f t="shared" si="11"/>
        <v>1.6156011908163848E-3</v>
      </c>
    </row>
    <row r="170" spans="2:6" x14ac:dyDescent="0.25">
      <c r="B170" s="193">
        <v>45551</v>
      </c>
      <c r="C170" s="194">
        <v>560.70000000000005</v>
      </c>
      <c r="D170" s="196">
        <f t="shared" si="10"/>
        <v>2.9090575387721529E-2</v>
      </c>
      <c r="E170" s="194">
        <v>25383.75</v>
      </c>
      <c r="F170" s="197">
        <f t="shared" si="11"/>
        <v>-1.3690788813680577E-3</v>
      </c>
    </row>
    <row r="171" spans="2:6" x14ac:dyDescent="0.25">
      <c r="B171" s="193">
        <v>45548</v>
      </c>
      <c r="C171" s="194">
        <v>567.70000000000005</v>
      </c>
      <c r="D171" s="196">
        <f t="shared" si="10"/>
        <v>1.2484394506866447E-2</v>
      </c>
      <c r="E171" s="194">
        <v>25356.5</v>
      </c>
      <c r="F171" s="197">
        <f t="shared" si="11"/>
        <v>-1.0735214458068576E-3</v>
      </c>
    </row>
    <row r="172" spans="2:6" x14ac:dyDescent="0.25">
      <c r="B172" s="193">
        <v>45547</v>
      </c>
      <c r="C172" s="194">
        <v>572.79999999999995</v>
      </c>
      <c r="D172" s="196">
        <f t="shared" si="10"/>
        <v>8.9836181081555111E-3</v>
      </c>
      <c r="E172" s="194">
        <v>25388.9</v>
      </c>
      <c r="F172" s="197">
        <f t="shared" si="11"/>
        <v>1.277778873267188E-3</v>
      </c>
    </row>
    <row r="173" spans="2:6" x14ac:dyDescent="0.25">
      <c r="B173" s="193">
        <v>45546</v>
      </c>
      <c r="C173" s="194">
        <v>562.75</v>
      </c>
      <c r="D173" s="196">
        <f t="shared" si="10"/>
        <v>-1.7545391061452476E-2</v>
      </c>
      <c r="E173" s="194">
        <v>24918.45</v>
      </c>
      <c r="F173" s="197">
        <f t="shared" si="11"/>
        <v>-1.8529751190480948E-2</v>
      </c>
    </row>
    <row r="174" spans="2:6" x14ac:dyDescent="0.25">
      <c r="B174" s="193">
        <v>45545</v>
      </c>
      <c r="C174" s="194">
        <v>577.15</v>
      </c>
      <c r="D174" s="196">
        <f t="shared" si="10"/>
        <v>2.5588627276765807E-2</v>
      </c>
      <c r="E174" s="194">
        <v>25041.1</v>
      </c>
      <c r="F174" s="197">
        <f t="shared" si="11"/>
        <v>4.9220557458429237E-3</v>
      </c>
    </row>
    <row r="175" spans="2:6" x14ac:dyDescent="0.25">
      <c r="B175" s="193">
        <v>45544</v>
      </c>
      <c r="C175" s="194">
        <v>590.04999999999995</v>
      </c>
      <c r="D175" s="196">
        <f t="shared" si="10"/>
        <v>2.2351208524646893E-2</v>
      </c>
      <c r="E175" s="194">
        <v>24936.400000000001</v>
      </c>
      <c r="F175" s="197">
        <f t="shared" si="11"/>
        <v>-4.1811262284802142E-3</v>
      </c>
    </row>
    <row r="176" spans="2:6" x14ac:dyDescent="0.25">
      <c r="B176" s="193">
        <v>45541</v>
      </c>
      <c r="C176" s="194">
        <v>607.45000000000005</v>
      </c>
      <c r="D176" s="196">
        <f t="shared" si="10"/>
        <v>2.9489026353699099E-2</v>
      </c>
      <c r="E176" s="194">
        <v>24852.15</v>
      </c>
      <c r="F176" s="197">
        <f t="shared" si="11"/>
        <v>-3.378595146051544E-3</v>
      </c>
    </row>
    <row r="177" spans="2:6" x14ac:dyDescent="0.25">
      <c r="B177" s="193">
        <v>45540</v>
      </c>
      <c r="C177" s="194">
        <v>630.6</v>
      </c>
      <c r="D177" s="196">
        <f t="shared" si="10"/>
        <v>3.8110132521195217E-2</v>
      </c>
      <c r="E177" s="194">
        <v>25145.1</v>
      </c>
      <c r="F177" s="197">
        <f t="shared" si="11"/>
        <v>1.1787712531913686E-2</v>
      </c>
    </row>
    <row r="178" spans="2:6" x14ac:dyDescent="0.25">
      <c r="B178" s="193">
        <v>45539</v>
      </c>
      <c r="C178" s="194">
        <v>624.65</v>
      </c>
      <c r="D178" s="196">
        <f t="shared" si="10"/>
        <v>-9.4354582936886366E-3</v>
      </c>
      <c r="E178" s="194">
        <v>25198.7</v>
      </c>
      <c r="F178" s="197">
        <f t="shared" si="11"/>
        <v>2.1316280309087166E-3</v>
      </c>
    </row>
    <row r="179" spans="2:6" x14ac:dyDescent="0.25">
      <c r="B179" s="193">
        <v>45538</v>
      </c>
      <c r="C179" s="194">
        <v>629.4</v>
      </c>
      <c r="D179" s="196">
        <f t="shared" si="10"/>
        <v>7.6042583846953615E-3</v>
      </c>
      <c r="E179" s="194">
        <v>25279.85</v>
      </c>
      <c r="F179" s="197">
        <f t="shared" si="11"/>
        <v>3.220404227202156E-3</v>
      </c>
    </row>
    <row r="180" spans="2:6" x14ac:dyDescent="0.25">
      <c r="B180" s="193">
        <v>45537</v>
      </c>
      <c r="C180" s="194">
        <v>617.15</v>
      </c>
      <c r="D180" s="196">
        <f t="shared" si="10"/>
        <v>-1.9462980616460124E-2</v>
      </c>
      <c r="E180" s="194">
        <v>25278.7</v>
      </c>
      <c r="F180" s="197">
        <f t="shared" si="11"/>
        <v>-4.5490776250600717E-5</v>
      </c>
    </row>
    <row r="181" spans="2:6" x14ac:dyDescent="0.25">
      <c r="B181" s="193">
        <v>45534</v>
      </c>
      <c r="C181" s="194">
        <v>619.75</v>
      </c>
      <c r="D181" s="196">
        <f t="shared" si="10"/>
        <v>4.2129142023819011E-3</v>
      </c>
      <c r="E181" s="194">
        <v>25235.9</v>
      </c>
      <c r="F181" s="197">
        <f t="shared" si="11"/>
        <v>-1.6931250420314514E-3</v>
      </c>
    </row>
    <row r="182" spans="2:6" x14ac:dyDescent="0.25">
      <c r="B182" s="193">
        <v>45533</v>
      </c>
      <c r="C182" s="194">
        <v>626.25</v>
      </c>
      <c r="D182" s="196">
        <f t="shared" si="10"/>
        <v>1.0488100040338955E-2</v>
      </c>
      <c r="E182" s="194">
        <v>25151.95</v>
      </c>
      <c r="F182" s="197">
        <f t="shared" si="11"/>
        <v>-3.3266101070300591E-3</v>
      </c>
    </row>
    <row r="183" spans="2:6" x14ac:dyDescent="0.25">
      <c r="B183" s="193">
        <v>45532</v>
      </c>
      <c r="C183" s="194">
        <v>618.54999999999995</v>
      </c>
      <c r="D183" s="196">
        <f t="shared" si="10"/>
        <v>-1.2295409181636852E-2</v>
      </c>
      <c r="E183" s="194">
        <v>25052.35</v>
      </c>
      <c r="F183" s="197">
        <f t="shared" si="11"/>
        <v>-3.9599315361235066E-3</v>
      </c>
    </row>
    <row r="184" spans="2:6" x14ac:dyDescent="0.25">
      <c r="B184" s="193">
        <v>45531</v>
      </c>
      <c r="C184" s="194">
        <v>617.35</v>
      </c>
      <c r="D184" s="196">
        <f t="shared" si="10"/>
        <v>-1.9400210168942777E-3</v>
      </c>
      <c r="E184" s="194">
        <v>25017.75</v>
      </c>
      <c r="F184" s="197">
        <f t="shared" si="11"/>
        <v>-1.3811079599318488E-3</v>
      </c>
    </row>
    <row r="185" spans="2:6" x14ac:dyDescent="0.25">
      <c r="B185" s="193">
        <v>45530</v>
      </c>
      <c r="C185" s="194">
        <v>589.85</v>
      </c>
      <c r="D185" s="196">
        <f t="shared" si="10"/>
        <v>-4.4545233659998407E-2</v>
      </c>
      <c r="E185" s="194">
        <v>25010.6</v>
      </c>
      <c r="F185" s="197">
        <f t="shared" si="11"/>
        <v>-2.8579708407039384E-4</v>
      </c>
    </row>
    <row r="186" spans="2:6" x14ac:dyDescent="0.25">
      <c r="B186" s="193">
        <v>45527</v>
      </c>
      <c r="C186" s="194">
        <v>586.70000000000005</v>
      </c>
      <c r="D186" s="196">
        <f t="shared" si="10"/>
        <v>-5.3403407646011036E-3</v>
      </c>
      <c r="E186" s="194">
        <v>24823.15</v>
      </c>
      <c r="F186" s="197">
        <f t="shared" si="11"/>
        <v>-7.4948221953889949E-3</v>
      </c>
    </row>
    <row r="187" spans="2:6" x14ac:dyDescent="0.25">
      <c r="B187" s="193">
        <v>45526</v>
      </c>
      <c r="C187" s="194">
        <v>595.35</v>
      </c>
      <c r="D187" s="196">
        <f t="shared" si="10"/>
        <v>1.4743480484063376E-2</v>
      </c>
      <c r="E187" s="194">
        <v>24811.5</v>
      </c>
      <c r="F187" s="197">
        <f t="shared" si="11"/>
        <v>-4.6931996946408816E-4</v>
      </c>
    </row>
    <row r="188" spans="2:6" x14ac:dyDescent="0.25">
      <c r="B188" s="193">
        <v>45525</v>
      </c>
      <c r="C188" s="194">
        <v>594.20000000000005</v>
      </c>
      <c r="D188" s="196">
        <f t="shared" si="10"/>
        <v>-1.931636852271712E-3</v>
      </c>
      <c r="E188" s="194">
        <v>24770.2</v>
      </c>
      <c r="F188" s="197">
        <f t="shared" si="11"/>
        <v>-1.66455071237126E-3</v>
      </c>
    </row>
    <row r="189" spans="2:6" x14ac:dyDescent="0.25">
      <c r="B189" s="193">
        <v>45524</v>
      </c>
      <c r="C189" s="194">
        <v>599.9</v>
      </c>
      <c r="D189" s="196">
        <f t="shared" si="10"/>
        <v>9.5927297206326312E-3</v>
      </c>
      <c r="E189" s="194">
        <v>24698.85</v>
      </c>
      <c r="F189" s="197">
        <f t="shared" si="11"/>
        <v>-2.8804773477808521E-3</v>
      </c>
    </row>
    <row r="190" spans="2:6" x14ac:dyDescent="0.25">
      <c r="B190" s="193">
        <v>45523</v>
      </c>
      <c r="C190" s="194">
        <v>584.29999999999995</v>
      </c>
      <c r="D190" s="196">
        <f t="shared" si="10"/>
        <v>-2.6004334055676037E-2</v>
      </c>
      <c r="E190" s="194">
        <v>24572.65</v>
      </c>
      <c r="F190" s="197">
        <f t="shared" si="11"/>
        <v>-5.1095496349019554E-3</v>
      </c>
    </row>
    <row r="191" spans="2:6" x14ac:dyDescent="0.25">
      <c r="B191" s="193">
        <v>45520</v>
      </c>
      <c r="C191" s="194">
        <v>579.65</v>
      </c>
      <c r="D191" s="196">
        <f t="shared" si="10"/>
        <v>-7.9582406298134289E-3</v>
      </c>
      <c r="E191" s="194">
        <v>24541.15</v>
      </c>
      <c r="F191" s="197">
        <f t="shared" si="11"/>
        <v>-1.2819130211840779E-3</v>
      </c>
    </row>
    <row r="192" spans="2:6" x14ac:dyDescent="0.25">
      <c r="B192" s="193">
        <v>45518</v>
      </c>
      <c r="C192" s="194">
        <v>563.70000000000005</v>
      </c>
      <c r="D192" s="196">
        <f t="shared" si="10"/>
        <v>-2.7516604847752868E-2</v>
      </c>
      <c r="E192" s="194">
        <v>24143.75</v>
      </c>
      <c r="F192" s="197">
        <f t="shared" si="11"/>
        <v>-1.6193210179637152E-2</v>
      </c>
    </row>
    <row r="193" spans="2:6" x14ac:dyDescent="0.25">
      <c r="B193" s="193">
        <v>45517</v>
      </c>
      <c r="C193" s="194">
        <v>568.95000000000005</v>
      </c>
      <c r="D193" s="196">
        <f t="shared" si="10"/>
        <v>9.3134646088344208E-3</v>
      </c>
      <c r="E193" s="194">
        <v>24139</v>
      </c>
      <c r="F193" s="197">
        <f t="shared" si="11"/>
        <v>-1.9673828630595303E-4</v>
      </c>
    </row>
    <row r="194" spans="2:6" x14ac:dyDescent="0.25">
      <c r="B194" s="193">
        <v>45516</v>
      </c>
      <c r="C194" s="194">
        <v>578.79999999999995</v>
      </c>
      <c r="D194" s="196">
        <f t="shared" si="10"/>
        <v>1.7312593373758567E-2</v>
      </c>
      <c r="E194" s="194">
        <v>24347</v>
      </c>
      <c r="F194" s="197">
        <f t="shared" si="11"/>
        <v>8.6167612577157104E-3</v>
      </c>
    </row>
    <row r="195" spans="2:6" x14ac:dyDescent="0.25">
      <c r="B195" s="193">
        <v>45513</v>
      </c>
      <c r="C195" s="194">
        <v>586.9</v>
      </c>
      <c r="D195" s="196">
        <f t="shared" si="10"/>
        <v>1.3994471319972446E-2</v>
      </c>
      <c r="E195" s="194">
        <v>24367.5</v>
      </c>
      <c r="F195" s="197">
        <f t="shared" si="11"/>
        <v>8.4199285332897666E-4</v>
      </c>
    </row>
    <row r="196" spans="2:6" x14ac:dyDescent="0.25">
      <c r="B196" s="193">
        <v>45512</v>
      </c>
      <c r="C196" s="194">
        <v>583.54999999999995</v>
      </c>
      <c r="D196" s="196">
        <f t="shared" si="10"/>
        <v>-5.7079570625320208E-3</v>
      </c>
      <c r="E196" s="194">
        <v>24117</v>
      </c>
      <c r="F196" s="197">
        <f t="shared" si="11"/>
        <v>-1.0280086180363135E-2</v>
      </c>
    </row>
    <row r="197" spans="2:6" x14ac:dyDescent="0.25">
      <c r="B197" s="193">
        <v>45511</v>
      </c>
      <c r="C197" s="194">
        <v>590.45000000000005</v>
      </c>
      <c r="D197" s="196">
        <f t="shared" si="10"/>
        <v>1.1824179590437911E-2</v>
      </c>
      <c r="E197" s="194">
        <v>24297.5</v>
      </c>
      <c r="F197" s="197">
        <f t="shared" si="11"/>
        <v>7.484347141020864E-3</v>
      </c>
    </row>
    <row r="198" spans="2:6" x14ac:dyDescent="0.25">
      <c r="B198" s="193">
        <v>45510</v>
      </c>
      <c r="C198" s="194">
        <v>565.45000000000005</v>
      </c>
      <c r="D198" s="196">
        <f t="shared" si="10"/>
        <v>-4.2340587687357045E-2</v>
      </c>
      <c r="E198" s="194">
        <v>23992.55</v>
      </c>
      <c r="F198" s="197">
        <f t="shared" si="11"/>
        <v>-1.2550673937647971E-2</v>
      </c>
    </row>
    <row r="199" spans="2:6" x14ac:dyDescent="0.25">
      <c r="B199" s="193">
        <v>45509</v>
      </c>
      <c r="C199" s="194">
        <v>579.1</v>
      </c>
      <c r="D199" s="196">
        <f t="shared" si="10"/>
        <v>2.4140065434609559E-2</v>
      </c>
      <c r="E199" s="194">
        <v>24055.599999999999</v>
      </c>
      <c r="F199" s="197">
        <f t="shared" si="11"/>
        <v>2.6278990770052246E-3</v>
      </c>
    </row>
    <row r="200" spans="2:6" x14ac:dyDescent="0.25">
      <c r="B200" s="193">
        <v>45506</v>
      </c>
      <c r="C200" s="194">
        <v>611.04999999999995</v>
      </c>
      <c r="D200" s="196">
        <f t="shared" si="10"/>
        <v>5.517181833880147E-2</v>
      </c>
      <c r="E200" s="194">
        <v>24717.7</v>
      </c>
      <c r="F200" s="197">
        <f t="shared" si="11"/>
        <v>2.7523736676699162E-2</v>
      </c>
    </row>
    <row r="201" spans="2:6" x14ac:dyDescent="0.25">
      <c r="B201" s="193">
        <v>45505</v>
      </c>
      <c r="C201" s="194">
        <v>625.20000000000005</v>
      </c>
      <c r="D201" s="196">
        <f t="shared" si="10"/>
        <v>2.3156861140659624E-2</v>
      </c>
      <c r="E201" s="194">
        <v>25010.9</v>
      </c>
      <c r="F201" s="197">
        <f t="shared" si="11"/>
        <v>1.1861945083887271E-2</v>
      </c>
    </row>
    <row r="202" spans="2:6" x14ac:dyDescent="0.25">
      <c r="B202" s="193">
        <v>45504</v>
      </c>
      <c r="C202" s="194">
        <v>644.25</v>
      </c>
      <c r="D202" s="196">
        <f t="shared" si="10"/>
        <v>3.0470249520153425E-2</v>
      </c>
      <c r="E202" s="194">
        <v>24951.15</v>
      </c>
      <c r="F202" s="197">
        <f t="shared" si="11"/>
        <v>-2.3889584141314479E-3</v>
      </c>
    </row>
    <row r="203" spans="2:6" x14ac:dyDescent="0.25">
      <c r="B203" s="193">
        <v>45503</v>
      </c>
      <c r="C203" s="194">
        <v>642.20000000000005</v>
      </c>
      <c r="D203" s="196">
        <f t="shared" si="10"/>
        <v>-3.1819945673262628E-3</v>
      </c>
      <c r="E203" s="194">
        <v>24857.3</v>
      </c>
      <c r="F203" s="197">
        <f t="shared" si="11"/>
        <v>-3.7613496772694877E-3</v>
      </c>
    </row>
    <row r="204" spans="2:6" x14ac:dyDescent="0.25">
      <c r="B204" s="193">
        <v>45502</v>
      </c>
      <c r="C204" s="194">
        <v>644.6</v>
      </c>
      <c r="D204" s="196">
        <f t="shared" si="10"/>
        <v>3.737153534724369E-3</v>
      </c>
      <c r="E204" s="194">
        <v>24836.1</v>
      </c>
      <c r="F204" s="197">
        <f t="shared" si="11"/>
        <v>-8.5286817152308014E-4</v>
      </c>
    </row>
    <row r="205" spans="2:6" x14ac:dyDescent="0.25">
      <c r="B205" s="193">
        <v>45499</v>
      </c>
      <c r="C205" s="194">
        <v>625.9</v>
      </c>
      <c r="D205" s="196">
        <f t="shared" si="10"/>
        <v>-2.9010238907849928E-2</v>
      </c>
      <c r="E205" s="194">
        <v>24834.85</v>
      </c>
      <c r="F205" s="197">
        <f t="shared" si="11"/>
        <v>-5.0329963238948672E-5</v>
      </c>
    </row>
    <row r="206" spans="2:6" x14ac:dyDescent="0.25">
      <c r="B206" s="193">
        <v>45498</v>
      </c>
      <c r="C206" s="194">
        <v>608</v>
      </c>
      <c r="D206" s="196">
        <f t="shared" si="10"/>
        <v>-2.8598817702508383E-2</v>
      </c>
      <c r="E206" s="194">
        <v>24406.1</v>
      </c>
      <c r="F206" s="197">
        <f t="shared" si="11"/>
        <v>-1.7264046289790391E-2</v>
      </c>
    </row>
    <row r="207" spans="2:6" x14ac:dyDescent="0.25">
      <c r="B207" s="193">
        <v>45497</v>
      </c>
      <c r="C207" s="194">
        <v>604.54999999999995</v>
      </c>
      <c r="D207" s="196">
        <f t="shared" si="10"/>
        <v>-5.6743421052631859E-3</v>
      </c>
      <c r="E207" s="194">
        <v>24413.5</v>
      </c>
      <c r="F207" s="197">
        <f t="shared" si="11"/>
        <v>3.0320288780272264E-4</v>
      </c>
    </row>
    <row r="208" spans="2:6" x14ac:dyDescent="0.25">
      <c r="B208" s="193">
        <v>45496</v>
      </c>
      <c r="C208" s="194">
        <v>595.25</v>
      </c>
      <c r="D208" s="196">
        <f t="shared" si="10"/>
        <v>-1.538334298238353E-2</v>
      </c>
      <c r="E208" s="194">
        <v>24479.05</v>
      </c>
      <c r="F208" s="197">
        <f t="shared" si="11"/>
        <v>2.6849898621663648E-3</v>
      </c>
    </row>
    <row r="209" spans="2:6" x14ac:dyDescent="0.25">
      <c r="B209" s="193">
        <v>45495</v>
      </c>
      <c r="C209" s="194">
        <v>618.79999999999995</v>
      </c>
      <c r="D209" s="196">
        <f t="shared" si="10"/>
        <v>3.9563208735825306E-2</v>
      </c>
      <c r="E209" s="194">
        <v>24509.25</v>
      </c>
      <c r="F209" s="197">
        <f t="shared" si="11"/>
        <v>1.2337080074593665E-3</v>
      </c>
    </row>
    <row r="210" spans="2:6" x14ac:dyDescent="0.25">
      <c r="B210" s="193">
        <v>45492</v>
      </c>
      <c r="C210" s="194">
        <v>598.4</v>
      </c>
      <c r="D210" s="196">
        <f t="shared" si="10"/>
        <v>-3.2967032967032961E-2</v>
      </c>
      <c r="E210" s="194">
        <v>24530.9</v>
      </c>
      <c r="F210" s="197">
        <f t="shared" si="11"/>
        <v>8.8333996348333166E-4</v>
      </c>
    </row>
    <row r="211" spans="2:6" x14ac:dyDescent="0.25">
      <c r="B211" s="193">
        <v>45491</v>
      </c>
      <c r="C211" s="194">
        <v>610.04999999999995</v>
      </c>
      <c r="D211" s="196">
        <f t="shared" si="10"/>
        <v>1.9468582887700592E-2</v>
      </c>
      <c r="E211" s="194">
        <v>24800.85</v>
      </c>
      <c r="F211" s="197">
        <f t="shared" si="11"/>
        <v>1.1004488216901809E-2</v>
      </c>
    </row>
    <row r="212" spans="2:6" x14ac:dyDescent="0.25">
      <c r="B212" s="193">
        <v>45489</v>
      </c>
      <c r="C212" s="194">
        <v>617.70000000000005</v>
      </c>
      <c r="D212" s="196">
        <f t="shared" si="10"/>
        <v>1.253995574133282E-2</v>
      </c>
      <c r="E212" s="194">
        <v>24613</v>
      </c>
      <c r="F212" s="197">
        <f t="shared" si="11"/>
        <v>-7.5743371698953066E-3</v>
      </c>
    </row>
    <row r="213" spans="2:6" x14ac:dyDescent="0.25">
      <c r="B213" s="193">
        <v>45488</v>
      </c>
      <c r="C213" s="194">
        <v>633.75</v>
      </c>
      <c r="D213" s="196">
        <f t="shared" si="10"/>
        <v>2.5983487129674465E-2</v>
      </c>
      <c r="E213" s="194">
        <v>24586.7</v>
      </c>
      <c r="F213" s="197">
        <f t="shared" si="11"/>
        <v>-1.0685410149108288E-3</v>
      </c>
    </row>
    <row r="214" spans="2:6" x14ac:dyDescent="0.25">
      <c r="B214" s="193">
        <v>45485</v>
      </c>
      <c r="C214" s="194">
        <v>637.35</v>
      </c>
      <c r="D214" s="196">
        <f t="shared" ref="D214:D257" si="12">C214/C213-1</f>
        <v>5.680473372781103E-3</v>
      </c>
      <c r="E214" s="194">
        <v>24502.15</v>
      </c>
      <c r="F214" s="197">
        <f t="shared" ref="F214:F257" si="13">E214/E213-1</f>
        <v>-3.4388510861562693E-3</v>
      </c>
    </row>
    <row r="215" spans="2:6" x14ac:dyDescent="0.25">
      <c r="B215" s="193">
        <v>45484</v>
      </c>
      <c r="C215" s="194">
        <v>645.79999999999995</v>
      </c>
      <c r="D215" s="196">
        <f t="shared" si="12"/>
        <v>1.3258021495253569E-2</v>
      </c>
      <c r="E215" s="194">
        <v>24315.95</v>
      </c>
      <c r="F215" s="197">
        <f t="shared" si="13"/>
        <v>-7.5993331197466985E-3</v>
      </c>
    </row>
    <row r="216" spans="2:6" x14ac:dyDescent="0.25">
      <c r="B216" s="193">
        <v>45483</v>
      </c>
      <c r="C216" s="194">
        <v>629.85</v>
      </c>
      <c r="D216" s="196">
        <f t="shared" si="12"/>
        <v>-2.4698048931557692E-2</v>
      </c>
      <c r="E216" s="194">
        <v>24324.45</v>
      </c>
      <c r="F216" s="197">
        <f t="shared" si="13"/>
        <v>3.495647918341227E-4</v>
      </c>
    </row>
    <row r="217" spans="2:6" x14ac:dyDescent="0.25">
      <c r="B217" s="193">
        <v>45482</v>
      </c>
      <c r="C217" s="194">
        <v>611.95000000000005</v>
      </c>
      <c r="D217" s="196">
        <f t="shared" si="12"/>
        <v>-2.8419464951972673E-2</v>
      </c>
      <c r="E217" s="194">
        <v>24433.200000000001</v>
      </c>
      <c r="F217" s="197">
        <f t="shared" si="13"/>
        <v>4.4708102341470823E-3</v>
      </c>
    </row>
    <row r="218" spans="2:6" x14ac:dyDescent="0.25">
      <c r="B218" s="193">
        <v>45481</v>
      </c>
      <c r="C218" s="194">
        <v>607.6</v>
      </c>
      <c r="D218" s="196">
        <f t="shared" si="12"/>
        <v>-7.1084238908407649E-3</v>
      </c>
      <c r="E218" s="194">
        <v>24320.55</v>
      </c>
      <c r="F218" s="197">
        <f t="shared" si="13"/>
        <v>-4.6105299346791417E-3</v>
      </c>
    </row>
    <row r="219" spans="2:6" x14ac:dyDescent="0.25">
      <c r="B219" s="193">
        <v>45478</v>
      </c>
      <c r="C219" s="194">
        <v>580.45000000000005</v>
      </c>
      <c r="D219" s="196">
        <f t="shared" si="12"/>
        <v>-4.4684002633311404E-2</v>
      </c>
      <c r="E219" s="194">
        <v>24323.85</v>
      </c>
      <c r="F219" s="197">
        <f t="shared" si="13"/>
        <v>1.3568772087801939E-4</v>
      </c>
    </row>
    <row r="220" spans="2:6" x14ac:dyDescent="0.25">
      <c r="B220" s="193">
        <v>45477</v>
      </c>
      <c r="C220" s="194">
        <v>575.65</v>
      </c>
      <c r="D220" s="196">
        <f t="shared" si="12"/>
        <v>-8.2694461193902891E-3</v>
      </c>
      <c r="E220" s="194">
        <v>24302.15</v>
      </c>
      <c r="F220" s="197">
        <f t="shared" si="13"/>
        <v>-8.92128507616885E-4</v>
      </c>
    </row>
    <row r="221" spans="2:6" x14ac:dyDescent="0.25">
      <c r="B221" s="193">
        <v>45476</v>
      </c>
      <c r="C221" s="194">
        <v>562.29999999999995</v>
      </c>
      <c r="D221" s="196">
        <f t="shared" si="12"/>
        <v>-2.3191175193259861E-2</v>
      </c>
      <c r="E221" s="194">
        <v>24286.5</v>
      </c>
      <c r="F221" s="197">
        <f t="shared" si="13"/>
        <v>-6.4397594451526263E-4</v>
      </c>
    </row>
    <row r="222" spans="2:6" x14ac:dyDescent="0.25">
      <c r="B222" s="193">
        <v>45475</v>
      </c>
      <c r="C222" s="194">
        <v>539.20000000000005</v>
      </c>
      <c r="D222" s="196">
        <f t="shared" si="12"/>
        <v>-4.1081273341632474E-2</v>
      </c>
      <c r="E222" s="194">
        <v>24123.85</v>
      </c>
      <c r="F222" s="197">
        <f t="shared" si="13"/>
        <v>-6.6971362691207181E-3</v>
      </c>
    </row>
    <row r="223" spans="2:6" x14ac:dyDescent="0.25">
      <c r="B223" s="193">
        <v>45474</v>
      </c>
      <c r="C223" s="194">
        <v>550.65</v>
      </c>
      <c r="D223" s="196">
        <f t="shared" si="12"/>
        <v>2.1235163204747609E-2</v>
      </c>
      <c r="E223" s="194">
        <v>24141.95</v>
      </c>
      <c r="F223" s="197">
        <f t="shared" si="13"/>
        <v>7.5029483270716568E-4</v>
      </c>
    </row>
    <row r="224" spans="2:6" x14ac:dyDescent="0.25">
      <c r="B224" s="193">
        <v>45471</v>
      </c>
      <c r="C224" s="194">
        <v>525.4</v>
      </c>
      <c r="D224" s="196">
        <f t="shared" si="12"/>
        <v>-4.5854898756015672E-2</v>
      </c>
      <c r="E224" s="194">
        <v>24010.6</v>
      </c>
      <c r="F224" s="197">
        <f t="shared" si="13"/>
        <v>-5.4407369744366996E-3</v>
      </c>
    </row>
    <row r="225" spans="2:6" x14ac:dyDescent="0.25">
      <c r="B225" s="193">
        <v>45470</v>
      </c>
      <c r="C225" s="194">
        <v>524.85</v>
      </c>
      <c r="D225" s="196">
        <f t="shared" si="12"/>
        <v>-1.0468214693566402E-3</v>
      </c>
      <c r="E225" s="194">
        <v>24044.5</v>
      </c>
      <c r="F225" s="197">
        <f t="shared" si="13"/>
        <v>1.4118764212474044E-3</v>
      </c>
    </row>
    <row r="226" spans="2:6" x14ac:dyDescent="0.25">
      <c r="B226" s="193">
        <v>45469</v>
      </c>
      <c r="C226" s="194">
        <v>515.6</v>
      </c>
      <c r="D226" s="196">
        <f t="shared" si="12"/>
        <v>-1.7624083071353769E-2</v>
      </c>
      <c r="E226" s="194">
        <v>23868.799999999999</v>
      </c>
      <c r="F226" s="197">
        <f t="shared" si="13"/>
        <v>-7.3072844101561563E-3</v>
      </c>
    </row>
    <row r="227" spans="2:6" x14ac:dyDescent="0.25">
      <c r="B227" s="193">
        <v>45468</v>
      </c>
      <c r="C227" s="194">
        <v>521.54999999999995</v>
      </c>
      <c r="D227" s="196">
        <f t="shared" si="12"/>
        <v>1.1539953452288421E-2</v>
      </c>
      <c r="E227" s="194">
        <v>23721.3</v>
      </c>
      <c r="F227" s="197">
        <f t="shared" si="13"/>
        <v>-6.1796152299236073E-3</v>
      </c>
    </row>
    <row r="228" spans="2:6" x14ac:dyDescent="0.25">
      <c r="B228" s="193">
        <v>45467</v>
      </c>
      <c r="C228" s="194">
        <v>521.5</v>
      </c>
      <c r="D228" s="196">
        <f t="shared" si="12"/>
        <v>-9.5868085514205781E-5</v>
      </c>
      <c r="E228" s="194">
        <v>23537.85</v>
      </c>
      <c r="F228" s="197">
        <f t="shared" si="13"/>
        <v>-7.7335559180989888E-3</v>
      </c>
    </row>
    <row r="229" spans="2:6" x14ac:dyDescent="0.25">
      <c r="B229" s="193">
        <v>45464</v>
      </c>
      <c r="C229" s="194">
        <v>510.5</v>
      </c>
      <c r="D229" s="196">
        <f t="shared" si="12"/>
        <v>-2.1093000958772756E-2</v>
      </c>
      <c r="E229" s="194">
        <v>23501.1</v>
      </c>
      <c r="F229" s="197">
        <f t="shared" si="13"/>
        <v>-1.5613150733818637E-3</v>
      </c>
    </row>
    <row r="230" spans="2:6" x14ac:dyDescent="0.25">
      <c r="B230" s="193">
        <v>45463</v>
      </c>
      <c r="C230" s="194">
        <v>506.7</v>
      </c>
      <c r="D230" s="196">
        <f t="shared" si="12"/>
        <v>-7.4436826640548182E-3</v>
      </c>
      <c r="E230" s="194">
        <v>23567</v>
      </c>
      <c r="F230" s="197">
        <f t="shared" si="13"/>
        <v>2.804124062278035E-3</v>
      </c>
    </row>
    <row r="231" spans="2:6" x14ac:dyDescent="0.25">
      <c r="B231" s="193">
        <v>45462</v>
      </c>
      <c r="C231" s="194">
        <v>515.6</v>
      </c>
      <c r="D231" s="196">
        <f t="shared" si="12"/>
        <v>1.7564633905664095E-2</v>
      </c>
      <c r="E231" s="194">
        <v>23516</v>
      </c>
      <c r="F231" s="197">
        <f t="shared" si="13"/>
        <v>-2.1640429414011564E-3</v>
      </c>
    </row>
    <row r="232" spans="2:6" x14ac:dyDescent="0.25">
      <c r="B232" s="193">
        <v>45461</v>
      </c>
      <c r="C232" s="194">
        <v>527.95000000000005</v>
      </c>
      <c r="D232" s="196">
        <f t="shared" si="12"/>
        <v>2.3952676493405711E-2</v>
      </c>
      <c r="E232" s="194">
        <v>23557.9</v>
      </c>
      <c r="F232" s="197">
        <f t="shared" si="13"/>
        <v>1.7817656063956466E-3</v>
      </c>
    </row>
    <row r="233" spans="2:6" x14ac:dyDescent="0.25">
      <c r="B233" s="193">
        <v>45457</v>
      </c>
      <c r="C233" s="194">
        <v>532.65</v>
      </c>
      <c r="D233" s="196">
        <f t="shared" si="12"/>
        <v>8.9023581778575611E-3</v>
      </c>
      <c r="E233" s="194">
        <v>23465.599999999999</v>
      </c>
      <c r="F233" s="197">
        <f t="shared" si="13"/>
        <v>-3.91800627390404E-3</v>
      </c>
    </row>
    <row r="234" spans="2:6" x14ac:dyDescent="0.25">
      <c r="B234" s="193">
        <v>45456</v>
      </c>
      <c r="C234" s="194">
        <v>521.5</v>
      </c>
      <c r="D234" s="196">
        <f t="shared" si="12"/>
        <v>-2.0933070496573669E-2</v>
      </c>
      <c r="E234" s="194">
        <v>23398.9</v>
      </c>
      <c r="F234" s="197">
        <f t="shared" si="13"/>
        <v>-2.842458748124832E-3</v>
      </c>
    </row>
    <row r="235" spans="2:6" x14ac:dyDescent="0.25">
      <c r="B235" s="193">
        <v>45455</v>
      </c>
      <c r="C235" s="194">
        <v>516.45000000000005</v>
      </c>
      <c r="D235" s="196">
        <f t="shared" si="12"/>
        <v>-9.683604985618266E-3</v>
      </c>
      <c r="E235" s="194">
        <v>23322.95</v>
      </c>
      <c r="F235" s="197">
        <f t="shared" si="13"/>
        <v>-3.2458790797857962E-3</v>
      </c>
    </row>
    <row r="236" spans="2:6" x14ac:dyDescent="0.25">
      <c r="B236" s="193">
        <v>45454</v>
      </c>
      <c r="C236" s="194">
        <v>510.6</v>
      </c>
      <c r="D236" s="196">
        <f t="shared" si="12"/>
        <v>-1.1327330816148784E-2</v>
      </c>
      <c r="E236" s="194">
        <v>23264.85</v>
      </c>
      <c r="F236" s="197">
        <f t="shared" si="13"/>
        <v>-2.4911085433018121E-3</v>
      </c>
    </row>
    <row r="237" spans="2:6" x14ac:dyDescent="0.25">
      <c r="B237" s="193">
        <v>45453</v>
      </c>
      <c r="C237" s="194">
        <v>511.2</v>
      </c>
      <c r="D237" s="196">
        <f t="shared" si="12"/>
        <v>1.1750881316097139E-3</v>
      </c>
      <c r="E237" s="194">
        <v>23259.200000000001</v>
      </c>
      <c r="F237" s="197">
        <f t="shared" si="13"/>
        <v>-2.4285563844161917E-4</v>
      </c>
    </row>
    <row r="238" spans="2:6" x14ac:dyDescent="0.25">
      <c r="B238" s="193">
        <v>45450</v>
      </c>
      <c r="C238" s="194">
        <v>496.8</v>
      </c>
      <c r="D238" s="196">
        <f t="shared" si="12"/>
        <v>-2.8169014084507005E-2</v>
      </c>
      <c r="E238" s="194">
        <v>23290.15</v>
      </c>
      <c r="F238" s="197">
        <f t="shared" si="13"/>
        <v>1.3306562564490143E-3</v>
      </c>
    </row>
    <row r="239" spans="2:6" x14ac:dyDescent="0.25">
      <c r="B239" s="193">
        <v>45449</v>
      </c>
      <c r="C239" s="194">
        <v>490.1</v>
      </c>
      <c r="D239" s="196">
        <f t="shared" si="12"/>
        <v>-1.3486312399355826E-2</v>
      </c>
      <c r="E239" s="194">
        <v>22821.4</v>
      </c>
      <c r="F239" s="197">
        <f t="shared" si="13"/>
        <v>-2.0126534178611988E-2</v>
      </c>
    </row>
    <row r="240" spans="2:6" x14ac:dyDescent="0.25">
      <c r="B240" s="193">
        <v>45448</v>
      </c>
      <c r="C240" s="194">
        <v>459.5</v>
      </c>
      <c r="D240" s="196">
        <f t="shared" si="12"/>
        <v>-6.2436237502550562E-2</v>
      </c>
      <c r="E240" s="194">
        <v>22620.35</v>
      </c>
      <c r="F240" s="197">
        <f t="shared" si="13"/>
        <v>-8.8097136897825612E-3</v>
      </c>
    </row>
    <row r="241" spans="2:6" x14ac:dyDescent="0.25">
      <c r="B241" s="193">
        <v>45447</v>
      </c>
      <c r="C241" s="194">
        <v>452.2</v>
      </c>
      <c r="D241" s="196">
        <f t="shared" si="12"/>
        <v>-1.5886833514689891E-2</v>
      </c>
      <c r="E241" s="194">
        <v>21884.5</v>
      </c>
      <c r="F241" s="197">
        <f t="shared" si="13"/>
        <v>-3.2530442720824282E-2</v>
      </c>
    </row>
    <row r="242" spans="2:6" x14ac:dyDescent="0.25">
      <c r="B242" s="193">
        <v>45446</v>
      </c>
      <c r="C242" s="194">
        <v>604.5</v>
      </c>
      <c r="D242" s="196">
        <f t="shared" si="12"/>
        <v>0.33679787704555508</v>
      </c>
      <c r="E242" s="194">
        <v>23263.9</v>
      </c>
      <c r="F242" s="197">
        <f t="shared" si="13"/>
        <v>6.3030912289520069E-2</v>
      </c>
    </row>
    <row r="243" spans="2:6" x14ac:dyDescent="0.25">
      <c r="B243" s="193">
        <v>45443</v>
      </c>
      <c r="C243" s="194">
        <v>537.75</v>
      </c>
      <c r="D243" s="196">
        <f t="shared" si="12"/>
        <v>-0.11042183622828783</v>
      </c>
      <c r="E243" s="194">
        <v>22530.7</v>
      </c>
      <c r="F243" s="197">
        <f t="shared" si="13"/>
        <v>-3.1516641663693612E-2</v>
      </c>
    </row>
    <row r="244" spans="2:6" x14ac:dyDescent="0.25">
      <c r="B244" s="193">
        <v>45442</v>
      </c>
      <c r="C244" s="194">
        <v>547.75</v>
      </c>
      <c r="D244" s="196">
        <f t="shared" si="12"/>
        <v>1.8596001859600086E-2</v>
      </c>
      <c r="E244" s="194">
        <v>22488.65</v>
      </c>
      <c r="F244" s="197">
        <f t="shared" si="13"/>
        <v>-1.8663423684128766E-3</v>
      </c>
    </row>
    <row r="245" spans="2:6" x14ac:dyDescent="0.25">
      <c r="B245" s="193">
        <v>45441</v>
      </c>
      <c r="C245" s="194">
        <v>568.75</v>
      </c>
      <c r="D245" s="196">
        <f t="shared" si="12"/>
        <v>3.833865814696491E-2</v>
      </c>
      <c r="E245" s="194">
        <v>22704.7</v>
      </c>
      <c r="F245" s="197">
        <f t="shared" si="13"/>
        <v>9.6070684545315199E-3</v>
      </c>
    </row>
    <row r="246" spans="2:6" x14ac:dyDescent="0.25">
      <c r="B246" s="193">
        <v>45440</v>
      </c>
      <c r="C246" s="194">
        <v>580.20000000000005</v>
      </c>
      <c r="D246" s="196">
        <f t="shared" si="12"/>
        <v>2.0131868131868291E-2</v>
      </c>
      <c r="E246" s="194">
        <v>22888.15</v>
      </c>
      <c r="F246" s="197">
        <f t="shared" si="13"/>
        <v>8.0798248820728169E-3</v>
      </c>
    </row>
    <row r="247" spans="2:6" x14ac:dyDescent="0.25">
      <c r="B247" s="193">
        <v>45439</v>
      </c>
      <c r="C247" s="194">
        <v>579</v>
      </c>
      <c r="D247" s="196">
        <f t="shared" si="12"/>
        <v>-2.0682523267839814E-3</v>
      </c>
      <c r="E247" s="194">
        <v>22932.45</v>
      </c>
      <c r="F247" s="197">
        <f t="shared" si="13"/>
        <v>1.9354993741302895E-3</v>
      </c>
    </row>
    <row r="248" spans="2:6" x14ac:dyDescent="0.25">
      <c r="B248" s="193">
        <v>45436</v>
      </c>
      <c r="C248" s="194">
        <v>554.04999999999995</v>
      </c>
      <c r="D248" s="196">
        <f t="shared" si="12"/>
        <v>-4.3091537132987967E-2</v>
      </c>
      <c r="E248" s="194">
        <v>22957.1</v>
      </c>
      <c r="F248" s="197">
        <f t="shared" si="13"/>
        <v>1.0748960534090468E-3</v>
      </c>
    </row>
    <row r="249" spans="2:6" x14ac:dyDescent="0.25">
      <c r="B249" s="193">
        <v>45435</v>
      </c>
      <c r="C249" s="194">
        <v>537.35</v>
      </c>
      <c r="D249" s="196">
        <f t="shared" si="12"/>
        <v>-3.014168396354111E-2</v>
      </c>
      <c r="E249" s="194">
        <v>22967.65</v>
      </c>
      <c r="F249" s="197">
        <f t="shared" si="13"/>
        <v>4.5955281808263138E-4</v>
      </c>
    </row>
    <row r="250" spans="2:6" x14ac:dyDescent="0.25">
      <c r="B250" s="193">
        <v>45434</v>
      </c>
      <c r="C250" s="194">
        <v>536.20000000000005</v>
      </c>
      <c r="D250" s="196">
        <f t="shared" si="12"/>
        <v>-2.1401321298967213E-3</v>
      </c>
      <c r="E250" s="194">
        <v>22597.8</v>
      </c>
      <c r="F250" s="197">
        <f t="shared" si="13"/>
        <v>-1.6103084120491329E-2</v>
      </c>
    </row>
    <row r="251" spans="2:6" x14ac:dyDescent="0.25">
      <c r="B251" s="193">
        <v>45433</v>
      </c>
      <c r="C251" s="194">
        <v>546.95000000000005</v>
      </c>
      <c r="D251" s="196">
        <f t="shared" si="12"/>
        <v>2.0048489369638212E-2</v>
      </c>
      <c r="E251" s="194">
        <v>22529.05</v>
      </c>
      <c r="F251" s="197">
        <f t="shared" si="13"/>
        <v>-3.0423315543991469E-3</v>
      </c>
    </row>
    <row r="252" spans="2:6" x14ac:dyDescent="0.25">
      <c r="B252" s="193">
        <v>45430</v>
      </c>
      <c r="C252" s="194">
        <v>544.85</v>
      </c>
      <c r="D252" s="196">
        <f t="shared" si="12"/>
        <v>-3.8394734436421052E-3</v>
      </c>
      <c r="E252" s="194">
        <v>22502</v>
      </c>
      <c r="F252" s="197">
        <f t="shared" si="13"/>
        <v>-1.2006720212347499E-3</v>
      </c>
    </row>
    <row r="253" spans="2:6" x14ac:dyDescent="0.25">
      <c r="B253" s="193">
        <v>45429</v>
      </c>
      <c r="C253" s="194">
        <v>543.95000000000005</v>
      </c>
      <c r="D253" s="196">
        <f t="shared" si="12"/>
        <v>-1.6518307791134612E-3</v>
      </c>
      <c r="E253" s="194">
        <v>22466.1</v>
      </c>
      <c r="F253" s="197">
        <f t="shared" si="13"/>
        <v>-1.5954137410009173E-3</v>
      </c>
    </row>
    <row r="254" spans="2:6" x14ac:dyDescent="0.25">
      <c r="B254" s="193">
        <v>45428</v>
      </c>
      <c r="C254" s="194">
        <v>541.1</v>
      </c>
      <c r="D254" s="196">
        <f t="shared" si="12"/>
        <v>-5.2394521555290119E-3</v>
      </c>
      <c r="E254" s="194">
        <v>22403.85</v>
      </c>
      <c r="F254" s="197">
        <f t="shared" si="13"/>
        <v>-2.7708414010442217E-3</v>
      </c>
    </row>
    <row r="255" spans="2:6" x14ac:dyDescent="0.25">
      <c r="B255" s="193">
        <v>45427</v>
      </c>
      <c r="C255" s="194">
        <v>528.70000000000005</v>
      </c>
      <c r="D255" s="196">
        <f t="shared" si="12"/>
        <v>-2.2916281648493797E-2</v>
      </c>
      <c r="E255" s="194">
        <v>22200.55</v>
      </c>
      <c r="F255" s="197">
        <f t="shared" si="13"/>
        <v>-9.0743332061230531E-3</v>
      </c>
    </row>
    <row r="256" spans="2:6" x14ac:dyDescent="0.25">
      <c r="B256" s="193">
        <v>45426</v>
      </c>
      <c r="C256" s="194">
        <v>522.04999999999995</v>
      </c>
      <c r="D256" s="196">
        <f t="shared" si="12"/>
        <v>-1.2578021562322794E-2</v>
      </c>
      <c r="E256" s="194">
        <v>22217.85</v>
      </c>
      <c r="F256" s="197">
        <f t="shared" si="13"/>
        <v>7.7925997328898156E-4</v>
      </c>
    </row>
    <row r="257" spans="2:9" x14ac:dyDescent="0.25">
      <c r="B257" s="198">
        <v>45425</v>
      </c>
      <c r="C257" s="199">
        <v>518.15</v>
      </c>
      <c r="D257" s="200">
        <f t="shared" si="12"/>
        <v>-7.4705487980077923E-3</v>
      </c>
      <c r="E257" s="199">
        <v>22104.05</v>
      </c>
      <c r="F257" s="201">
        <f t="shared" si="13"/>
        <v>-5.1220077550258036E-3</v>
      </c>
    </row>
    <row r="259" spans="2:9" x14ac:dyDescent="0.25">
      <c r="B259" s="39"/>
      <c r="C259" s="39"/>
      <c r="D259" s="39"/>
      <c r="E259" s="39"/>
      <c r="F259" s="39"/>
      <c r="G259" s="39"/>
      <c r="H259" s="39"/>
      <c r="I259" s="39"/>
    </row>
  </sheetData>
  <mergeCells count="1">
    <mergeCell ref="B6:I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08A3-AC71-450E-9F38-055DA0F85FD1}">
  <dimension ref="B6:H2487"/>
  <sheetViews>
    <sheetView showGridLines="0" workbookViewId="0">
      <selection activeCell="M2482" sqref="M2482"/>
    </sheetView>
  </sheetViews>
  <sheetFormatPr defaultRowHeight="15" x14ac:dyDescent="0.25"/>
  <cols>
    <col min="1" max="1" width="0.85546875" customWidth="1"/>
    <col min="2" max="2" width="25" customWidth="1"/>
    <col min="3" max="3" width="16.85546875" customWidth="1"/>
    <col min="6" max="6" width="15.5703125" customWidth="1"/>
    <col min="7" max="7" width="11.42578125" customWidth="1"/>
  </cols>
  <sheetData>
    <row r="6" spans="2:8" ht="18" x14ac:dyDescent="0.25">
      <c r="B6" s="303" t="s">
        <v>144</v>
      </c>
      <c r="C6" s="303"/>
      <c r="D6" s="303"/>
      <c r="E6" s="303"/>
      <c r="F6" s="303"/>
      <c r="G6" s="303"/>
    </row>
    <row r="7" spans="2:8" x14ac:dyDescent="0.25">
      <c r="B7" s="206" t="s">
        <v>139</v>
      </c>
      <c r="C7" s="211" t="s">
        <v>145</v>
      </c>
      <c r="G7" s="44"/>
      <c r="H7" s="44"/>
    </row>
    <row r="8" spans="2:8" x14ac:dyDescent="0.25">
      <c r="B8" s="193">
        <v>45790</v>
      </c>
      <c r="C8" s="249">
        <v>24578.35</v>
      </c>
      <c r="G8" s="44"/>
      <c r="H8" s="44"/>
    </row>
    <row r="9" spans="2:8" x14ac:dyDescent="0.25">
      <c r="B9" s="193">
        <v>45789</v>
      </c>
      <c r="C9" s="266">
        <v>24924.7</v>
      </c>
      <c r="G9" s="44"/>
      <c r="H9" s="44"/>
    </row>
    <row r="10" spans="2:8" x14ac:dyDescent="0.25">
      <c r="B10" s="193">
        <v>45786</v>
      </c>
      <c r="C10" s="266">
        <v>24008</v>
      </c>
      <c r="G10" s="44"/>
      <c r="H10" s="44"/>
    </row>
    <row r="11" spans="2:8" x14ac:dyDescent="0.25">
      <c r="B11" s="193">
        <v>45785</v>
      </c>
      <c r="C11" s="266">
        <v>24273.8</v>
      </c>
      <c r="G11" s="44"/>
      <c r="H11" s="44"/>
    </row>
    <row r="12" spans="2:8" x14ac:dyDescent="0.25">
      <c r="B12" s="193">
        <v>45784</v>
      </c>
      <c r="C12" s="266">
        <v>24414.400000000001</v>
      </c>
      <c r="F12" s="202" t="s">
        <v>146</v>
      </c>
      <c r="G12" s="203">
        <f>YEARFRAC(B2485,B8)</f>
        <v>10</v>
      </c>
      <c r="H12" s="44"/>
    </row>
    <row r="13" spans="2:8" x14ac:dyDescent="0.25">
      <c r="B13" s="193">
        <v>45783</v>
      </c>
      <c r="C13" s="266">
        <v>24379.599999999999</v>
      </c>
      <c r="F13" s="202" t="s">
        <v>147</v>
      </c>
      <c r="G13" s="204">
        <f>_xlfn.RRI(G12,C2485,C8)</f>
        <v>0.11554357432114637</v>
      </c>
      <c r="H13" s="44"/>
    </row>
    <row r="14" spans="2:8" x14ac:dyDescent="0.25">
      <c r="B14" s="193">
        <v>45782</v>
      </c>
      <c r="C14" s="266">
        <v>24461.15</v>
      </c>
      <c r="G14" s="44"/>
      <c r="H14" s="44"/>
    </row>
    <row r="15" spans="2:8" x14ac:dyDescent="0.25">
      <c r="B15" s="193">
        <v>45779</v>
      </c>
      <c r="C15" s="266">
        <v>24346.7</v>
      </c>
      <c r="G15" s="44"/>
      <c r="H15" s="44"/>
    </row>
    <row r="16" spans="2:8" x14ac:dyDescent="0.25">
      <c r="B16" s="193">
        <v>45777</v>
      </c>
      <c r="C16" s="266">
        <v>24334.7</v>
      </c>
      <c r="G16" s="44"/>
      <c r="H16" s="44"/>
    </row>
    <row r="17" spans="2:8" x14ac:dyDescent="0.25">
      <c r="B17" s="193">
        <v>45776</v>
      </c>
      <c r="C17" s="266">
        <v>24335.200000000001</v>
      </c>
      <c r="G17" s="44"/>
      <c r="H17" s="44"/>
    </row>
    <row r="18" spans="2:8" x14ac:dyDescent="0.25">
      <c r="B18" s="193">
        <v>45775</v>
      </c>
      <c r="C18" s="266">
        <v>24328.5</v>
      </c>
      <c r="H18" s="44"/>
    </row>
    <row r="19" spans="2:8" x14ac:dyDescent="0.25">
      <c r="B19" s="193">
        <v>45772</v>
      </c>
      <c r="C19" s="195">
        <v>24039.35</v>
      </c>
    </row>
    <row r="20" spans="2:8" x14ac:dyDescent="0.25">
      <c r="B20" s="193">
        <v>45771</v>
      </c>
      <c r="C20" s="195">
        <v>24246.7</v>
      </c>
    </row>
    <row r="21" spans="2:8" x14ac:dyDescent="0.25">
      <c r="B21" s="193">
        <v>45770</v>
      </c>
      <c r="C21" s="195">
        <v>24328.95</v>
      </c>
    </row>
    <row r="22" spans="2:8" x14ac:dyDescent="0.25">
      <c r="B22" s="193">
        <v>45769</v>
      </c>
      <c r="C22" s="195">
        <v>24167.25</v>
      </c>
    </row>
    <row r="23" spans="2:8" x14ac:dyDescent="0.25">
      <c r="B23" s="193">
        <v>45768</v>
      </c>
      <c r="C23" s="195">
        <v>24125.55</v>
      </c>
    </row>
    <row r="24" spans="2:8" x14ac:dyDescent="0.25">
      <c r="B24" s="193">
        <v>45764</v>
      </c>
      <c r="C24" s="195">
        <v>23851.65</v>
      </c>
    </row>
    <row r="25" spans="2:8" x14ac:dyDescent="0.25">
      <c r="B25" s="193">
        <v>45763</v>
      </c>
      <c r="C25" s="195">
        <v>23437.200000000001</v>
      </c>
    </row>
    <row r="26" spans="2:8" x14ac:dyDescent="0.25">
      <c r="B26" s="193">
        <v>45762</v>
      </c>
      <c r="C26" s="195">
        <v>23328.55</v>
      </c>
    </row>
    <row r="27" spans="2:8" x14ac:dyDescent="0.25">
      <c r="B27" s="193">
        <v>45758</v>
      </c>
      <c r="C27" s="195">
        <v>22828.55</v>
      </c>
    </row>
    <row r="28" spans="2:8" x14ac:dyDescent="0.25">
      <c r="B28" s="193">
        <v>45756</v>
      </c>
      <c r="C28" s="195">
        <v>22399.15</v>
      </c>
    </row>
    <row r="29" spans="2:8" x14ac:dyDescent="0.25">
      <c r="B29" s="193">
        <v>45755</v>
      </c>
      <c r="C29" s="195">
        <v>22535.85</v>
      </c>
    </row>
    <row r="30" spans="2:8" x14ac:dyDescent="0.25">
      <c r="B30" s="193">
        <v>45754</v>
      </c>
      <c r="C30" s="195">
        <v>22161.599999999999</v>
      </c>
    </row>
    <row r="31" spans="2:8" x14ac:dyDescent="0.25">
      <c r="B31" s="193">
        <v>45751</v>
      </c>
      <c r="C31" s="195">
        <v>22904.45</v>
      </c>
    </row>
    <row r="32" spans="2:8" x14ac:dyDescent="0.25">
      <c r="B32" s="193">
        <v>45750</v>
      </c>
      <c r="C32" s="195">
        <v>23250.1</v>
      </c>
    </row>
    <row r="33" spans="2:3" x14ac:dyDescent="0.25">
      <c r="B33" s="193">
        <v>45749</v>
      </c>
      <c r="C33" s="195">
        <v>23332.35</v>
      </c>
    </row>
    <row r="34" spans="2:3" x14ac:dyDescent="0.25">
      <c r="B34" s="193">
        <v>45748</v>
      </c>
      <c r="C34" s="195">
        <v>23165.7</v>
      </c>
    </row>
    <row r="35" spans="2:3" x14ac:dyDescent="0.25">
      <c r="B35" s="193">
        <v>45744</v>
      </c>
      <c r="C35" s="195">
        <v>23519.35</v>
      </c>
    </row>
    <row r="36" spans="2:3" x14ac:dyDescent="0.25">
      <c r="B36" s="193">
        <v>45743</v>
      </c>
      <c r="C36" s="195">
        <v>23591.95</v>
      </c>
    </row>
    <row r="37" spans="2:3" x14ac:dyDescent="0.25">
      <c r="B37" s="193">
        <v>45742</v>
      </c>
      <c r="C37" s="195">
        <v>23486.85</v>
      </c>
    </row>
    <row r="38" spans="2:3" x14ac:dyDescent="0.25">
      <c r="B38" s="193">
        <v>45741</v>
      </c>
      <c r="C38" s="195">
        <v>23668.65</v>
      </c>
    </row>
    <row r="39" spans="2:3" x14ac:dyDescent="0.25">
      <c r="B39" s="193">
        <v>45740</v>
      </c>
      <c r="C39" s="195">
        <v>23658.35</v>
      </c>
    </row>
    <row r="40" spans="2:3" x14ac:dyDescent="0.25">
      <c r="B40" s="193">
        <v>45737</v>
      </c>
      <c r="C40" s="195">
        <v>23350.400000000001</v>
      </c>
    </row>
    <row r="41" spans="2:3" x14ac:dyDescent="0.25">
      <c r="B41" s="193">
        <v>45736</v>
      </c>
      <c r="C41" s="195">
        <v>23190.65</v>
      </c>
    </row>
    <row r="42" spans="2:3" x14ac:dyDescent="0.25">
      <c r="B42" s="193">
        <v>45735</v>
      </c>
      <c r="C42" s="195">
        <v>22907.599999999999</v>
      </c>
    </row>
    <row r="43" spans="2:3" x14ac:dyDescent="0.25">
      <c r="B43" s="193">
        <v>45734</v>
      </c>
      <c r="C43" s="195">
        <v>22834.3</v>
      </c>
    </row>
    <row r="44" spans="2:3" x14ac:dyDescent="0.25">
      <c r="B44" s="193">
        <v>45733</v>
      </c>
      <c r="C44" s="195">
        <v>22508.75</v>
      </c>
    </row>
    <row r="45" spans="2:3" x14ac:dyDescent="0.25">
      <c r="B45" s="193">
        <v>45729</v>
      </c>
      <c r="C45" s="195">
        <v>22397.200000000001</v>
      </c>
    </row>
    <row r="46" spans="2:3" x14ac:dyDescent="0.25">
      <c r="B46" s="193">
        <v>45728</v>
      </c>
      <c r="C46" s="195">
        <v>22470.5</v>
      </c>
    </row>
    <row r="47" spans="2:3" x14ac:dyDescent="0.25">
      <c r="B47" s="193">
        <v>45727</v>
      </c>
      <c r="C47" s="195">
        <v>22497.9</v>
      </c>
    </row>
    <row r="48" spans="2:3" x14ac:dyDescent="0.25">
      <c r="B48" s="193">
        <v>45726</v>
      </c>
      <c r="C48" s="195">
        <v>22460.3</v>
      </c>
    </row>
    <row r="49" spans="2:3" x14ac:dyDescent="0.25">
      <c r="B49" s="193">
        <v>45723</v>
      </c>
      <c r="C49" s="195">
        <v>22552.5</v>
      </c>
    </row>
    <row r="50" spans="2:3" x14ac:dyDescent="0.25">
      <c r="B50" s="193">
        <v>45722</v>
      </c>
      <c r="C50" s="195">
        <v>22544.7</v>
      </c>
    </row>
    <row r="51" spans="2:3" x14ac:dyDescent="0.25">
      <c r="B51" s="193">
        <v>45721</v>
      </c>
      <c r="C51" s="195">
        <v>22337.3</v>
      </c>
    </row>
    <row r="52" spans="2:3" x14ac:dyDescent="0.25">
      <c r="B52" s="193">
        <v>45720</v>
      </c>
      <c r="C52" s="195">
        <v>22082.65</v>
      </c>
    </row>
    <row r="53" spans="2:3" x14ac:dyDescent="0.25">
      <c r="B53" s="193">
        <v>45719</v>
      </c>
      <c r="C53" s="195">
        <v>22119.3</v>
      </c>
    </row>
    <row r="54" spans="2:3" x14ac:dyDescent="0.25">
      <c r="B54" s="193">
        <v>45716</v>
      </c>
      <c r="C54" s="195">
        <v>22124.7</v>
      </c>
    </row>
    <row r="55" spans="2:3" x14ac:dyDescent="0.25">
      <c r="B55" s="193">
        <v>45715</v>
      </c>
      <c r="C55" s="195">
        <v>22545.05</v>
      </c>
    </row>
    <row r="56" spans="2:3" x14ac:dyDescent="0.25">
      <c r="B56" s="193">
        <v>45713</v>
      </c>
      <c r="C56" s="195">
        <v>22547.55</v>
      </c>
    </row>
    <row r="57" spans="2:3" x14ac:dyDescent="0.25">
      <c r="B57" s="193">
        <v>45712</v>
      </c>
      <c r="C57" s="195">
        <v>22553.35</v>
      </c>
    </row>
    <row r="58" spans="2:3" x14ac:dyDescent="0.25">
      <c r="B58" s="193">
        <v>45709</v>
      </c>
      <c r="C58" s="195">
        <v>22795.9</v>
      </c>
    </row>
    <row r="59" spans="2:3" x14ac:dyDescent="0.25">
      <c r="B59" s="193">
        <v>45708</v>
      </c>
      <c r="C59" s="195">
        <v>22913.15</v>
      </c>
    </row>
    <row r="60" spans="2:3" x14ac:dyDescent="0.25">
      <c r="B60" s="193">
        <v>45707</v>
      </c>
      <c r="C60" s="195">
        <v>22932.9</v>
      </c>
    </row>
    <row r="61" spans="2:3" x14ac:dyDescent="0.25">
      <c r="B61" s="193">
        <v>45706</v>
      </c>
      <c r="C61" s="195">
        <v>22945.3</v>
      </c>
    </row>
    <row r="62" spans="2:3" x14ac:dyDescent="0.25">
      <c r="B62" s="193">
        <v>45705</v>
      </c>
      <c r="C62" s="195">
        <v>22959.5</v>
      </c>
    </row>
    <row r="63" spans="2:3" x14ac:dyDescent="0.25">
      <c r="B63" s="193">
        <v>45702</v>
      </c>
      <c r="C63" s="195">
        <v>22929.25</v>
      </c>
    </row>
    <row r="64" spans="2:3" x14ac:dyDescent="0.25">
      <c r="B64" s="193">
        <v>45701</v>
      </c>
      <c r="C64" s="195">
        <v>23031.4</v>
      </c>
    </row>
    <row r="65" spans="2:3" x14ac:dyDescent="0.25">
      <c r="B65" s="193">
        <v>45700</v>
      </c>
      <c r="C65" s="195">
        <v>23045.25</v>
      </c>
    </row>
    <row r="66" spans="2:3" x14ac:dyDescent="0.25">
      <c r="B66" s="193">
        <v>45699</v>
      </c>
      <c r="C66" s="195">
        <v>23071.8</v>
      </c>
    </row>
    <row r="67" spans="2:3" x14ac:dyDescent="0.25">
      <c r="B67" s="193">
        <v>45698</v>
      </c>
      <c r="C67" s="195">
        <v>23381.599999999999</v>
      </c>
    </row>
    <row r="68" spans="2:3" x14ac:dyDescent="0.25">
      <c r="B68" s="193">
        <v>45695</v>
      </c>
      <c r="C68" s="195">
        <v>23559.95</v>
      </c>
    </row>
    <row r="69" spans="2:3" x14ac:dyDescent="0.25">
      <c r="B69" s="193">
        <v>45694</v>
      </c>
      <c r="C69" s="195">
        <v>23603.35</v>
      </c>
    </row>
    <row r="70" spans="2:3" x14ac:dyDescent="0.25">
      <c r="B70" s="193">
        <v>45693</v>
      </c>
      <c r="C70" s="195">
        <v>23696.3</v>
      </c>
    </row>
    <row r="71" spans="2:3" x14ac:dyDescent="0.25">
      <c r="B71" s="193">
        <v>45692</v>
      </c>
      <c r="C71" s="195">
        <v>23739.25</v>
      </c>
    </row>
    <row r="72" spans="2:3" x14ac:dyDescent="0.25">
      <c r="B72" s="193">
        <v>45691</v>
      </c>
      <c r="C72" s="195">
        <v>23361.05</v>
      </c>
    </row>
    <row r="73" spans="2:3" x14ac:dyDescent="0.25">
      <c r="B73" s="193">
        <v>45689</v>
      </c>
      <c r="C73" s="195">
        <v>23482.15</v>
      </c>
    </row>
    <row r="74" spans="2:3" x14ac:dyDescent="0.25">
      <c r="B74" s="193">
        <v>45688</v>
      </c>
      <c r="C74" s="195">
        <v>23508.400000000001</v>
      </c>
    </row>
    <row r="75" spans="2:3" x14ac:dyDescent="0.25">
      <c r="B75" s="193">
        <v>45687</v>
      </c>
      <c r="C75" s="195">
        <v>23249.5</v>
      </c>
    </row>
    <row r="76" spans="2:3" x14ac:dyDescent="0.25">
      <c r="B76" s="193">
        <v>45686</v>
      </c>
      <c r="C76" s="195">
        <v>23163.1</v>
      </c>
    </row>
    <row r="77" spans="2:3" x14ac:dyDescent="0.25">
      <c r="B77" s="193">
        <v>45685</v>
      </c>
      <c r="C77" s="195">
        <v>22957.25</v>
      </c>
    </row>
    <row r="78" spans="2:3" x14ac:dyDescent="0.25">
      <c r="B78" s="193">
        <v>45684</v>
      </c>
      <c r="C78" s="195">
        <v>22829.15</v>
      </c>
    </row>
    <row r="79" spans="2:3" x14ac:dyDescent="0.25">
      <c r="B79" s="193">
        <v>45681</v>
      </c>
      <c r="C79" s="195">
        <v>23092.2</v>
      </c>
    </row>
    <row r="80" spans="2:3" x14ac:dyDescent="0.25">
      <c r="B80" s="193">
        <v>45680</v>
      </c>
      <c r="C80" s="195">
        <v>23205.35</v>
      </c>
    </row>
    <row r="81" spans="2:3" x14ac:dyDescent="0.25">
      <c r="B81" s="193">
        <v>45679</v>
      </c>
      <c r="C81" s="195">
        <v>23155.35</v>
      </c>
    </row>
    <row r="82" spans="2:3" x14ac:dyDescent="0.25">
      <c r="B82" s="193">
        <v>45678</v>
      </c>
      <c r="C82" s="195">
        <v>23024.65</v>
      </c>
    </row>
    <row r="83" spans="2:3" x14ac:dyDescent="0.25">
      <c r="B83" s="193">
        <v>45677</v>
      </c>
      <c r="C83" s="195">
        <v>23344.75</v>
      </c>
    </row>
    <row r="84" spans="2:3" x14ac:dyDescent="0.25">
      <c r="B84" s="193">
        <v>45674</v>
      </c>
      <c r="C84" s="195">
        <v>23203.200000000001</v>
      </c>
    </row>
    <row r="85" spans="2:3" x14ac:dyDescent="0.25">
      <c r="B85" s="193">
        <v>45673</v>
      </c>
      <c r="C85" s="195">
        <v>23311.8</v>
      </c>
    </row>
    <row r="86" spans="2:3" x14ac:dyDescent="0.25">
      <c r="B86" s="193">
        <v>45672</v>
      </c>
      <c r="C86" s="195">
        <v>23213.200000000001</v>
      </c>
    </row>
    <row r="87" spans="2:3" x14ac:dyDescent="0.25">
      <c r="B87" s="193">
        <v>45671</v>
      </c>
      <c r="C87" s="195">
        <v>23176.05</v>
      </c>
    </row>
    <row r="88" spans="2:3" x14ac:dyDescent="0.25">
      <c r="B88" s="193">
        <v>45670</v>
      </c>
      <c r="C88" s="195">
        <v>23085.95</v>
      </c>
    </row>
    <row r="89" spans="2:3" x14ac:dyDescent="0.25">
      <c r="B89" s="193">
        <v>45667</v>
      </c>
      <c r="C89" s="195">
        <v>23431.5</v>
      </c>
    </row>
    <row r="90" spans="2:3" x14ac:dyDescent="0.25">
      <c r="B90" s="193">
        <v>45666</v>
      </c>
      <c r="C90" s="195">
        <v>23526.5</v>
      </c>
    </row>
    <row r="91" spans="2:3" x14ac:dyDescent="0.25">
      <c r="B91" s="193">
        <v>45665</v>
      </c>
      <c r="C91" s="195">
        <v>23688.95</v>
      </c>
    </row>
    <row r="92" spans="2:3" x14ac:dyDescent="0.25">
      <c r="B92" s="193">
        <v>45664</v>
      </c>
      <c r="C92" s="195">
        <v>23707.9</v>
      </c>
    </row>
    <row r="93" spans="2:3" x14ac:dyDescent="0.25">
      <c r="B93" s="193">
        <v>45663</v>
      </c>
      <c r="C93" s="195">
        <v>23616.05</v>
      </c>
    </row>
    <row r="94" spans="2:3" x14ac:dyDescent="0.25">
      <c r="B94" s="193">
        <v>45660</v>
      </c>
      <c r="C94" s="195">
        <v>24004.75</v>
      </c>
    </row>
    <row r="95" spans="2:3" x14ac:dyDescent="0.25">
      <c r="B95" s="193">
        <v>45659</v>
      </c>
      <c r="C95" s="195">
        <v>24188.65</v>
      </c>
    </row>
    <row r="96" spans="2:3" x14ac:dyDescent="0.25">
      <c r="B96" s="193">
        <v>45658</v>
      </c>
      <c r="C96" s="195">
        <v>23742.9</v>
      </c>
    </row>
    <row r="97" spans="2:3" x14ac:dyDescent="0.25">
      <c r="B97" s="193">
        <v>45657</v>
      </c>
      <c r="C97" s="195">
        <v>23644.799999999999</v>
      </c>
    </row>
    <row r="98" spans="2:3" x14ac:dyDescent="0.25">
      <c r="B98" s="193">
        <v>45656</v>
      </c>
      <c r="C98" s="195">
        <v>23644.9</v>
      </c>
    </row>
    <row r="99" spans="2:3" x14ac:dyDescent="0.25">
      <c r="B99" s="193">
        <v>45653</v>
      </c>
      <c r="C99" s="195">
        <v>23813.4</v>
      </c>
    </row>
    <row r="100" spans="2:3" x14ac:dyDescent="0.25">
      <c r="B100" s="193">
        <v>45652</v>
      </c>
      <c r="C100" s="195">
        <v>23750.2</v>
      </c>
    </row>
    <row r="101" spans="2:3" x14ac:dyDescent="0.25">
      <c r="B101" s="193">
        <v>45650</v>
      </c>
      <c r="C101" s="195">
        <v>23727.65</v>
      </c>
    </row>
    <row r="102" spans="2:3" x14ac:dyDescent="0.25">
      <c r="B102" s="193">
        <v>45649</v>
      </c>
      <c r="C102" s="195">
        <v>23753.45</v>
      </c>
    </row>
    <row r="103" spans="2:3" x14ac:dyDescent="0.25">
      <c r="B103" s="193">
        <v>45646</v>
      </c>
      <c r="C103" s="195">
        <v>23587.5</v>
      </c>
    </row>
    <row r="104" spans="2:3" x14ac:dyDescent="0.25">
      <c r="B104" s="193">
        <v>45645</v>
      </c>
      <c r="C104" s="195">
        <v>23951.7</v>
      </c>
    </row>
    <row r="105" spans="2:3" x14ac:dyDescent="0.25">
      <c r="B105" s="193">
        <v>45644</v>
      </c>
      <c r="C105" s="195">
        <v>24198.85</v>
      </c>
    </row>
    <row r="106" spans="2:3" x14ac:dyDescent="0.25">
      <c r="B106" s="193">
        <v>45643</v>
      </c>
      <c r="C106" s="195">
        <v>24336</v>
      </c>
    </row>
    <row r="107" spans="2:3" x14ac:dyDescent="0.25">
      <c r="B107" s="193">
        <v>45642</v>
      </c>
      <c r="C107" s="195">
        <v>24668.25</v>
      </c>
    </row>
    <row r="108" spans="2:3" x14ac:dyDescent="0.25">
      <c r="B108" s="193">
        <v>45639</v>
      </c>
      <c r="C108" s="195">
        <v>24768.3</v>
      </c>
    </row>
    <row r="109" spans="2:3" x14ac:dyDescent="0.25">
      <c r="B109" s="193">
        <v>45638</v>
      </c>
      <c r="C109" s="195">
        <v>24548.7</v>
      </c>
    </row>
    <row r="110" spans="2:3" x14ac:dyDescent="0.25">
      <c r="B110" s="193">
        <v>45637</v>
      </c>
      <c r="C110" s="195">
        <v>24641.8</v>
      </c>
    </row>
    <row r="111" spans="2:3" x14ac:dyDescent="0.25">
      <c r="B111" s="193">
        <v>45636</v>
      </c>
      <c r="C111" s="195">
        <v>24610.05</v>
      </c>
    </row>
    <row r="112" spans="2:3" x14ac:dyDescent="0.25">
      <c r="B112" s="193">
        <v>45635</v>
      </c>
      <c r="C112" s="195">
        <v>24619</v>
      </c>
    </row>
    <row r="113" spans="2:3" x14ac:dyDescent="0.25">
      <c r="B113" s="193">
        <v>45632</v>
      </c>
      <c r="C113" s="195">
        <v>24677.8</v>
      </c>
    </row>
    <row r="114" spans="2:3" x14ac:dyDescent="0.25">
      <c r="B114" s="193">
        <v>45631</v>
      </c>
      <c r="C114" s="195">
        <v>24708.400000000001</v>
      </c>
    </row>
    <row r="115" spans="2:3" x14ac:dyDescent="0.25">
      <c r="B115" s="193">
        <v>45630</v>
      </c>
      <c r="C115" s="195">
        <v>24467.45</v>
      </c>
    </row>
    <row r="116" spans="2:3" x14ac:dyDescent="0.25">
      <c r="B116" s="193">
        <v>45629</v>
      </c>
      <c r="C116" s="195">
        <v>24457.15</v>
      </c>
    </row>
    <row r="117" spans="2:3" x14ac:dyDescent="0.25">
      <c r="B117" s="193">
        <v>45628</v>
      </c>
      <c r="C117" s="195">
        <v>24276.05</v>
      </c>
    </row>
    <row r="118" spans="2:3" x14ac:dyDescent="0.25">
      <c r="B118" s="193">
        <v>45625</v>
      </c>
      <c r="C118" s="195">
        <v>24131.1</v>
      </c>
    </row>
    <row r="119" spans="2:3" x14ac:dyDescent="0.25">
      <c r="B119" s="193">
        <v>45624</v>
      </c>
      <c r="C119" s="195">
        <v>23914.15</v>
      </c>
    </row>
    <row r="120" spans="2:3" x14ac:dyDescent="0.25">
      <c r="B120" s="193">
        <v>45623</v>
      </c>
      <c r="C120" s="195">
        <v>24274.9</v>
      </c>
    </row>
    <row r="121" spans="2:3" x14ac:dyDescent="0.25">
      <c r="B121" s="193">
        <v>45622</v>
      </c>
      <c r="C121" s="195">
        <v>24194.5</v>
      </c>
    </row>
    <row r="122" spans="2:3" x14ac:dyDescent="0.25">
      <c r="B122" s="193">
        <v>45621</v>
      </c>
      <c r="C122" s="195">
        <v>24221.9</v>
      </c>
    </row>
    <row r="123" spans="2:3" x14ac:dyDescent="0.25">
      <c r="B123" s="193">
        <v>45618</v>
      </c>
      <c r="C123" s="195">
        <v>23907.25</v>
      </c>
    </row>
    <row r="124" spans="2:3" x14ac:dyDescent="0.25">
      <c r="B124" s="193">
        <v>45617</v>
      </c>
      <c r="C124" s="195">
        <v>23349.9</v>
      </c>
    </row>
    <row r="125" spans="2:3" x14ac:dyDescent="0.25">
      <c r="B125" s="193">
        <v>45615</v>
      </c>
      <c r="C125" s="195">
        <v>23518.5</v>
      </c>
    </row>
    <row r="126" spans="2:3" x14ac:dyDescent="0.25">
      <c r="B126" s="193">
        <v>45614</v>
      </c>
      <c r="C126" s="195">
        <v>23453.8</v>
      </c>
    </row>
    <row r="127" spans="2:3" x14ac:dyDescent="0.25">
      <c r="B127" s="193">
        <v>45610</v>
      </c>
      <c r="C127" s="195">
        <v>23532.7</v>
      </c>
    </row>
    <row r="128" spans="2:3" x14ac:dyDescent="0.25">
      <c r="B128" s="193">
        <v>45609</v>
      </c>
      <c r="C128" s="195">
        <v>23559.05</v>
      </c>
    </row>
    <row r="129" spans="2:3" x14ac:dyDescent="0.25">
      <c r="B129" s="193">
        <v>45608</v>
      </c>
      <c r="C129" s="195">
        <v>23883.45</v>
      </c>
    </row>
    <row r="130" spans="2:3" x14ac:dyDescent="0.25">
      <c r="B130" s="193">
        <v>45607</v>
      </c>
      <c r="C130" s="195">
        <v>24141.3</v>
      </c>
    </row>
    <row r="131" spans="2:3" x14ac:dyDescent="0.25">
      <c r="B131" s="193">
        <v>45604</v>
      </c>
      <c r="C131" s="195">
        <v>24148.2</v>
      </c>
    </row>
    <row r="132" spans="2:3" x14ac:dyDescent="0.25">
      <c r="B132" s="193">
        <v>45603</v>
      </c>
      <c r="C132" s="195">
        <v>24199.35</v>
      </c>
    </row>
    <row r="133" spans="2:3" x14ac:dyDescent="0.25">
      <c r="B133" s="193">
        <v>45602</v>
      </c>
      <c r="C133" s="195">
        <v>24484.05</v>
      </c>
    </row>
    <row r="134" spans="2:3" x14ac:dyDescent="0.25">
      <c r="B134" s="193">
        <v>45601</v>
      </c>
      <c r="C134" s="195">
        <v>24213.3</v>
      </c>
    </row>
    <row r="135" spans="2:3" x14ac:dyDescent="0.25">
      <c r="B135" s="193">
        <v>45600</v>
      </c>
      <c r="C135" s="195">
        <v>23995.35</v>
      </c>
    </row>
    <row r="136" spans="2:3" x14ac:dyDescent="0.25">
      <c r="B136" s="193">
        <v>45597</v>
      </c>
      <c r="C136" s="195">
        <v>24304.35</v>
      </c>
    </row>
    <row r="137" spans="2:3" x14ac:dyDescent="0.25">
      <c r="B137" s="193">
        <v>45596</v>
      </c>
      <c r="C137" s="195">
        <v>24205.35</v>
      </c>
    </row>
    <row r="138" spans="2:3" x14ac:dyDescent="0.25">
      <c r="B138" s="193">
        <v>45595</v>
      </c>
      <c r="C138" s="195">
        <v>24340.85</v>
      </c>
    </row>
    <row r="139" spans="2:3" x14ac:dyDescent="0.25">
      <c r="B139" s="193">
        <v>45594</v>
      </c>
      <c r="C139" s="195">
        <v>24466.85</v>
      </c>
    </row>
    <row r="140" spans="2:3" x14ac:dyDescent="0.25">
      <c r="B140" s="193">
        <v>45593</v>
      </c>
      <c r="C140" s="195">
        <v>24339.15</v>
      </c>
    </row>
    <row r="141" spans="2:3" x14ac:dyDescent="0.25">
      <c r="B141" s="193">
        <v>45590</v>
      </c>
      <c r="C141" s="195">
        <v>24180.799999999999</v>
      </c>
    </row>
    <row r="142" spans="2:3" x14ac:dyDescent="0.25">
      <c r="B142" s="193">
        <v>45589</v>
      </c>
      <c r="C142" s="195">
        <v>24399.4</v>
      </c>
    </row>
    <row r="143" spans="2:3" x14ac:dyDescent="0.25">
      <c r="B143" s="193">
        <v>45588</v>
      </c>
      <c r="C143" s="195">
        <v>24435.5</v>
      </c>
    </row>
    <row r="144" spans="2:3" x14ac:dyDescent="0.25">
      <c r="B144" s="193">
        <v>45587</v>
      </c>
      <c r="C144" s="195">
        <v>24472.1</v>
      </c>
    </row>
    <row r="145" spans="2:3" x14ac:dyDescent="0.25">
      <c r="B145" s="193">
        <v>45586</v>
      </c>
      <c r="C145" s="195">
        <v>24781.1</v>
      </c>
    </row>
    <row r="146" spans="2:3" x14ac:dyDescent="0.25">
      <c r="B146" s="193">
        <v>45583</v>
      </c>
      <c r="C146" s="195">
        <v>24854.05</v>
      </c>
    </row>
    <row r="147" spans="2:3" x14ac:dyDescent="0.25">
      <c r="B147" s="193">
        <v>45582</v>
      </c>
      <c r="C147" s="195">
        <v>24749.85</v>
      </c>
    </row>
    <row r="148" spans="2:3" x14ac:dyDescent="0.25">
      <c r="B148" s="193">
        <v>45581</v>
      </c>
      <c r="C148" s="195">
        <v>24971.3</v>
      </c>
    </row>
    <row r="149" spans="2:3" x14ac:dyDescent="0.25">
      <c r="B149" s="193">
        <v>45580</v>
      </c>
      <c r="C149" s="195">
        <v>25057.35</v>
      </c>
    </row>
    <row r="150" spans="2:3" x14ac:dyDescent="0.25">
      <c r="B150" s="193">
        <v>45579</v>
      </c>
      <c r="C150" s="195">
        <v>25127.95</v>
      </c>
    </row>
    <row r="151" spans="2:3" x14ac:dyDescent="0.25">
      <c r="B151" s="193">
        <v>45576</v>
      </c>
      <c r="C151" s="195">
        <v>24964.25</v>
      </c>
    </row>
    <row r="152" spans="2:3" x14ac:dyDescent="0.25">
      <c r="B152" s="193">
        <v>45575</v>
      </c>
      <c r="C152" s="195">
        <v>24998.45</v>
      </c>
    </row>
    <row r="153" spans="2:3" x14ac:dyDescent="0.25">
      <c r="B153" s="193">
        <v>45574</v>
      </c>
      <c r="C153" s="195">
        <v>24981.95</v>
      </c>
    </row>
    <row r="154" spans="2:3" x14ac:dyDescent="0.25">
      <c r="B154" s="193">
        <v>45573</v>
      </c>
      <c r="C154" s="195">
        <v>25013.15</v>
      </c>
    </row>
    <row r="155" spans="2:3" x14ac:dyDescent="0.25">
      <c r="B155" s="193">
        <v>45572</v>
      </c>
      <c r="C155" s="195">
        <v>24795.75</v>
      </c>
    </row>
    <row r="156" spans="2:3" x14ac:dyDescent="0.25">
      <c r="B156" s="193">
        <v>45569</v>
      </c>
      <c r="C156" s="195">
        <v>25014.6</v>
      </c>
    </row>
    <row r="157" spans="2:3" x14ac:dyDescent="0.25">
      <c r="B157" s="193">
        <v>45568</v>
      </c>
      <c r="C157" s="195">
        <v>25250.1</v>
      </c>
    </row>
    <row r="158" spans="2:3" x14ac:dyDescent="0.25">
      <c r="B158" s="193">
        <v>45566</v>
      </c>
      <c r="C158" s="195">
        <v>25796.9</v>
      </c>
    </row>
    <row r="159" spans="2:3" x14ac:dyDescent="0.25">
      <c r="B159" s="193">
        <v>45565</v>
      </c>
      <c r="C159" s="195">
        <v>25810.85</v>
      </c>
    </row>
    <row r="160" spans="2:3" x14ac:dyDescent="0.25">
      <c r="B160" s="193">
        <v>45562</v>
      </c>
      <c r="C160" s="195">
        <v>26178.95</v>
      </c>
    </row>
    <row r="161" spans="2:3" x14ac:dyDescent="0.25">
      <c r="B161" s="193">
        <v>45561</v>
      </c>
      <c r="C161" s="195">
        <v>26216.05</v>
      </c>
    </row>
    <row r="162" spans="2:3" x14ac:dyDescent="0.25">
      <c r="B162" s="193">
        <v>45560</v>
      </c>
      <c r="C162" s="195">
        <v>26004.15</v>
      </c>
    </row>
    <row r="163" spans="2:3" x14ac:dyDescent="0.25">
      <c r="B163" s="193">
        <v>45559</v>
      </c>
      <c r="C163" s="195">
        <v>25940.400000000001</v>
      </c>
    </row>
    <row r="164" spans="2:3" x14ac:dyDescent="0.25">
      <c r="B164" s="193">
        <v>45558</v>
      </c>
      <c r="C164" s="195">
        <v>25939.05</v>
      </c>
    </row>
    <row r="165" spans="2:3" x14ac:dyDescent="0.25">
      <c r="B165" s="193">
        <v>45555</v>
      </c>
      <c r="C165" s="195">
        <v>25790.95</v>
      </c>
    </row>
    <row r="166" spans="2:3" x14ac:dyDescent="0.25">
      <c r="B166" s="193">
        <v>45554</v>
      </c>
      <c r="C166" s="195">
        <v>25415.8</v>
      </c>
    </row>
    <row r="167" spans="2:3" x14ac:dyDescent="0.25">
      <c r="B167" s="193">
        <v>45553</v>
      </c>
      <c r="C167" s="195">
        <v>25377.55</v>
      </c>
    </row>
    <row r="168" spans="2:3" x14ac:dyDescent="0.25">
      <c r="B168" s="193">
        <v>45552</v>
      </c>
      <c r="C168" s="195">
        <v>25418.55</v>
      </c>
    </row>
    <row r="169" spans="2:3" x14ac:dyDescent="0.25">
      <c r="B169" s="193">
        <v>45551</v>
      </c>
      <c r="C169" s="195">
        <v>25383.75</v>
      </c>
    </row>
    <row r="170" spans="2:3" x14ac:dyDescent="0.25">
      <c r="B170" s="193">
        <v>45548</v>
      </c>
      <c r="C170" s="195">
        <v>25356.5</v>
      </c>
    </row>
    <row r="171" spans="2:3" x14ac:dyDescent="0.25">
      <c r="B171" s="193">
        <v>45547</v>
      </c>
      <c r="C171" s="195">
        <v>25388.9</v>
      </c>
    </row>
    <row r="172" spans="2:3" x14ac:dyDescent="0.25">
      <c r="B172" s="193">
        <v>45546</v>
      </c>
      <c r="C172" s="195">
        <v>24918.45</v>
      </c>
    </row>
    <row r="173" spans="2:3" x14ac:dyDescent="0.25">
      <c r="B173" s="193">
        <v>45545</v>
      </c>
      <c r="C173" s="195">
        <v>25041.1</v>
      </c>
    </row>
    <row r="174" spans="2:3" x14ac:dyDescent="0.25">
      <c r="B174" s="193">
        <v>45544</v>
      </c>
      <c r="C174" s="195">
        <v>24936.400000000001</v>
      </c>
    </row>
    <row r="175" spans="2:3" x14ac:dyDescent="0.25">
      <c r="B175" s="193">
        <v>45541</v>
      </c>
      <c r="C175" s="195">
        <v>24852.15</v>
      </c>
    </row>
    <row r="176" spans="2:3" x14ac:dyDescent="0.25">
      <c r="B176" s="193">
        <v>45540</v>
      </c>
      <c r="C176" s="195">
        <v>25145.1</v>
      </c>
    </row>
    <row r="177" spans="2:3" x14ac:dyDescent="0.25">
      <c r="B177" s="193">
        <v>45539</v>
      </c>
      <c r="C177" s="195">
        <v>25198.7</v>
      </c>
    </row>
    <row r="178" spans="2:3" x14ac:dyDescent="0.25">
      <c r="B178" s="193">
        <v>45538</v>
      </c>
      <c r="C178" s="195">
        <v>25279.85</v>
      </c>
    </row>
    <row r="179" spans="2:3" x14ac:dyDescent="0.25">
      <c r="B179" s="193">
        <v>45537</v>
      </c>
      <c r="C179" s="195">
        <v>25278.7</v>
      </c>
    </row>
    <row r="180" spans="2:3" x14ac:dyDescent="0.25">
      <c r="B180" s="193">
        <v>45534</v>
      </c>
      <c r="C180" s="195">
        <v>25235.9</v>
      </c>
    </row>
    <row r="181" spans="2:3" x14ac:dyDescent="0.25">
      <c r="B181" s="193">
        <v>45533</v>
      </c>
      <c r="C181" s="195">
        <v>25151.95</v>
      </c>
    </row>
    <row r="182" spans="2:3" x14ac:dyDescent="0.25">
      <c r="B182" s="193">
        <v>45532</v>
      </c>
      <c r="C182" s="195">
        <v>25052.35</v>
      </c>
    </row>
    <row r="183" spans="2:3" x14ac:dyDescent="0.25">
      <c r="B183" s="193">
        <v>45531</v>
      </c>
      <c r="C183" s="195">
        <v>25017.75</v>
      </c>
    </row>
    <row r="184" spans="2:3" x14ac:dyDescent="0.25">
      <c r="B184" s="193">
        <v>45530</v>
      </c>
      <c r="C184" s="195">
        <v>25010.6</v>
      </c>
    </row>
    <row r="185" spans="2:3" x14ac:dyDescent="0.25">
      <c r="B185" s="193">
        <v>45527</v>
      </c>
      <c r="C185" s="195">
        <v>24823.15</v>
      </c>
    </row>
    <row r="186" spans="2:3" x14ac:dyDescent="0.25">
      <c r="B186" s="193">
        <v>45526</v>
      </c>
      <c r="C186" s="195">
        <v>24811.5</v>
      </c>
    </row>
    <row r="187" spans="2:3" x14ac:dyDescent="0.25">
      <c r="B187" s="193">
        <v>45525</v>
      </c>
      <c r="C187" s="195">
        <v>24770.2</v>
      </c>
    </row>
    <row r="188" spans="2:3" x14ac:dyDescent="0.25">
      <c r="B188" s="193">
        <v>45524</v>
      </c>
      <c r="C188" s="195">
        <v>24698.85</v>
      </c>
    </row>
    <row r="189" spans="2:3" x14ac:dyDescent="0.25">
      <c r="B189" s="193">
        <v>45523</v>
      </c>
      <c r="C189" s="195">
        <v>24572.65</v>
      </c>
    </row>
    <row r="190" spans="2:3" x14ac:dyDescent="0.25">
      <c r="B190" s="193">
        <v>45520</v>
      </c>
      <c r="C190" s="195">
        <v>24541.15</v>
      </c>
    </row>
    <row r="191" spans="2:3" x14ac:dyDescent="0.25">
      <c r="B191" s="193">
        <v>45518</v>
      </c>
      <c r="C191" s="195">
        <v>24143.75</v>
      </c>
    </row>
    <row r="192" spans="2:3" x14ac:dyDescent="0.25">
      <c r="B192" s="193">
        <v>45517</v>
      </c>
      <c r="C192" s="195">
        <v>24139</v>
      </c>
    </row>
    <row r="193" spans="2:3" x14ac:dyDescent="0.25">
      <c r="B193" s="193">
        <v>45516</v>
      </c>
      <c r="C193" s="195">
        <v>24347</v>
      </c>
    </row>
    <row r="194" spans="2:3" x14ac:dyDescent="0.25">
      <c r="B194" s="193">
        <v>45513</v>
      </c>
      <c r="C194" s="195">
        <v>24367.5</v>
      </c>
    </row>
    <row r="195" spans="2:3" x14ac:dyDescent="0.25">
      <c r="B195" s="193">
        <v>45512</v>
      </c>
      <c r="C195" s="195">
        <v>24117</v>
      </c>
    </row>
    <row r="196" spans="2:3" x14ac:dyDescent="0.25">
      <c r="B196" s="193">
        <v>45511</v>
      </c>
      <c r="C196" s="195">
        <v>24297.5</v>
      </c>
    </row>
    <row r="197" spans="2:3" x14ac:dyDescent="0.25">
      <c r="B197" s="193">
        <v>45510</v>
      </c>
      <c r="C197" s="195">
        <v>23992.55</v>
      </c>
    </row>
    <row r="198" spans="2:3" x14ac:dyDescent="0.25">
      <c r="B198" s="193">
        <v>45509</v>
      </c>
      <c r="C198" s="195">
        <v>24055.599999999999</v>
      </c>
    </row>
    <row r="199" spans="2:3" x14ac:dyDescent="0.25">
      <c r="B199" s="193">
        <v>45506</v>
      </c>
      <c r="C199" s="195">
        <v>24717.7</v>
      </c>
    </row>
    <row r="200" spans="2:3" x14ac:dyDescent="0.25">
      <c r="B200" s="193">
        <v>45505</v>
      </c>
      <c r="C200" s="195">
        <v>25010.9</v>
      </c>
    </row>
    <row r="201" spans="2:3" x14ac:dyDescent="0.25">
      <c r="B201" s="193">
        <v>45504</v>
      </c>
      <c r="C201" s="195">
        <v>24951.15</v>
      </c>
    </row>
    <row r="202" spans="2:3" x14ac:dyDescent="0.25">
      <c r="B202" s="193">
        <v>45503</v>
      </c>
      <c r="C202" s="195">
        <v>24857.3</v>
      </c>
    </row>
    <row r="203" spans="2:3" x14ac:dyDescent="0.25">
      <c r="B203" s="193">
        <v>45502</v>
      </c>
      <c r="C203" s="195">
        <v>24836.1</v>
      </c>
    </row>
    <row r="204" spans="2:3" x14ac:dyDescent="0.25">
      <c r="B204" s="193">
        <v>45499</v>
      </c>
      <c r="C204" s="195">
        <v>24834.85</v>
      </c>
    </row>
    <row r="205" spans="2:3" x14ac:dyDescent="0.25">
      <c r="B205" s="193">
        <v>45498</v>
      </c>
      <c r="C205" s="195">
        <v>24406.1</v>
      </c>
    </row>
    <row r="206" spans="2:3" x14ac:dyDescent="0.25">
      <c r="B206" s="193">
        <v>45497</v>
      </c>
      <c r="C206" s="195">
        <v>24413.5</v>
      </c>
    </row>
    <row r="207" spans="2:3" x14ac:dyDescent="0.25">
      <c r="B207" s="193">
        <v>45496</v>
      </c>
      <c r="C207" s="195">
        <v>24479.05</v>
      </c>
    </row>
    <row r="208" spans="2:3" x14ac:dyDescent="0.25">
      <c r="B208" s="193">
        <v>45495</v>
      </c>
      <c r="C208" s="195">
        <v>24509.25</v>
      </c>
    </row>
    <row r="209" spans="2:3" x14ac:dyDescent="0.25">
      <c r="B209" s="193">
        <v>45492</v>
      </c>
      <c r="C209" s="195">
        <v>24530.9</v>
      </c>
    </row>
    <row r="210" spans="2:3" x14ac:dyDescent="0.25">
      <c r="B210" s="193">
        <v>45491</v>
      </c>
      <c r="C210" s="195">
        <v>24800.85</v>
      </c>
    </row>
    <row r="211" spans="2:3" x14ac:dyDescent="0.25">
      <c r="B211" s="193">
        <v>45489</v>
      </c>
      <c r="C211" s="195">
        <v>24613</v>
      </c>
    </row>
    <row r="212" spans="2:3" x14ac:dyDescent="0.25">
      <c r="B212" s="193">
        <v>45488</v>
      </c>
      <c r="C212" s="195">
        <v>24586.7</v>
      </c>
    </row>
    <row r="213" spans="2:3" x14ac:dyDescent="0.25">
      <c r="B213" s="193">
        <v>45485</v>
      </c>
      <c r="C213" s="195">
        <v>24502.15</v>
      </c>
    </row>
    <row r="214" spans="2:3" x14ac:dyDescent="0.25">
      <c r="B214" s="193">
        <v>45484</v>
      </c>
      <c r="C214" s="195">
        <v>24315.95</v>
      </c>
    </row>
    <row r="215" spans="2:3" x14ac:dyDescent="0.25">
      <c r="B215" s="193">
        <v>45483</v>
      </c>
      <c r="C215" s="195">
        <v>24324.45</v>
      </c>
    </row>
    <row r="216" spans="2:3" x14ac:dyDescent="0.25">
      <c r="B216" s="193">
        <v>45482</v>
      </c>
      <c r="C216" s="195">
        <v>24433.200000000001</v>
      </c>
    </row>
    <row r="217" spans="2:3" x14ac:dyDescent="0.25">
      <c r="B217" s="193">
        <v>45481</v>
      </c>
      <c r="C217" s="195">
        <v>24320.55</v>
      </c>
    </row>
    <row r="218" spans="2:3" x14ac:dyDescent="0.25">
      <c r="B218" s="193">
        <v>45478</v>
      </c>
      <c r="C218" s="195">
        <v>24323.85</v>
      </c>
    </row>
    <row r="219" spans="2:3" x14ac:dyDescent="0.25">
      <c r="B219" s="193">
        <v>45477</v>
      </c>
      <c r="C219" s="195">
        <v>24302.15</v>
      </c>
    </row>
    <row r="220" spans="2:3" x14ac:dyDescent="0.25">
      <c r="B220" s="193">
        <v>45476</v>
      </c>
      <c r="C220" s="195">
        <v>24286.5</v>
      </c>
    </row>
    <row r="221" spans="2:3" x14ac:dyDescent="0.25">
      <c r="B221" s="193">
        <v>45475</v>
      </c>
      <c r="C221" s="195">
        <v>24123.85</v>
      </c>
    </row>
    <row r="222" spans="2:3" x14ac:dyDescent="0.25">
      <c r="B222" s="193">
        <v>45474</v>
      </c>
      <c r="C222" s="195">
        <v>24141.95</v>
      </c>
    </row>
    <row r="223" spans="2:3" x14ac:dyDescent="0.25">
      <c r="B223" s="193">
        <v>45471</v>
      </c>
      <c r="C223" s="195">
        <v>24010.6</v>
      </c>
    </row>
    <row r="224" spans="2:3" x14ac:dyDescent="0.25">
      <c r="B224" s="193">
        <v>45470</v>
      </c>
      <c r="C224" s="195">
        <v>24044.5</v>
      </c>
    </row>
    <row r="225" spans="2:3" x14ac:dyDescent="0.25">
      <c r="B225" s="193">
        <v>45469</v>
      </c>
      <c r="C225" s="195">
        <v>23868.799999999999</v>
      </c>
    </row>
    <row r="226" spans="2:3" x14ac:dyDescent="0.25">
      <c r="B226" s="193">
        <v>45468</v>
      </c>
      <c r="C226" s="195">
        <v>23721.3</v>
      </c>
    </row>
    <row r="227" spans="2:3" x14ac:dyDescent="0.25">
      <c r="B227" s="193">
        <v>45467</v>
      </c>
      <c r="C227" s="195">
        <v>23537.85</v>
      </c>
    </row>
    <row r="228" spans="2:3" x14ac:dyDescent="0.25">
      <c r="B228" s="193">
        <v>45464</v>
      </c>
      <c r="C228" s="195">
        <v>23501.1</v>
      </c>
    </row>
    <row r="229" spans="2:3" x14ac:dyDescent="0.25">
      <c r="B229" s="193">
        <v>45463</v>
      </c>
      <c r="C229" s="195">
        <v>23567</v>
      </c>
    </row>
    <row r="230" spans="2:3" x14ac:dyDescent="0.25">
      <c r="B230" s="193">
        <v>45462</v>
      </c>
      <c r="C230" s="195">
        <v>23516</v>
      </c>
    </row>
    <row r="231" spans="2:3" x14ac:dyDescent="0.25">
      <c r="B231" s="193">
        <v>45461</v>
      </c>
      <c r="C231" s="195">
        <v>23557.9</v>
      </c>
    </row>
    <row r="232" spans="2:3" x14ac:dyDescent="0.25">
      <c r="B232" s="193">
        <v>45457</v>
      </c>
      <c r="C232" s="195">
        <v>23465.599999999999</v>
      </c>
    </row>
    <row r="233" spans="2:3" x14ac:dyDescent="0.25">
      <c r="B233" s="193">
        <v>45456</v>
      </c>
      <c r="C233" s="195">
        <v>23398.9</v>
      </c>
    </row>
    <row r="234" spans="2:3" x14ac:dyDescent="0.25">
      <c r="B234" s="193">
        <v>45455</v>
      </c>
      <c r="C234" s="195">
        <v>23322.95</v>
      </c>
    </row>
    <row r="235" spans="2:3" x14ac:dyDescent="0.25">
      <c r="B235" s="193">
        <v>45454</v>
      </c>
      <c r="C235" s="195">
        <v>23264.85</v>
      </c>
    </row>
    <row r="236" spans="2:3" x14ac:dyDescent="0.25">
      <c r="B236" s="193">
        <v>45453</v>
      </c>
      <c r="C236" s="195">
        <v>23259.200000000001</v>
      </c>
    </row>
    <row r="237" spans="2:3" x14ac:dyDescent="0.25">
      <c r="B237" s="193">
        <v>45450</v>
      </c>
      <c r="C237" s="195">
        <v>23290.15</v>
      </c>
    </row>
    <row r="238" spans="2:3" x14ac:dyDescent="0.25">
      <c r="B238" s="193">
        <v>45449</v>
      </c>
      <c r="C238" s="195">
        <v>22821.4</v>
      </c>
    </row>
    <row r="239" spans="2:3" x14ac:dyDescent="0.25">
      <c r="B239" s="193">
        <v>45448</v>
      </c>
      <c r="C239" s="195">
        <v>22620.35</v>
      </c>
    </row>
    <row r="240" spans="2:3" x14ac:dyDescent="0.25">
      <c r="B240" s="193">
        <v>45447</v>
      </c>
      <c r="C240" s="195">
        <v>21884.5</v>
      </c>
    </row>
    <row r="241" spans="2:3" x14ac:dyDescent="0.25">
      <c r="B241" s="193">
        <v>45446</v>
      </c>
      <c r="C241" s="195">
        <v>23263.9</v>
      </c>
    </row>
    <row r="242" spans="2:3" x14ac:dyDescent="0.25">
      <c r="B242" s="193">
        <v>45443</v>
      </c>
      <c r="C242" s="195">
        <v>22530.7</v>
      </c>
    </row>
    <row r="243" spans="2:3" x14ac:dyDescent="0.25">
      <c r="B243" s="193">
        <v>45442</v>
      </c>
      <c r="C243" s="195">
        <v>22488.65</v>
      </c>
    </row>
    <row r="244" spans="2:3" x14ac:dyDescent="0.25">
      <c r="B244" s="193">
        <v>45441</v>
      </c>
      <c r="C244" s="195">
        <v>22704.7</v>
      </c>
    </row>
    <row r="245" spans="2:3" x14ac:dyDescent="0.25">
      <c r="B245" s="193">
        <v>45440</v>
      </c>
      <c r="C245" s="195">
        <v>22888.15</v>
      </c>
    </row>
    <row r="246" spans="2:3" x14ac:dyDescent="0.25">
      <c r="B246" s="193">
        <v>45439</v>
      </c>
      <c r="C246" s="195">
        <v>22932.45</v>
      </c>
    </row>
    <row r="247" spans="2:3" x14ac:dyDescent="0.25">
      <c r="B247" s="193">
        <v>45436</v>
      </c>
      <c r="C247" s="195">
        <v>22957.1</v>
      </c>
    </row>
    <row r="248" spans="2:3" x14ac:dyDescent="0.25">
      <c r="B248" s="193">
        <v>45435</v>
      </c>
      <c r="C248" s="195">
        <v>22967.65</v>
      </c>
    </row>
    <row r="249" spans="2:3" x14ac:dyDescent="0.25">
      <c r="B249" s="193">
        <v>45434</v>
      </c>
      <c r="C249" s="195">
        <v>22597.8</v>
      </c>
    </row>
    <row r="250" spans="2:3" x14ac:dyDescent="0.25">
      <c r="B250" s="193">
        <v>45433</v>
      </c>
      <c r="C250" s="195">
        <v>22529.05</v>
      </c>
    </row>
    <row r="251" spans="2:3" x14ac:dyDescent="0.25">
      <c r="B251" s="193">
        <v>45430</v>
      </c>
      <c r="C251" s="195">
        <v>22502</v>
      </c>
    </row>
    <row r="252" spans="2:3" x14ac:dyDescent="0.25">
      <c r="B252" s="193">
        <v>45429</v>
      </c>
      <c r="C252" s="195">
        <v>22466.1</v>
      </c>
    </row>
    <row r="253" spans="2:3" x14ac:dyDescent="0.25">
      <c r="B253" s="193">
        <v>45428</v>
      </c>
      <c r="C253" s="195">
        <v>22403.85</v>
      </c>
    </row>
    <row r="254" spans="2:3" x14ac:dyDescent="0.25">
      <c r="B254" s="193">
        <v>45427</v>
      </c>
      <c r="C254" s="195">
        <v>22200.55</v>
      </c>
    </row>
    <row r="255" spans="2:3" x14ac:dyDescent="0.25">
      <c r="B255" s="193">
        <v>45426</v>
      </c>
      <c r="C255" s="195">
        <v>22217.85</v>
      </c>
    </row>
    <row r="256" spans="2:3" x14ac:dyDescent="0.25">
      <c r="B256" s="193">
        <v>45425</v>
      </c>
      <c r="C256" s="195">
        <v>22104.05</v>
      </c>
    </row>
    <row r="257" spans="2:3" x14ac:dyDescent="0.25">
      <c r="B257" s="193">
        <v>45422</v>
      </c>
      <c r="C257" s="195">
        <v>22055.200000000001</v>
      </c>
    </row>
    <row r="258" spans="2:3" x14ac:dyDescent="0.25">
      <c r="B258" s="193">
        <v>45421</v>
      </c>
      <c r="C258" s="195">
        <v>21957.5</v>
      </c>
    </row>
    <row r="259" spans="2:3" x14ac:dyDescent="0.25">
      <c r="B259" s="193">
        <v>45420</v>
      </c>
      <c r="C259" s="195">
        <v>22302.5</v>
      </c>
    </row>
    <row r="260" spans="2:3" x14ac:dyDescent="0.25">
      <c r="B260" s="193">
        <v>45419</v>
      </c>
      <c r="C260" s="195">
        <v>22302.5</v>
      </c>
    </row>
    <row r="261" spans="2:3" x14ac:dyDescent="0.25">
      <c r="B261" s="193">
        <v>45418</v>
      </c>
      <c r="C261" s="195">
        <v>22442.7</v>
      </c>
    </row>
    <row r="262" spans="2:3" x14ac:dyDescent="0.25">
      <c r="B262" s="193">
        <v>45415</v>
      </c>
      <c r="C262" s="195">
        <v>22475.85</v>
      </c>
    </row>
    <row r="263" spans="2:3" x14ac:dyDescent="0.25">
      <c r="B263" s="193">
        <v>45414</v>
      </c>
      <c r="C263" s="195">
        <v>22648.2</v>
      </c>
    </row>
    <row r="264" spans="2:3" x14ac:dyDescent="0.25">
      <c r="B264" s="193">
        <v>45412</v>
      </c>
      <c r="C264" s="195">
        <v>22604.85</v>
      </c>
    </row>
    <row r="265" spans="2:3" x14ac:dyDescent="0.25">
      <c r="B265" s="193">
        <v>45411</v>
      </c>
      <c r="C265" s="195">
        <v>22643.4</v>
      </c>
    </row>
    <row r="266" spans="2:3" x14ac:dyDescent="0.25">
      <c r="B266" s="193">
        <v>45408</v>
      </c>
      <c r="C266" s="195">
        <v>22419.95</v>
      </c>
    </row>
    <row r="267" spans="2:3" x14ac:dyDescent="0.25">
      <c r="B267" s="193">
        <v>45407</v>
      </c>
      <c r="C267" s="195">
        <v>22570.35</v>
      </c>
    </row>
    <row r="268" spans="2:3" x14ac:dyDescent="0.25">
      <c r="B268" s="193">
        <v>45406</v>
      </c>
      <c r="C268" s="195">
        <v>22402.400000000001</v>
      </c>
    </row>
    <row r="269" spans="2:3" x14ac:dyDescent="0.25">
      <c r="B269" s="193">
        <v>45405</v>
      </c>
      <c r="C269" s="195">
        <v>22368</v>
      </c>
    </row>
    <row r="270" spans="2:3" x14ac:dyDescent="0.25">
      <c r="B270" s="193">
        <v>45404</v>
      </c>
      <c r="C270" s="195">
        <v>22336.400000000001</v>
      </c>
    </row>
    <row r="271" spans="2:3" x14ac:dyDescent="0.25">
      <c r="B271" s="193">
        <v>45401</v>
      </c>
      <c r="C271" s="195">
        <v>22147</v>
      </c>
    </row>
    <row r="272" spans="2:3" x14ac:dyDescent="0.25">
      <c r="B272" s="193">
        <v>45400</v>
      </c>
      <c r="C272" s="195">
        <v>21995.85</v>
      </c>
    </row>
    <row r="273" spans="2:3" x14ac:dyDescent="0.25">
      <c r="B273" s="193">
        <v>45398</v>
      </c>
      <c r="C273" s="195">
        <v>22147.9</v>
      </c>
    </row>
    <row r="274" spans="2:3" x14ac:dyDescent="0.25">
      <c r="B274" s="193">
        <v>45397</v>
      </c>
      <c r="C274" s="195">
        <v>22272.5</v>
      </c>
    </row>
    <row r="275" spans="2:3" x14ac:dyDescent="0.25">
      <c r="B275" s="193">
        <v>45394</v>
      </c>
      <c r="C275" s="195">
        <v>22519.4</v>
      </c>
    </row>
    <row r="276" spans="2:3" x14ac:dyDescent="0.25">
      <c r="B276" s="193">
        <v>45392</v>
      </c>
      <c r="C276" s="195">
        <v>22753.8</v>
      </c>
    </row>
    <row r="277" spans="2:3" x14ac:dyDescent="0.25">
      <c r="B277" s="193">
        <v>45391</v>
      </c>
      <c r="C277" s="195">
        <v>22642.75</v>
      </c>
    </row>
    <row r="278" spans="2:3" x14ac:dyDescent="0.25">
      <c r="B278" s="193">
        <v>45390</v>
      </c>
      <c r="C278" s="195">
        <v>22666.3</v>
      </c>
    </row>
    <row r="279" spans="2:3" x14ac:dyDescent="0.25">
      <c r="B279" s="193">
        <v>45387</v>
      </c>
      <c r="C279" s="195">
        <v>22513.7</v>
      </c>
    </row>
    <row r="280" spans="2:3" x14ac:dyDescent="0.25">
      <c r="B280" s="193">
        <v>45386</v>
      </c>
      <c r="C280" s="195">
        <v>22514.65</v>
      </c>
    </row>
    <row r="281" spans="2:3" x14ac:dyDescent="0.25">
      <c r="B281" s="193">
        <v>45385</v>
      </c>
      <c r="C281" s="195">
        <v>22434.65</v>
      </c>
    </row>
    <row r="282" spans="2:3" x14ac:dyDescent="0.25">
      <c r="B282" s="193">
        <v>45384</v>
      </c>
      <c r="C282" s="195">
        <v>22453.3</v>
      </c>
    </row>
    <row r="283" spans="2:3" x14ac:dyDescent="0.25">
      <c r="B283" s="193">
        <v>45383</v>
      </c>
      <c r="C283" s="195">
        <v>22462</v>
      </c>
    </row>
    <row r="284" spans="2:3" x14ac:dyDescent="0.25">
      <c r="B284" s="193">
        <v>45379</v>
      </c>
      <c r="C284" s="195">
        <v>22326.9</v>
      </c>
    </row>
    <row r="285" spans="2:3" x14ac:dyDescent="0.25">
      <c r="B285" s="193">
        <v>45378</v>
      </c>
      <c r="C285" s="195">
        <v>22123.65</v>
      </c>
    </row>
    <row r="286" spans="2:3" x14ac:dyDescent="0.25">
      <c r="B286" s="193">
        <v>45377</v>
      </c>
      <c r="C286" s="195">
        <v>22004.7</v>
      </c>
    </row>
    <row r="287" spans="2:3" x14ac:dyDescent="0.25">
      <c r="B287" s="193">
        <v>45373</v>
      </c>
      <c r="C287" s="195">
        <v>22096.75</v>
      </c>
    </row>
    <row r="288" spans="2:3" x14ac:dyDescent="0.25">
      <c r="B288" s="193">
        <v>45372</v>
      </c>
      <c r="C288" s="195">
        <v>22011.95</v>
      </c>
    </row>
    <row r="289" spans="2:3" x14ac:dyDescent="0.25">
      <c r="B289" s="193">
        <v>45371</v>
      </c>
      <c r="C289" s="195">
        <v>21839.1</v>
      </c>
    </row>
    <row r="290" spans="2:3" x14ac:dyDescent="0.25">
      <c r="B290" s="193">
        <v>45370</v>
      </c>
      <c r="C290" s="195">
        <v>21817.45</v>
      </c>
    </row>
    <row r="291" spans="2:3" x14ac:dyDescent="0.25">
      <c r="B291" s="193">
        <v>45369</v>
      </c>
      <c r="C291" s="195">
        <v>22055.7</v>
      </c>
    </row>
    <row r="292" spans="2:3" x14ac:dyDescent="0.25">
      <c r="B292" s="193">
        <v>45366</v>
      </c>
      <c r="C292" s="195">
        <v>22023.35</v>
      </c>
    </row>
    <row r="293" spans="2:3" x14ac:dyDescent="0.25">
      <c r="B293" s="193">
        <v>45365</v>
      </c>
      <c r="C293" s="195">
        <v>22146.65</v>
      </c>
    </row>
    <row r="294" spans="2:3" x14ac:dyDescent="0.25">
      <c r="B294" s="193">
        <v>45364</v>
      </c>
      <c r="C294" s="195">
        <v>21997.7</v>
      </c>
    </row>
    <row r="295" spans="2:3" x14ac:dyDescent="0.25">
      <c r="B295" s="193">
        <v>45363</v>
      </c>
      <c r="C295" s="195">
        <v>22335.7</v>
      </c>
    </row>
    <row r="296" spans="2:3" x14ac:dyDescent="0.25">
      <c r="B296" s="193">
        <v>45362</v>
      </c>
      <c r="C296" s="195">
        <v>22332.65</v>
      </c>
    </row>
    <row r="297" spans="2:3" x14ac:dyDescent="0.25">
      <c r="B297" s="193">
        <v>45358</v>
      </c>
      <c r="C297" s="195">
        <v>22493.55</v>
      </c>
    </row>
    <row r="298" spans="2:3" x14ac:dyDescent="0.25">
      <c r="B298" s="193">
        <v>45357</v>
      </c>
      <c r="C298" s="195">
        <v>22474.05</v>
      </c>
    </row>
    <row r="299" spans="2:3" x14ac:dyDescent="0.25">
      <c r="B299" s="193">
        <v>45356</v>
      </c>
      <c r="C299" s="195">
        <v>22356.3</v>
      </c>
    </row>
    <row r="300" spans="2:3" x14ac:dyDescent="0.25">
      <c r="B300" s="193">
        <v>45355</v>
      </c>
      <c r="C300" s="195">
        <v>22405.599999999999</v>
      </c>
    </row>
    <row r="301" spans="2:3" x14ac:dyDescent="0.25">
      <c r="B301" s="193">
        <v>45353</v>
      </c>
      <c r="C301" s="195">
        <v>22378.400000000001</v>
      </c>
    </row>
    <row r="302" spans="2:3" x14ac:dyDescent="0.25">
      <c r="B302" s="193">
        <v>45352</v>
      </c>
      <c r="C302" s="195">
        <v>22338.75</v>
      </c>
    </row>
    <row r="303" spans="2:3" x14ac:dyDescent="0.25">
      <c r="B303" s="193">
        <v>45351</v>
      </c>
      <c r="C303" s="195">
        <v>21982.799999999999</v>
      </c>
    </row>
    <row r="304" spans="2:3" x14ac:dyDescent="0.25">
      <c r="B304" s="193">
        <v>45350</v>
      </c>
      <c r="C304" s="195">
        <v>21951.15</v>
      </c>
    </row>
    <row r="305" spans="2:3" x14ac:dyDescent="0.25">
      <c r="B305" s="193">
        <v>45349</v>
      </c>
      <c r="C305" s="195">
        <v>22198.35</v>
      </c>
    </row>
    <row r="306" spans="2:3" x14ac:dyDescent="0.25">
      <c r="B306" s="193">
        <v>45348</v>
      </c>
      <c r="C306" s="195">
        <v>22122.05</v>
      </c>
    </row>
    <row r="307" spans="2:3" x14ac:dyDescent="0.25">
      <c r="B307" s="193">
        <v>45345</v>
      </c>
      <c r="C307" s="195">
        <v>22212.7</v>
      </c>
    </row>
    <row r="308" spans="2:3" x14ac:dyDescent="0.25">
      <c r="B308" s="193">
        <v>45344</v>
      </c>
      <c r="C308" s="195">
        <v>22217.45</v>
      </c>
    </row>
    <row r="309" spans="2:3" x14ac:dyDescent="0.25">
      <c r="B309" s="193">
        <v>45343</v>
      </c>
      <c r="C309" s="195">
        <v>22055.05</v>
      </c>
    </row>
    <row r="310" spans="2:3" x14ac:dyDescent="0.25">
      <c r="B310" s="193">
        <v>45342</v>
      </c>
      <c r="C310" s="195">
        <v>22196.95</v>
      </c>
    </row>
    <row r="311" spans="2:3" x14ac:dyDescent="0.25">
      <c r="B311" s="193">
        <v>45341</v>
      </c>
      <c r="C311" s="195">
        <v>22122.25</v>
      </c>
    </row>
    <row r="312" spans="2:3" x14ac:dyDescent="0.25">
      <c r="B312" s="193">
        <v>45338</v>
      </c>
      <c r="C312" s="195">
        <v>22040.7</v>
      </c>
    </row>
    <row r="313" spans="2:3" x14ac:dyDescent="0.25">
      <c r="B313" s="193">
        <v>45337</v>
      </c>
      <c r="C313" s="195">
        <v>21910.75</v>
      </c>
    </row>
    <row r="314" spans="2:3" x14ac:dyDescent="0.25">
      <c r="B314" s="193">
        <v>45336</v>
      </c>
      <c r="C314" s="195">
        <v>21840.05</v>
      </c>
    </row>
    <row r="315" spans="2:3" x14ac:dyDescent="0.25">
      <c r="B315" s="193">
        <v>45335</v>
      </c>
      <c r="C315" s="195">
        <v>21743.25</v>
      </c>
    </row>
    <row r="316" spans="2:3" x14ac:dyDescent="0.25">
      <c r="B316" s="193">
        <v>45334</v>
      </c>
      <c r="C316" s="195">
        <v>21616.05</v>
      </c>
    </row>
    <row r="317" spans="2:3" x14ac:dyDescent="0.25">
      <c r="B317" s="193">
        <v>45331</v>
      </c>
      <c r="C317" s="195">
        <v>21782.5</v>
      </c>
    </row>
    <row r="318" spans="2:3" x14ac:dyDescent="0.25">
      <c r="B318" s="193">
        <v>45330</v>
      </c>
      <c r="C318" s="195">
        <v>21717.95</v>
      </c>
    </row>
    <row r="319" spans="2:3" x14ac:dyDescent="0.25">
      <c r="B319" s="193">
        <v>45329</v>
      </c>
      <c r="C319" s="195">
        <v>21930.5</v>
      </c>
    </row>
    <row r="320" spans="2:3" x14ac:dyDescent="0.25">
      <c r="B320" s="193">
        <v>45328</v>
      </c>
      <c r="C320" s="195">
        <v>21929.4</v>
      </c>
    </row>
    <row r="321" spans="2:3" x14ac:dyDescent="0.25">
      <c r="B321" s="193">
        <v>45327</v>
      </c>
      <c r="C321" s="195">
        <v>21771.7</v>
      </c>
    </row>
    <row r="322" spans="2:3" x14ac:dyDescent="0.25">
      <c r="B322" s="193">
        <v>45324</v>
      </c>
      <c r="C322" s="195">
        <v>21853.8</v>
      </c>
    </row>
    <row r="323" spans="2:3" x14ac:dyDescent="0.25">
      <c r="B323" s="193">
        <v>45323</v>
      </c>
      <c r="C323" s="195">
        <v>21697.45</v>
      </c>
    </row>
    <row r="324" spans="2:3" x14ac:dyDescent="0.25">
      <c r="B324" s="193">
        <v>45322</v>
      </c>
      <c r="C324" s="195">
        <v>21725.7</v>
      </c>
    </row>
    <row r="325" spans="2:3" x14ac:dyDescent="0.25">
      <c r="B325" s="193">
        <v>45321</v>
      </c>
      <c r="C325" s="195">
        <v>21522.1</v>
      </c>
    </row>
    <row r="326" spans="2:3" x14ac:dyDescent="0.25">
      <c r="B326" s="193">
        <v>45320</v>
      </c>
      <c r="C326" s="195">
        <v>21737.599999999999</v>
      </c>
    </row>
    <row r="327" spans="2:3" x14ac:dyDescent="0.25">
      <c r="B327" s="193">
        <v>45316</v>
      </c>
      <c r="C327" s="195">
        <v>21352.6</v>
      </c>
    </row>
    <row r="328" spans="2:3" x14ac:dyDescent="0.25">
      <c r="B328" s="193">
        <v>45315</v>
      </c>
      <c r="C328" s="195">
        <v>21453.95</v>
      </c>
    </row>
    <row r="329" spans="2:3" x14ac:dyDescent="0.25">
      <c r="B329" s="193">
        <v>45314</v>
      </c>
      <c r="C329" s="195">
        <v>21238.799999999999</v>
      </c>
    </row>
    <row r="330" spans="2:3" x14ac:dyDescent="0.25">
      <c r="B330" s="193">
        <v>45311</v>
      </c>
      <c r="C330" s="195">
        <v>21571.8</v>
      </c>
    </row>
    <row r="331" spans="2:3" x14ac:dyDescent="0.25">
      <c r="B331" s="193">
        <v>45310</v>
      </c>
      <c r="C331" s="195">
        <v>21622.400000000001</v>
      </c>
    </row>
    <row r="332" spans="2:3" x14ac:dyDescent="0.25">
      <c r="B332" s="193">
        <v>45309</v>
      </c>
      <c r="C332" s="195">
        <v>21462.25</v>
      </c>
    </row>
    <row r="333" spans="2:3" x14ac:dyDescent="0.25">
      <c r="B333" s="193">
        <v>45308</v>
      </c>
      <c r="C333" s="195">
        <v>21571.95</v>
      </c>
    </row>
    <row r="334" spans="2:3" x14ac:dyDescent="0.25">
      <c r="B334" s="193">
        <v>45307</v>
      </c>
      <c r="C334" s="195">
        <v>22032.3</v>
      </c>
    </row>
    <row r="335" spans="2:3" x14ac:dyDescent="0.25">
      <c r="B335" s="193">
        <v>45306</v>
      </c>
      <c r="C335" s="195">
        <v>22097.45</v>
      </c>
    </row>
    <row r="336" spans="2:3" x14ac:dyDescent="0.25">
      <c r="B336" s="193">
        <v>45303</v>
      </c>
      <c r="C336" s="195">
        <v>21894.55</v>
      </c>
    </row>
    <row r="337" spans="2:3" x14ac:dyDescent="0.25">
      <c r="B337" s="193">
        <v>45302</v>
      </c>
      <c r="C337" s="195">
        <v>21647.200000000001</v>
      </c>
    </row>
    <row r="338" spans="2:3" x14ac:dyDescent="0.25">
      <c r="B338" s="193">
        <v>45301</v>
      </c>
      <c r="C338" s="195">
        <v>21618.7</v>
      </c>
    </row>
    <row r="339" spans="2:3" x14ac:dyDescent="0.25">
      <c r="B339" s="193">
        <v>45300</v>
      </c>
      <c r="C339" s="195">
        <v>21544.85</v>
      </c>
    </row>
    <row r="340" spans="2:3" x14ac:dyDescent="0.25">
      <c r="B340" s="193">
        <v>45299</v>
      </c>
      <c r="C340" s="195">
        <v>21513</v>
      </c>
    </row>
    <row r="341" spans="2:3" x14ac:dyDescent="0.25">
      <c r="B341" s="193">
        <v>45296</v>
      </c>
      <c r="C341" s="195">
        <v>21710.799999999999</v>
      </c>
    </row>
    <row r="342" spans="2:3" x14ac:dyDescent="0.25">
      <c r="B342" s="193">
        <v>45295</v>
      </c>
      <c r="C342" s="195">
        <v>21658.6</v>
      </c>
    </row>
    <row r="343" spans="2:3" x14ac:dyDescent="0.25">
      <c r="B343" s="193">
        <v>45294</v>
      </c>
      <c r="C343" s="195">
        <v>21517.35</v>
      </c>
    </row>
    <row r="344" spans="2:3" x14ac:dyDescent="0.25">
      <c r="B344" s="193">
        <v>45293</v>
      </c>
      <c r="C344" s="195">
        <v>21665.8</v>
      </c>
    </row>
    <row r="345" spans="2:3" x14ac:dyDescent="0.25">
      <c r="B345" s="193">
        <v>45292</v>
      </c>
      <c r="C345" s="195">
        <v>21741.9</v>
      </c>
    </row>
    <row r="346" spans="2:3" x14ac:dyDescent="0.25">
      <c r="B346" s="193">
        <v>45289</v>
      </c>
      <c r="C346" s="195">
        <v>21731.4</v>
      </c>
    </row>
    <row r="347" spans="2:3" x14ac:dyDescent="0.25">
      <c r="B347" s="193">
        <v>45288</v>
      </c>
      <c r="C347" s="195">
        <v>21778.7</v>
      </c>
    </row>
    <row r="348" spans="2:3" x14ac:dyDescent="0.25">
      <c r="B348" s="193">
        <v>45287</v>
      </c>
      <c r="C348" s="195">
        <v>21654.75</v>
      </c>
    </row>
    <row r="349" spans="2:3" x14ac:dyDescent="0.25">
      <c r="B349" s="193">
        <v>45286</v>
      </c>
      <c r="C349" s="195">
        <v>21441.35</v>
      </c>
    </row>
    <row r="350" spans="2:3" x14ac:dyDescent="0.25">
      <c r="B350" s="193">
        <v>45282</v>
      </c>
      <c r="C350" s="195">
        <v>21349.4</v>
      </c>
    </row>
    <row r="351" spans="2:3" x14ac:dyDescent="0.25">
      <c r="B351" s="193">
        <v>45281</v>
      </c>
      <c r="C351" s="195">
        <v>21255.05</v>
      </c>
    </row>
    <row r="352" spans="2:3" x14ac:dyDescent="0.25">
      <c r="B352" s="193">
        <v>45280</v>
      </c>
      <c r="C352" s="195">
        <v>21150.15</v>
      </c>
    </row>
    <row r="353" spans="2:3" x14ac:dyDescent="0.25">
      <c r="B353" s="193">
        <v>45279</v>
      </c>
      <c r="C353" s="195">
        <v>21453.1</v>
      </c>
    </row>
    <row r="354" spans="2:3" x14ac:dyDescent="0.25">
      <c r="B354" s="193">
        <v>45278</v>
      </c>
      <c r="C354" s="195">
        <v>21418.65</v>
      </c>
    </row>
    <row r="355" spans="2:3" x14ac:dyDescent="0.25">
      <c r="B355" s="193">
        <v>45275</v>
      </c>
      <c r="C355" s="195">
        <v>21456.65</v>
      </c>
    </row>
    <row r="356" spans="2:3" x14ac:dyDescent="0.25">
      <c r="B356" s="193">
        <v>45274</v>
      </c>
      <c r="C356" s="195">
        <v>21182.7</v>
      </c>
    </row>
    <row r="357" spans="2:3" x14ac:dyDescent="0.25">
      <c r="B357" s="193">
        <v>45273</v>
      </c>
      <c r="C357" s="195">
        <v>20926.349999999999</v>
      </c>
    </row>
    <row r="358" spans="2:3" x14ac:dyDescent="0.25">
      <c r="B358" s="193">
        <v>45272</v>
      </c>
      <c r="C358" s="195">
        <v>20906.400000000001</v>
      </c>
    </row>
    <row r="359" spans="2:3" x14ac:dyDescent="0.25">
      <c r="B359" s="193">
        <v>45271</v>
      </c>
      <c r="C359" s="195">
        <v>20997.1</v>
      </c>
    </row>
    <row r="360" spans="2:3" x14ac:dyDescent="0.25">
      <c r="B360" s="193">
        <v>45268</v>
      </c>
      <c r="C360" s="195">
        <v>20969.400000000001</v>
      </c>
    </row>
    <row r="361" spans="2:3" x14ac:dyDescent="0.25">
      <c r="B361" s="193">
        <v>45267</v>
      </c>
      <c r="C361" s="195">
        <v>20901.150000000001</v>
      </c>
    </row>
    <row r="362" spans="2:3" x14ac:dyDescent="0.25">
      <c r="B362" s="193">
        <v>45266</v>
      </c>
      <c r="C362" s="195">
        <v>20937.7</v>
      </c>
    </row>
    <row r="363" spans="2:3" x14ac:dyDescent="0.25">
      <c r="B363" s="193">
        <v>45265</v>
      </c>
      <c r="C363" s="195">
        <v>20855.099999999999</v>
      </c>
    </row>
    <row r="364" spans="2:3" x14ac:dyDescent="0.25">
      <c r="B364" s="193">
        <v>45264</v>
      </c>
      <c r="C364" s="195">
        <v>20686.8</v>
      </c>
    </row>
    <row r="365" spans="2:3" x14ac:dyDescent="0.25">
      <c r="B365" s="193">
        <v>45261</v>
      </c>
      <c r="C365" s="195">
        <v>20267.900000000001</v>
      </c>
    </row>
    <row r="366" spans="2:3" x14ac:dyDescent="0.25">
      <c r="B366" s="193">
        <v>45260</v>
      </c>
      <c r="C366" s="195">
        <v>20133.150000000001</v>
      </c>
    </row>
    <row r="367" spans="2:3" x14ac:dyDescent="0.25">
      <c r="B367" s="193">
        <v>45259</v>
      </c>
      <c r="C367" s="195">
        <v>20096.599999999999</v>
      </c>
    </row>
    <row r="368" spans="2:3" x14ac:dyDescent="0.25">
      <c r="B368" s="193">
        <v>45258</v>
      </c>
      <c r="C368" s="195">
        <v>19889.7</v>
      </c>
    </row>
    <row r="369" spans="2:3" x14ac:dyDescent="0.25">
      <c r="B369" s="193">
        <v>45254</v>
      </c>
      <c r="C369" s="195">
        <v>19794.7</v>
      </c>
    </row>
    <row r="370" spans="2:3" x14ac:dyDescent="0.25">
      <c r="B370" s="193">
        <v>45253</v>
      </c>
      <c r="C370" s="195">
        <v>19802</v>
      </c>
    </row>
    <row r="371" spans="2:3" x14ac:dyDescent="0.25">
      <c r="B371" s="193">
        <v>45252</v>
      </c>
      <c r="C371" s="195">
        <v>19811.849999999999</v>
      </c>
    </row>
    <row r="372" spans="2:3" x14ac:dyDescent="0.25">
      <c r="B372" s="193">
        <v>45251</v>
      </c>
      <c r="C372" s="195">
        <v>19783.400000000001</v>
      </c>
    </row>
    <row r="373" spans="2:3" x14ac:dyDescent="0.25">
      <c r="B373" s="193">
        <v>45250</v>
      </c>
      <c r="C373" s="195">
        <v>19694</v>
      </c>
    </row>
    <row r="374" spans="2:3" x14ac:dyDescent="0.25">
      <c r="B374" s="193">
        <v>45247</v>
      </c>
      <c r="C374" s="195">
        <v>19731.8</v>
      </c>
    </row>
    <row r="375" spans="2:3" x14ac:dyDescent="0.25">
      <c r="B375" s="193">
        <v>45246</v>
      </c>
      <c r="C375" s="195">
        <v>19765.2</v>
      </c>
    </row>
    <row r="376" spans="2:3" x14ac:dyDescent="0.25">
      <c r="B376" s="193">
        <v>45245</v>
      </c>
      <c r="C376" s="195">
        <v>19675.45</v>
      </c>
    </row>
    <row r="377" spans="2:3" x14ac:dyDescent="0.25">
      <c r="B377" s="193">
        <v>45243</v>
      </c>
      <c r="C377" s="195">
        <v>19443.55</v>
      </c>
    </row>
    <row r="378" spans="2:3" x14ac:dyDescent="0.25">
      <c r="B378" s="193">
        <v>45242</v>
      </c>
      <c r="C378" s="195">
        <v>19525.55</v>
      </c>
    </row>
    <row r="379" spans="2:3" x14ac:dyDescent="0.25">
      <c r="B379" s="193">
        <v>45240</v>
      </c>
      <c r="C379" s="195">
        <v>19425.349999999999</v>
      </c>
    </row>
    <row r="380" spans="2:3" x14ac:dyDescent="0.25">
      <c r="B380" s="193">
        <v>45239</v>
      </c>
      <c r="C380" s="195">
        <v>19395.3</v>
      </c>
    </row>
    <row r="381" spans="2:3" x14ac:dyDescent="0.25">
      <c r="B381" s="193">
        <v>45238</v>
      </c>
      <c r="C381" s="195">
        <v>19443.5</v>
      </c>
    </row>
    <row r="382" spans="2:3" x14ac:dyDescent="0.25">
      <c r="B382" s="193">
        <v>45237</v>
      </c>
      <c r="C382" s="195">
        <v>19406.7</v>
      </c>
    </row>
    <row r="383" spans="2:3" x14ac:dyDescent="0.25">
      <c r="B383" s="193">
        <v>45236</v>
      </c>
      <c r="C383" s="195">
        <v>19411.75</v>
      </c>
    </row>
    <row r="384" spans="2:3" x14ac:dyDescent="0.25">
      <c r="B384" s="193">
        <v>45233</v>
      </c>
      <c r="C384" s="195">
        <v>19230.599999999999</v>
      </c>
    </row>
    <row r="385" spans="2:3" x14ac:dyDescent="0.25">
      <c r="B385" s="193">
        <v>45232</v>
      </c>
      <c r="C385" s="195">
        <v>19133.25</v>
      </c>
    </row>
    <row r="386" spans="2:3" x14ac:dyDescent="0.25">
      <c r="B386" s="193">
        <v>45231</v>
      </c>
      <c r="C386" s="195">
        <v>18989.150000000001</v>
      </c>
    </row>
    <row r="387" spans="2:3" x14ac:dyDescent="0.25">
      <c r="B387" s="193">
        <v>45230</v>
      </c>
      <c r="C387" s="195">
        <v>19079.599999999999</v>
      </c>
    </row>
    <row r="388" spans="2:3" x14ac:dyDescent="0.25">
      <c r="B388" s="193">
        <v>45229</v>
      </c>
      <c r="C388" s="195">
        <v>19140.900000000001</v>
      </c>
    </row>
    <row r="389" spans="2:3" x14ac:dyDescent="0.25">
      <c r="B389" s="193">
        <v>45226</v>
      </c>
      <c r="C389" s="195">
        <v>19047.25</v>
      </c>
    </row>
    <row r="390" spans="2:3" x14ac:dyDescent="0.25">
      <c r="B390" s="193">
        <v>45225</v>
      </c>
      <c r="C390" s="195">
        <v>18857.25</v>
      </c>
    </row>
    <row r="391" spans="2:3" x14ac:dyDescent="0.25">
      <c r="B391" s="193">
        <v>45224</v>
      </c>
      <c r="C391" s="195">
        <v>19122.150000000001</v>
      </c>
    </row>
    <row r="392" spans="2:3" x14ac:dyDescent="0.25">
      <c r="B392" s="193">
        <v>45222</v>
      </c>
      <c r="C392" s="195">
        <v>19281.75</v>
      </c>
    </row>
    <row r="393" spans="2:3" x14ac:dyDescent="0.25">
      <c r="B393" s="193">
        <v>45219</v>
      </c>
      <c r="C393" s="195">
        <v>19542.650000000001</v>
      </c>
    </row>
    <row r="394" spans="2:3" x14ac:dyDescent="0.25">
      <c r="B394" s="193">
        <v>45218</v>
      </c>
      <c r="C394" s="195">
        <v>19624.7</v>
      </c>
    </row>
    <row r="395" spans="2:3" x14ac:dyDescent="0.25">
      <c r="B395" s="193">
        <v>45217</v>
      </c>
      <c r="C395" s="195">
        <v>19671.099999999999</v>
      </c>
    </row>
    <row r="396" spans="2:3" x14ac:dyDescent="0.25">
      <c r="B396" s="193">
        <v>45216</v>
      </c>
      <c r="C396" s="195">
        <v>19811.5</v>
      </c>
    </row>
    <row r="397" spans="2:3" x14ac:dyDescent="0.25">
      <c r="B397" s="193">
        <v>45215</v>
      </c>
      <c r="C397" s="195">
        <v>19731.75</v>
      </c>
    </row>
    <row r="398" spans="2:3" x14ac:dyDescent="0.25">
      <c r="B398" s="193">
        <v>45212</v>
      </c>
      <c r="C398" s="195">
        <v>19751.05</v>
      </c>
    </row>
    <row r="399" spans="2:3" x14ac:dyDescent="0.25">
      <c r="B399" s="193">
        <v>45211</v>
      </c>
      <c r="C399" s="195">
        <v>19794</v>
      </c>
    </row>
    <row r="400" spans="2:3" x14ac:dyDescent="0.25">
      <c r="B400" s="193">
        <v>45210</v>
      </c>
      <c r="C400" s="195">
        <v>19811.349999999999</v>
      </c>
    </row>
    <row r="401" spans="2:3" x14ac:dyDescent="0.25">
      <c r="B401" s="193">
        <v>45209</v>
      </c>
      <c r="C401" s="195">
        <v>19689.849999999999</v>
      </c>
    </row>
    <row r="402" spans="2:3" x14ac:dyDescent="0.25">
      <c r="B402" s="193">
        <v>45208</v>
      </c>
      <c r="C402" s="195">
        <v>19512.349999999999</v>
      </c>
    </row>
    <row r="403" spans="2:3" x14ac:dyDescent="0.25">
      <c r="B403" s="193">
        <v>45205</v>
      </c>
      <c r="C403" s="195">
        <v>19653.5</v>
      </c>
    </row>
    <row r="404" spans="2:3" x14ac:dyDescent="0.25">
      <c r="B404" s="193">
        <v>45204</v>
      </c>
      <c r="C404" s="195">
        <v>19545.75</v>
      </c>
    </row>
    <row r="405" spans="2:3" x14ac:dyDescent="0.25">
      <c r="B405" s="193">
        <v>45203</v>
      </c>
      <c r="C405" s="195">
        <v>19436.099999999999</v>
      </c>
    </row>
    <row r="406" spans="2:3" x14ac:dyDescent="0.25">
      <c r="B406" s="193">
        <v>45202</v>
      </c>
      <c r="C406" s="195">
        <v>19528.75</v>
      </c>
    </row>
    <row r="407" spans="2:3" x14ac:dyDescent="0.25">
      <c r="B407" s="193">
        <v>45198</v>
      </c>
      <c r="C407" s="195">
        <v>19638.3</v>
      </c>
    </row>
    <row r="408" spans="2:3" x14ac:dyDescent="0.25">
      <c r="B408" s="193">
        <v>45197</v>
      </c>
      <c r="C408" s="195">
        <v>19523.55</v>
      </c>
    </row>
    <row r="409" spans="2:3" x14ac:dyDescent="0.25">
      <c r="B409" s="193">
        <v>45196</v>
      </c>
      <c r="C409" s="195">
        <v>19716.45</v>
      </c>
    </row>
    <row r="410" spans="2:3" x14ac:dyDescent="0.25">
      <c r="B410" s="193">
        <v>45195</v>
      </c>
      <c r="C410" s="195">
        <v>19664.7</v>
      </c>
    </row>
    <row r="411" spans="2:3" x14ac:dyDescent="0.25">
      <c r="B411" s="193">
        <v>45194</v>
      </c>
      <c r="C411" s="195">
        <v>19674.55</v>
      </c>
    </row>
    <row r="412" spans="2:3" x14ac:dyDescent="0.25">
      <c r="B412" s="193">
        <v>45191</v>
      </c>
      <c r="C412" s="195">
        <v>19674.25</v>
      </c>
    </row>
    <row r="413" spans="2:3" x14ac:dyDescent="0.25">
      <c r="B413" s="193">
        <v>45190</v>
      </c>
      <c r="C413" s="195">
        <v>19742.349999999999</v>
      </c>
    </row>
    <row r="414" spans="2:3" x14ac:dyDescent="0.25">
      <c r="B414" s="193">
        <v>45189</v>
      </c>
      <c r="C414" s="195">
        <v>19901.400000000001</v>
      </c>
    </row>
    <row r="415" spans="2:3" x14ac:dyDescent="0.25">
      <c r="B415" s="193">
        <v>45187</v>
      </c>
      <c r="C415" s="195">
        <v>20133.3</v>
      </c>
    </row>
    <row r="416" spans="2:3" x14ac:dyDescent="0.25">
      <c r="B416" s="193">
        <v>45184</v>
      </c>
      <c r="C416" s="195">
        <v>20192.349999999999</v>
      </c>
    </row>
    <row r="417" spans="2:3" x14ac:dyDescent="0.25">
      <c r="B417" s="193">
        <v>45183</v>
      </c>
      <c r="C417" s="195">
        <v>20103.099999999999</v>
      </c>
    </row>
    <row r="418" spans="2:3" x14ac:dyDescent="0.25">
      <c r="B418" s="193">
        <v>45182</v>
      </c>
      <c r="C418" s="195">
        <v>20070</v>
      </c>
    </row>
    <row r="419" spans="2:3" x14ac:dyDescent="0.25">
      <c r="B419" s="193">
        <v>45181</v>
      </c>
      <c r="C419" s="195">
        <v>19993.2</v>
      </c>
    </row>
    <row r="420" spans="2:3" x14ac:dyDescent="0.25">
      <c r="B420" s="193">
        <v>45180</v>
      </c>
      <c r="C420" s="195">
        <v>19996.349999999999</v>
      </c>
    </row>
    <row r="421" spans="2:3" x14ac:dyDescent="0.25">
      <c r="B421" s="193">
        <v>45177</v>
      </c>
      <c r="C421" s="195">
        <v>19819.95</v>
      </c>
    </row>
    <row r="422" spans="2:3" x14ac:dyDescent="0.25">
      <c r="B422" s="193">
        <v>45176</v>
      </c>
      <c r="C422" s="195">
        <v>19727.05</v>
      </c>
    </row>
    <row r="423" spans="2:3" x14ac:dyDescent="0.25">
      <c r="B423" s="193">
        <v>45175</v>
      </c>
      <c r="C423" s="195">
        <v>19611.05</v>
      </c>
    </row>
    <row r="424" spans="2:3" x14ac:dyDescent="0.25">
      <c r="B424" s="193">
        <v>45174</v>
      </c>
      <c r="C424" s="195">
        <v>19574.900000000001</v>
      </c>
    </row>
    <row r="425" spans="2:3" x14ac:dyDescent="0.25">
      <c r="B425" s="193">
        <v>45173</v>
      </c>
      <c r="C425" s="195">
        <v>19528.8</v>
      </c>
    </row>
    <row r="426" spans="2:3" x14ac:dyDescent="0.25">
      <c r="B426" s="193">
        <v>45170</v>
      </c>
      <c r="C426" s="195">
        <v>19435.3</v>
      </c>
    </row>
    <row r="427" spans="2:3" x14ac:dyDescent="0.25">
      <c r="B427" s="193">
        <v>45169</v>
      </c>
      <c r="C427" s="195">
        <v>19253.8</v>
      </c>
    </row>
    <row r="428" spans="2:3" x14ac:dyDescent="0.25">
      <c r="B428" s="193">
        <v>45168</v>
      </c>
      <c r="C428" s="195">
        <v>19347.45</v>
      </c>
    </row>
    <row r="429" spans="2:3" x14ac:dyDescent="0.25">
      <c r="B429" s="193">
        <v>45167</v>
      </c>
      <c r="C429" s="195">
        <v>19342.650000000001</v>
      </c>
    </row>
    <row r="430" spans="2:3" x14ac:dyDescent="0.25">
      <c r="B430" s="193">
        <v>45166</v>
      </c>
      <c r="C430" s="195">
        <v>19306.05</v>
      </c>
    </row>
    <row r="431" spans="2:3" x14ac:dyDescent="0.25">
      <c r="B431" s="193">
        <v>45163</v>
      </c>
      <c r="C431" s="195">
        <v>19265.8</v>
      </c>
    </row>
    <row r="432" spans="2:3" x14ac:dyDescent="0.25">
      <c r="B432" s="193">
        <v>45162</v>
      </c>
      <c r="C432" s="195">
        <v>19386.7</v>
      </c>
    </row>
    <row r="433" spans="2:3" x14ac:dyDescent="0.25">
      <c r="B433" s="193">
        <v>45161</v>
      </c>
      <c r="C433" s="195">
        <v>19444</v>
      </c>
    </row>
    <row r="434" spans="2:3" x14ac:dyDescent="0.25">
      <c r="B434" s="193">
        <v>45160</v>
      </c>
      <c r="C434" s="195">
        <v>19396.45</v>
      </c>
    </row>
    <row r="435" spans="2:3" x14ac:dyDescent="0.25">
      <c r="B435" s="193">
        <v>45159</v>
      </c>
      <c r="C435" s="195">
        <v>19393.599999999999</v>
      </c>
    </row>
    <row r="436" spans="2:3" x14ac:dyDescent="0.25">
      <c r="B436" s="193">
        <v>45156</v>
      </c>
      <c r="C436" s="195">
        <v>19310.150000000001</v>
      </c>
    </row>
    <row r="437" spans="2:3" x14ac:dyDescent="0.25">
      <c r="B437" s="193">
        <v>45155</v>
      </c>
      <c r="C437" s="195">
        <v>19365.25</v>
      </c>
    </row>
    <row r="438" spans="2:3" x14ac:dyDescent="0.25">
      <c r="B438" s="193">
        <v>45154</v>
      </c>
      <c r="C438" s="195">
        <v>19465</v>
      </c>
    </row>
    <row r="439" spans="2:3" x14ac:dyDescent="0.25">
      <c r="B439" s="193">
        <v>45152</v>
      </c>
      <c r="C439" s="195">
        <v>19434.55</v>
      </c>
    </row>
    <row r="440" spans="2:3" x14ac:dyDescent="0.25">
      <c r="B440" s="193">
        <v>45149</v>
      </c>
      <c r="C440" s="195">
        <v>19428.3</v>
      </c>
    </row>
    <row r="441" spans="2:3" x14ac:dyDescent="0.25">
      <c r="B441" s="193">
        <v>45148</v>
      </c>
      <c r="C441" s="195">
        <v>19543.099999999999</v>
      </c>
    </row>
    <row r="442" spans="2:3" x14ac:dyDescent="0.25">
      <c r="B442" s="193">
        <v>45147</v>
      </c>
      <c r="C442" s="195">
        <v>19632.55</v>
      </c>
    </row>
    <row r="443" spans="2:3" x14ac:dyDescent="0.25">
      <c r="B443" s="193">
        <v>45146</v>
      </c>
      <c r="C443" s="195">
        <v>19570.849999999999</v>
      </c>
    </row>
    <row r="444" spans="2:3" x14ac:dyDescent="0.25">
      <c r="B444" s="193">
        <v>45145</v>
      </c>
      <c r="C444" s="195">
        <v>19597.3</v>
      </c>
    </row>
    <row r="445" spans="2:3" x14ac:dyDescent="0.25">
      <c r="B445" s="193">
        <v>45142</v>
      </c>
      <c r="C445" s="195">
        <v>19517</v>
      </c>
    </row>
    <row r="446" spans="2:3" x14ac:dyDescent="0.25">
      <c r="B446" s="193">
        <v>45141</v>
      </c>
      <c r="C446" s="195">
        <v>19381.650000000001</v>
      </c>
    </row>
    <row r="447" spans="2:3" x14ac:dyDescent="0.25">
      <c r="B447" s="193">
        <v>45140</v>
      </c>
      <c r="C447" s="195">
        <v>19526.55</v>
      </c>
    </row>
    <row r="448" spans="2:3" x14ac:dyDescent="0.25">
      <c r="B448" s="193">
        <v>45139</v>
      </c>
      <c r="C448" s="195">
        <v>19733.55</v>
      </c>
    </row>
    <row r="449" spans="2:3" x14ac:dyDescent="0.25">
      <c r="B449" s="193">
        <v>45138</v>
      </c>
      <c r="C449" s="195">
        <v>19753.8</v>
      </c>
    </row>
    <row r="450" spans="2:3" x14ac:dyDescent="0.25">
      <c r="B450" s="193">
        <v>45135</v>
      </c>
      <c r="C450" s="195">
        <v>19646.05</v>
      </c>
    </row>
    <row r="451" spans="2:3" x14ac:dyDescent="0.25">
      <c r="B451" s="193">
        <v>45134</v>
      </c>
      <c r="C451" s="195">
        <v>19659.900000000001</v>
      </c>
    </row>
    <row r="452" spans="2:3" x14ac:dyDescent="0.25">
      <c r="B452" s="193">
        <v>45133</v>
      </c>
      <c r="C452" s="195">
        <v>19778.3</v>
      </c>
    </row>
    <row r="453" spans="2:3" x14ac:dyDescent="0.25">
      <c r="B453" s="193">
        <v>45132</v>
      </c>
      <c r="C453" s="195">
        <v>19680.599999999999</v>
      </c>
    </row>
    <row r="454" spans="2:3" x14ac:dyDescent="0.25">
      <c r="B454" s="193">
        <v>45131</v>
      </c>
      <c r="C454" s="195">
        <v>19672.349999999999</v>
      </c>
    </row>
    <row r="455" spans="2:3" x14ac:dyDescent="0.25">
      <c r="B455" s="193">
        <v>45128</v>
      </c>
      <c r="C455" s="195">
        <v>19745</v>
      </c>
    </row>
    <row r="456" spans="2:3" x14ac:dyDescent="0.25">
      <c r="B456" s="193">
        <v>45127</v>
      </c>
      <c r="C456" s="195">
        <v>19979.150000000001</v>
      </c>
    </row>
    <row r="457" spans="2:3" x14ac:dyDescent="0.25">
      <c r="B457" s="193">
        <v>45126</v>
      </c>
      <c r="C457" s="195">
        <v>19833.150000000001</v>
      </c>
    </row>
    <row r="458" spans="2:3" x14ac:dyDescent="0.25">
      <c r="B458" s="193">
        <v>45125</v>
      </c>
      <c r="C458" s="195">
        <v>19749.25</v>
      </c>
    </row>
    <row r="459" spans="2:3" x14ac:dyDescent="0.25">
      <c r="B459" s="193">
        <v>45124</v>
      </c>
      <c r="C459" s="195">
        <v>19711.45</v>
      </c>
    </row>
    <row r="460" spans="2:3" x14ac:dyDescent="0.25">
      <c r="B460" s="193">
        <v>45121</v>
      </c>
      <c r="C460" s="195">
        <v>19564.5</v>
      </c>
    </row>
    <row r="461" spans="2:3" x14ac:dyDescent="0.25">
      <c r="B461" s="193">
        <v>45120</v>
      </c>
      <c r="C461" s="195">
        <v>19413.75</v>
      </c>
    </row>
    <row r="462" spans="2:3" x14ac:dyDescent="0.25">
      <c r="B462" s="193">
        <v>45119</v>
      </c>
      <c r="C462" s="195">
        <v>19384.3</v>
      </c>
    </row>
    <row r="463" spans="2:3" x14ac:dyDescent="0.25">
      <c r="B463" s="193">
        <v>45118</v>
      </c>
      <c r="C463" s="195">
        <v>19439.400000000001</v>
      </c>
    </row>
    <row r="464" spans="2:3" x14ac:dyDescent="0.25">
      <c r="B464" s="193">
        <v>45117</v>
      </c>
      <c r="C464" s="195">
        <v>19355.900000000001</v>
      </c>
    </row>
    <row r="465" spans="2:3" x14ac:dyDescent="0.25">
      <c r="B465" s="193">
        <v>45114</v>
      </c>
      <c r="C465" s="195">
        <v>19331.8</v>
      </c>
    </row>
    <row r="466" spans="2:3" x14ac:dyDescent="0.25">
      <c r="B466" s="193">
        <v>45113</v>
      </c>
      <c r="C466" s="195">
        <v>19497.3</v>
      </c>
    </row>
    <row r="467" spans="2:3" x14ac:dyDescent="0.25">
      <c r="B467" s="193">
        <v>45112</v>
      </c>
      <c r="C467" s="195">
        <v>19398.5</v>
      </c>
    </row>
    <row r="468" spans="2:3" x14ac:dyDescent="0.25">
      <c r="B468" s="193">
        <v>45111</v>
      </c>
      <c r="C468" s="195">
        <v>19389</v>
      </c>
    </row>
    <row r="469" spans="2:3" x14ac:dyDescent="0.25">
      <c r="B469" s="193">
        <v>45110</v>
      </c>
      <c r="C469" s="195">
        <v>19322.55</v>
      </c>
    </row>
    <row r="470" spans="2:3" x14ac:dyDescent="0.25">
      <c r="B470" s="193">
        <v>45107</v>
      </c>
      <c r="C470" s="195">
        <v>19189.05</v>
      </c>
    </row>
    <row r="471" spans="2:3" x14ac:dyDescent="0.25">
      <c r="B471" s="193">
        <v>45105</v>
      </c>
      <c r="C471" s="195">
        <v>18972.099999999999</v>
      </c>
    </row>
    <row r="472" spans="2:3" x14ac:dyDescent="0.25">
      <c r="B472" s="193">
        <v>45104</v>
      </c>
      <c r="C472" s="195">
        <v>18817.400000000001</v>
      </c>
    </row>
    <row r="473" spans="2:3" x14ac:dyDescent="0.25">
      <c r="B473" s="193">
        <v>45103</v>
      </c>
      <c r="C473" s="195">
        <v>18691.2</v>
      </c>
    </row>
    <row r="474" spans="2:3" x14ac:dyDescent="0.25">
      <c r="B474" s="193">
        <v>45100</v>
      </c>
      <c r="C474" s="195">
        <v>18665.5</v>
      </c>
    </row>
    <row r="475" spans="2:3" x14ac:dyDescent="0.25">
      <c r="B475" s="193">
        <v>45099</v>
      </c>
      <c r="C475" s="195">
        <v>18771.25</v>
      </c>
    </row>
    <row r="476" spans="2:3" x14ac:dyDescent="0.25">
      <c r="B476" s="193">
        <v>45098</v>
      </c>
      <c r="C476" s="195">
        <v>18856.849999999999</v>
      </c>
    </row>
    <row r="477" spans="2:3" x14ac:dyDescent="0.25">
      <c r="B477" s="193">
        <v>45097</v>
      </c>
      <c r="C477" s="195">
        <v>18816.7</v>
      </c>
    </row>
    <row r="478" spans="2:3" x14ac:dyDescent="0.25">
      <c r="B478" s="193">
        <v>45096</v>
      </c>
      <c r="C478" s="195">
        <v>18755.45</v>
      </c>
    </row>
    <row r="479" spans="2:3" x14ac:dyDescent="0.25">
      <c r="B479" s="193">
        <v>45093</v>
      </c>
      <c r="C479" s="195">
        <v>18826</v>
      </c>
    </row>
    <row r="480" spans="2:3" x14ac:dyDescent="0.25">
      <c r="B480" s="193">
        <v>45092</v>
      </c>
      <c r="C480" s="195">
        <v>18688.099999999999</v>
      </c>
    </row>
    <row r="481" spans="2:3" x14ac:dyDescent="0.25">
      <c r="B481" s="193">
        <v>45091</v>
      </c>
      <c r="C481" s="195">
        <v>18755.900000000001</v>
      </c>
    </row>
    <row r="482" spans="2:3" x14ac:dyDescent="0.25">
      <c r="B482" s="193">
        <v>45090</v>
      </c>
      <c r="C482" s="195">
        <v>18716.150000000001</v>
      </c>
    </row>
    <row r="483" spans="2:3" x14ac:dyDescent="0.25">
      <c r="B483" s="193">
        <v>45089</v>
      </c>
      <c r="C483" s="195">
        <v>18601.5</v>
      </c>
    </row>
    <row r="484" spans="2:3" x14ac:dyDescent="0.25">
      <c r="B484" s="193">
        <v>45086</v>
      </c>
      <c r="C484" s="195">
        <v>18563.400000000001</v>
      </c>
    </row>
    <row r="485" spans="2:3" x14ac:dyDescent="0.25">
      <c r="B485" s="193">
        <v>45085</v>
      </c>
      <c r="C485" s="195">
        <v>18634.55</v>
      </c>
    </row>
    <row r="486" spans="2:3" x14ac:dyDescent="0.25">
      <c r="B486" s="193">
        <v>45084</v>
      </c>
      <c r="C486" s="195">
        <v>18726.400000000001</v>
      </c>
    </row>
    <row r="487" spans="2:3" x14ac:dyDescent="0.25">
      <c r="B487" s="193">
        <v>45083</v>
      </c>
      <c r="C487" s="195">
        <v>18599</v>
      </c>
    </row>
    <row r="488" spans="2:3" x14ac:dyDescent="0.25">
      <c r="B488" s="193">
        <v>45082</v>
      </c>
      <c r="C488" s="195">
        <v>18593.849999999999</v>
      </c>
    </row>
    <row r="489" spans="2:3" x14ac:dyDescent="0.25">
      <c r="B489" s="193">
        <v>45079</v>
      </c>
      <c r="C489" s="195">
        <v>18534.099999999999</v>
      </c>
    </row>
    <row r="490" spans="2:3" x14ac:dyDescent="0.25">
      <c r="B490" s="193">
        <v>45078</v>
      </c>
      <c r="C490" s="195">
        <v>18487.75</v>
      </c>
    </row>
    <row r="491" spans="2:3" x14ac:dyDescent="0.25">
      <c r="B491" s="193">
        <v>45077</v>
      </c>
      <c r="C491" s="195">
        <v>18534.400000000001</v>
      </c>
    </row>
    <row r="492" spans="2:3" x14ac:dyDescent="0.25">
      <c r="B492" s="193">
        <v>45076</v>
      </c>
      <c r="C492" s="195">
        <v>18633.849999999999</v>
      </c>
    </row>
    <row r="493" spans="2:3" x14ac:dyDescent="0.25">
      <c r="B493" s="193">
        <v>45075</v>
      </c>
      <c r="C493" s="195">
        <v>18598.650000000001</v>
      </c>
    </row>
    <row r="494" spans="2:3" x14ac:dyDescent="0.25">
      <c r="B494" s="193">
        <v>45072</v>
      </c>
      <c r="C494" s="195">
        <v>18499.349999999999</v>
      </c>
    </row>
    <row r="495" spans="2:3" x14ac:dyDescent="0.25">
      <c r="B495" s="193">
        <v>45071</v>
      </c>
      <c r="C495" s="195">
        <v>18321.150000000001</v>
      </c>
    </row>
    <row r="496" spans="2:3" x14ac:dyDescent="0.25">
      <c r="B496" s="193">
        <v>45070</v>
      </c>
      <c r="C496" s="195">
        <v>18285.400000000001</v>
      </c>
    </row>
    <row r="497" spans="2:3" x14ac:dyDescent="0.25">
      <c r="B497" s="193">
        <v>45069</v>
      </c>
      <c r="C497" s="195">
        <v>18348</v>
      </c>
    </row>
    <row r="498" spans="2:3" x14ac:dyDescent="0.25">
      <c r="B498" s="193">
        <v>45068</v>
      </c>
      <c r="C498" s="195">
        <v>18314.400000000001</v>
      </c>
    </row>
    <row r="499" spans="2:3" x14ac:dyDescent="0.25">
      <c r="B499" s="193">
        <v>45065</v>
      </c>
      <c r="C499" s="195">
        <v>18203.400000000001</v>
      </c>
    </row>
    <row r="500" spans="2:3" x14ac:dyDescent="0.25">
      <c r="B500" s="193">
        <v>45064</v>
      </c>
      <c r="C500" s="195">
        <v>18129.95</v>
      </c>
    </row>
    <row r="501" spans="2:3" x14ac:dyDescent="0.25">
      <c r="B501" s="193">
        <v>45063</v>
      </c>
      <c r="C501" s="195">
        <v>18181.75</v>
      </c>
    </row>
    <row r="502" spans="2:3" x14ac:dyDescent="0.25">
      <c r="B502" s="193">
        <v>45062</v>
      </c>
      <c r="C502" s="195">
        <v>18286.5</v>
      </c>
    </row>
    <row r="503" spans="2:3" x14ac:dyDescent="0.25">
      <c r="B503" s="193">
        <v>45061</v>
      </c>
      <c r="C503" s="195">
        <v>18398.849999999999</v>
      </c>
    </row>
    <row r="504" spans="2:3" x14ac:dyDescent="0.25">
      <c r="B504" s="193">
        <v>45058</v>
      </c>
      <c r="C504" s="195">
        <v>18314.8</v>
      </c>
    </row>
    <row r="505" spans="2:3" x14ac:dyDescent="0.25">
      <c r="B505" s="193">
        <v>45057</v>
      </c>
      <c r="C505" s="195">
        <v>18297</v>
      </c>
    </row>
    <row r="506" spans="2:3" x14ac:dyDescent="0.25">
      <c r="B506" s="193">
        <v>45056</v>
      </c>
      <c r="C506" s="195">
        <v>18315.099999999999</v>
      </c>
    </row>
    <row r="507" spans="2:3" x14ac:dyDescent="0.25">
      <c r="B507" s="193">
        <v>45055</v>
      </c>
      <c r="C507" s="195">
        <v>18265.95</v>
      </c>
    </row>
    <row r="508" spans="2:3" x14ac:dyDescent="0.25">
      <c r="B508" s="193">
        <v>45054</v>
      </c>
      <c r="C508" s="195">
        <v>18264.400000000001</v>
      </c>
    </row>
    <row r="509" spans="2:3" x14ac:dyDescent="0.25">
      <c r="B509" s="193">
        <v>45051</v>
      </c>
      <c r="C509" s="195">
        <v>18069</v>
      </c>
    </row>
    <row r="510" spans="2:3" x14ac:dyDescent="0.25">
      <c r="B510" s="193">
        <v>45050</v>
      </c>
      <c r="C510" s="195">
        <v>18255.8</v>
      </c>
    </row>
    <row r="511" spans="2:3" x14ac:dyDescent="0.25">
      <c r="B511" s="193">
        <v>45049</v>
      </c>
      <c r="C511" s="195">
        <v>18089.849999999999</v>
      </c>
    </row>
    <row r="512" spans="2:3" x14ac:dyDescent="0.25">
      <c r="B512" s="193">
        <v>45048</v>
      </c>
      <c r="C512" s="195">
        <v>18147.650000000001</v>
      </c>
    </row>
    <row r="513" spans="2:3" x14ac:dyDescent="0.25">
      <c r="B513" s="193">
        <v>45044</v>
      </c>
      <c r="C513" s="195">
        <v>18065</v>
      </c>
    </row>
    <row r="514" spans="2:3" x14ac:dyDescent="0.25">
      <c r="B514" s="193">
        <v>45043</v>
      </c>
      <c r="C514" s="195">
        <v>17915.05</v>
      </c>
    </row>
    <row r="515" spans="2:3" x14ac:dyDescent="0.25">
      <c r="B515" s="193">
        <v>45042</v>
      </c>
      <c r="C515" s="195">
        <v>17813.599999999999</v>
      </c>
    </row>
    <row r="516" spans="2:3" x14ac:dyDescent="0.25">
      <c r="B516" s="193">
        <v>45041</v>
      </c>
      <c r="C516" s="195">
        <v>17769.25</v>
      </c>
    </row>
    <row r="517" spans="2:3" x14ac:dyDescent="0.25">
      <c r="B517" s="193">
        <v>45040</v>
      </c>
      <c r="C517" s="195">
        <v>17743.400000000001</v>
      </c>
    </row>
    <row r="518" spans="2:3" x14ac:dyDescent="0.25">
      <c r="B518" s="193">
        <v>45037</v>
      </c>
      <c r="C518" s="195">
        <v>17624.05</v>
      </c>
    </row>
    <row r="519" spans="2:3" x14ac:dyDescent="0.25">
      <c r="B519" s="193">
        <v>45036</v>
      </c>
      <c r="C519" s="195">
        <v>17624.45</v>
      </c>
    </row>
    <row r="520" spans="2:3" x14ac:dyDescent="0.25">
      <c r="B520" s="193">
        <v>45035</v>
      </c>
      <c r="C520" s="195">
        <v>17618.75</v>
      </c>
    </row>
    <row r="521" spans="2:3" x14ac:dyDescent="0.25">
      <c r="B521" s="193">
        <v>45034</v>
      </c>
      <c r="C521" s="195">
        <v>17660.150000000001</v>
      </c>
    </row>
    <row r="522" spans="2:3" x14ac:dyDescent="0.25">
      <c r="B522" s="193">
        <v>45033</v>
      </c>
      <c r="C522" s="195">
        <v>17706.849999999999</v>
      </c>
    </row>
    <row r="523" spans="2:3" x14ac:dyDescent="0.25">
      <c r="B523" s="193">
        <v>45029</v>
      </c>
      <c r="C523" s="195">
        <v>17828</v>
      </c>
    </row>
    <row r="524" spans="2:3" x14ac:dyDescent="0.25">
      <c r="B524" s="193">
        <v>45028</v>
      </c>
      <c r="C524" s="195">
        <v>17812.400000000001</v>
      </c>
    </row>
    <row r="525" spans="2:3" x14ac:dyDescent="0.25">
      <c r="B525" s="193">
        <v>45027</v>
      </c>
      <c r="C525" s="195">
        <v>17722.3</v>
      </c>
    </row>
    <row r="526" spans="2:3" x14ac:dyDescent="0.25">
      <c r="B526" s="193">
        <v>45026</v>
      </c>
      <c r="C526" s="195">
        <v>17624.05</v>
      </c>
    </row>
    <row r="527" spans="2:3" x14ac:dyDescent="0.25">
      <c r="B527" s="193">
        <v>45022</v>
      </c>
      <c r="C527" s="195">
        <v>17599.150000000001</v>
      </c>
    </row>
    <row r="528" spans="2:3" x14ac:dyDescent="0.25">
      <c r="B528" s="193">
        <v>45021</v>
      </c>
      <c r="C528" s="195">
        <v>17557.05</v>
      </c>
    </row>
    <row r="529" spans="2:3" x14ac:dyDescent="0.25">
      <c r="B529" s="193">
        <v>45019</v>
      </c>
      <c r="C529" s="195">
        <v>17398.05</v>
      </c>
    </row>
    <row r="530" spans="2:3" x14ac:dyDescent="0.25">
      <c r="B530" s="193">
        <v>45016</v>
      </c>
      <c r="C530" s="195">
        <v>17359.75</v>
      </c>
    </row>
    <row r="531" spans="2:3" x14ac:dyDescent="0.25">
      <c r="B531" s="193">
        <v>45014</v>
      </c>
      <c r="C531" s="195">
        <v>17080.7</v>
      </c>
    </row>
    <row r="532" spans="2:3" x14ac:dyDescent="0.25">
      <c r="B532" s="193">
        <v>45013</v>
      </c>
      <c r="C532" s="195">
        <v>16951.7</v>
      </c>
    </row>
    <row r="533" spans="2:3" x14ac:dyDescent="0.25">
      <c r="B533" s="193">
        <v>45012</v>
      </c>
      <c r="C533" s="195">
        <v>16985.7</v>
      </c>
    </row>
    <row r="534" spans="2:3" x14ac:dyDescent="0.25">
      <c r="B534" s="193">
        <v>45009</v>
      </c>
      <c r="C534" s="195">
        <v>16945.05</v>
      </c>
    </row>
    <row r="535" spans="2:3" x14ac:dyDescent="0.25">
      <c r="B535" s="193">
        <v>45008</v>
      </c>
      <c r="C535" s="195">
        <v>17076.900000000001</v>
      </c>
    </row>
    <row r="536" spans="2:3" x14ac:dyDescent="0.25">
      <c r="B536" s="193">
        <v>45007</v>
      </c>
      <c r="C536" s="195">
        <v>17151.900000000001</v>
      </c>
    </row>
    <row r="537" spans="2:3" x14ac:dyDescent="0.25">
      <c r="B537" s="193">
        <v>45006</v>
      </c>
      <c r="C537" s="195">
        <v>17107.5</v>
      </c>
    </row>
    <row r="538" spans="2:3" x14ac:dyDescent="0.25">
      <c r="B538" s="193">
        <v>45005</v>
      </c>
      <c r="C538" s="195">
        <v>16988.400000000001</v>
      </c>
    </row>
    <row r="539" spans="2:3" x14ac:dyDescent="0.25">
      <c r="B539" s="193">
        <v>45002</v>
      </c>
      <c r="C539" s="195">
        <v>17100.05</v>
      </c>
    </row>
    <row r="540" spans="2:3" x14ac:dyDescent="0.25">
      <c r="B540" s="193">
        <v>45001</v>
      </c>
      <c r="C540" s="195">
        <v>16985.599999999999</v>
      </c>
    </row>
    <row r="541" spans="2:3" x14ac:dyDescent="0.25">
      <c r="B541" s="193">
        <v>45000</v>
      </c>
      <c r="C541" s="195">
        <v>16972.150000000001</v>
      </c>
    </row>
    <row r="542" spans="2:3" x14ac:dyDescent="0.25">
      <c r="B542" s="193">
        <v>44999</v>
      </c>
      <c r="C542" s="195">
        <v>17043.3</v>
      </c>
    </row>
    <row r="543" spans="2:3" x14ac:dyDescent="0.25">
      <c r="B543" s="193">
        <v>44998</v>
      </c>
      <c r="C543" s="195">
        <v>17154.3</v>
      </c>
    </row>
    <row r="544" spans="2:3" x14ac:dyDescent="0.25">
      <c r="B544" s="193">
        <v>44995</v>
      </c>
      <c r="C544" s="195">
        <v>17412.900000000001</v>
      </c>
    </row>
    <row r="545" spans="2:3" x14ac:dyDescent="0.25">
      <c r="B545" s="193">
        <v>44994</v>
      </c>
      <c r="C545" s="195">
        <v>17589.599999999999</v>
      </c>
    </row>
    <row r="546" spans="2:3" x14ac:dyDescent="0.25">
      <c r="B546" s="193">
        <v>44993</v>
      </c>
      <c r="C546" s="195">
        <v>17754.400000000001</v>
      </c>
    </row>
    <row r="547" spans="2:3" x14ac:dyDescent="0.25">
      <c r="B547" s="193">
        <v>44991</v>
      </c>
      <c r="C547" s="195">
        <v>17711.45</v>
      </c>
    </row>
    <row r="548" spans="2:3" x14ac:dyDescent="0.25">
      <c r="B548" s="193">
        <v>44988</v>
      </c>
      <c r="C548" s="195">
        <v>17594.349999999999</v>
      </c>
    </row>
    <row r="549" spans="2:3" x14ac:dyDescent="0.25">
      <c r="B549" s="193">
        <v>44987</v>
      </c>
      <c r="C549" s="195">
        <v>17321.900000000001</v>
      </c>
    </row>
    <row r="550" spans="2:3" x14ac:dyDescent="0.25">
      <c r="B550" s="193">
        <v>44986</v>
      </c>
      <c r="C550" s="195">
        <v>17450.900000000001</v>
      </c>
    </row>
    <row r="551" spans="2:3" x14ac:dyDescent="0.25">
      <c r="B551" s="193">
        <v>44985</v>
      </c>
      <c r="C551" s="195">
        <v>17303.95</v>
      </c>
    </row>
    <row r="552" spans="2:3" x14ac:dyDescent="0.25">
      <c r="B552" s="193">
        <v>44984</v>
      </c>
      <c r="C552" s="195">
        <v>17392.7</v>
      </c>
    </row>
    <row r="553" spans="2:3" x14ac:dyDescent="0.25">
      <c r="B553" s="193">
        <v>44981</v>
      </c>
      <c r="C553" s="195">
        <v>17465.8</v>
      </c>
    </row>
    <row r="554" spans="2:3" x14ac:dyDescent="0.25">
      <c r="B554" s="193">
        <v>44980</v>
      </c>
      <c r="C554" s="195">
        <v>17511.25</v>
      </c>
    </row>
    <row r="555" spans="2:3" x14ac:dyDescent="0.25">
      <c r="B555" s="193">
        <v>44979</v>
      </c>
      <c r="C555" s="195">
        <v>17554.3</v>
      </c>
    </row>
    <row r="556" spans="2:3" x14ac:dyDescent="0.25">
      <c r="B556" s="193">
        <v>44978</v>
      </c>
      <c r="C556" s="195">
        <v>17826.7</v>
      </c>
    </row>
    <row r="557" spans="2:3" x14ac:dyDescent="0.25">
      <c r="B557" s="193">
        <v>44977</v>
      </c>
      <c r="C557" s="195">
        <v>17844.599999999999</v>
      </c>
    </row>
    <row r="558" spans="2:3" x14ac:dyDescent="0.25">
      <c r="B558" s="193">
        <v>44974</v>
      </c>
      <c r="C558" s="195">
        <v>17944.2</v>
      </c>
    </row>
    <row r="559" spans="2:3" x14ac:dyDescent="0.25">
      <c r="B559" s="193">
        <v>44973</v>
      </c>
      <c r="C559" s="195">
        <v>18035.849999999999</v>
      </c>
    </row>
    <row r="560" spans="2:3" x14ac:dyDescent="0.25">
      <c r="B560" s="193">
        <v>44972</v>
      </c>
      <c r="C560" s="195">
        <v>18015.849999999999</v>
      </c>
    </row>
    <row r="561" spans="2:3" x14ac:dyDescent="0.25">
      <c r="B561" s="193">
        <v>44971</v>
      </c>
      <c r="C561" s="195">
        <v>17929.849999999999</v>
      </c>
    </row>
    <row r="562" spans="2:3" x14ac:dyDescent="0.25">
      <c r="B562" s="193">
        <v>44970</v>
      </c>
      <c r="C562" s="195">
        <v>17770.900000000001</v>
      </c>
    </row>
    <row r="563" spans="2:3" x14ac:dyDescent="0.25">
      <c r="B563" s="193">
        <v>44967</v>
      </c>
      <c r="C563" s="195">
        <v>17856.5</v>
      </c>
    </row>
    <row r="564" spans="2:3" x14ac:dyDescent="0.25">
      <c r="B564" s="193">
        <v>44966</v>
      </c>
      <c r="C564" s="195">
        <v>17893.45</v>
      </c>
    </row>
    <row r="565" spans="2:3" x14ac:dyDescent="0.25">
      <c r="B565" s="193">
        <v>44965</v>
      </c>
      <c r="C565" s="195">
        <v>17871.7</v>
      </c>
    </row>
    <row r="566" spans="2:3" x14ac:dyDescent="0.25">
      <c r="B566" s="193">
        <v>44964</v>
      </c>
      <c r="C566" s="195">
        <v>17721.5</v>
      </c>
    </row>
    <row r="567" spans="2:3" x14ac:dyDescent="0.25">
      <c r="B567" s="193">
        <v>44963</v>
      </c>
      <c r="C567" s="195">
        <v>17764.599999999999</v>
      </c>
    </row>
    <row r="568" spans="2:3" x14ac:dyDescent="0.25">
      <c r="B568" s="193">
        <v>44960</v>
      </c>
      <c r="C568" s="195">
        <v>17854.05</v>
      </c>
    </row>
    <row r="569" spans="2:3" x14ac:dyDescent="0.25">
      <c r="B569" s="193">
        <v>44959</v>
      </c>
      <c r="C569" s="195">
        <v>17610.400000000001</v>
      </c>
    </row>
    <row r="570" spans="2:3" x14ac:dyDescent="0.25">
      <c r="B570" s="193">
        <v>44958</v>
      </c>
      <c r="C570" s="195">
        <v>17616.3</v>
      </c>
    </row>
    <row r="571" spans="2:3" x14ac:dyDescent="0.25">
      <c r="B571" s="193">
        <v>44957</v>
      </c>
      <c r="C571" s="195">
        <v>17662.150000000001</v>
      </c>
    </row>
    <row r="572" spans="2:3" x14ac:dyDescent="0.25">
      <c r="B572" s="193">
        <v>44956</v>
      </c>
      <c r="C572" s="195">
        <v>17648.95</v>
      </c>
    </row>
    <row r="573" spans="2:3" x14ac:dyDescent="0.25">
      <c r="B573" s="193">
        <v>44953</v>
      </c>
      <c r="C573" s="195">
        <v>17604.349999999999</v>
      </c>
    </row>
    <row r="574" spans="2:3" x14ac:dyDescent="0.25">
      <c r="B574" s="193">
        <v>44951</v>
      </c>
      <c r="C574" s="195">
        <v>17891.95</v>
      </c>
    </row>
    <row r="575" spans="2:3" x14ac:dyDescent="0.25">
      <c r="B575" s="193">
        <v>44950</v>
      </c>
      <c r="C575" s="195">
        <v>18118.3</v>
      </c>
    </row>
    <row r="576" spans="2:3" x14ac:dyDescent="0.25">
      <c r="B576" s="193">
        <v>44949</v>
      </c>
      <c r="C576" s="195">
        <v>18118.55</v>
      </c>
    </row>
    <row r="577" spans="2:3" x14ac:dyDescent="0.25">
      <c r="B577" s="193">
        <v>44946</v>
      </c>
      <c r="C577" s="195">
        <v>18027.650000000001</v>
      </c>
    </row>
    <row r="578" spans="2:3" x14ac:dyDescent="0.25">
      <c r="B578" s="193">
        <v>44945</v>
      </c>
      <c r="C578" s="195">
        <v>18107.849999999999</v>
      </c>
    </row>
    <row r="579" spans="2:3" x14ac:dyDescent="0.25">
      <c r="B579" s="193">
        <v>44944</v>
      </c>
      <c r="C579" s="195">
        <v>18165.349999999999</v>
      </c>
    </row>
    <row r="580" spans="2:3" x14ac:dyDescent="0.25">
      <c r="B580" s="193">
        <v>44943</v>
      </c>
      <c r="C580" s="195">
        <v>18053.3</v>
      </c>
    </row>
    <row r="581" spans="2:3" x14ac:dyDescent="0.25">
      <c r="B581" s="193">
        <v>44942</v>
      </c>
      <c r="C581" s="195">
        <v>17894.849999999999</v>
      </c>
    </row>
    <row r="582" spans="2:3" x14ac:dyDescent="0.25">
      <c r="B582" s="193">
        <v>44939</v>
      </c>
      <c r="C582" s="195">
        <v>17956.599999999999</v>
      </c>
    </row>
    <row r="583" spans="2:3" x14ac:dyDescent="0.25">
      <c r="B583" s="193">
        <v>44938</v>
      </c>
      <c r="C583" s="195">
        <v>17858.2</v>
      </c>
    </row>
    <row r="584" spans="2:3" x14ac:dyDescent="0.25">
      <c r="B584" s="193">
        <v>44937</v>
      </c>
      <c r="C584" s="195">
        <v>17895.7</v>
      </c>
    </row>
    <row r="585" spans="2:3" x14ac:dyDescent="0.25">
      <c r="B585" s="193">
        <v>44936</v>
      </c>
      <c r="C585" s="195">
        <v>17914.150000000001</v>
      </c>
    </row>
    <row r="586" spans="2:3" x14ac:dyDescent="0.25">
      <c r="B586" s="193">
        <v>44935</v>
      </c>
      <c r="C586" s="195">
        <v>18101.2</v>
      </c>
    </row>
    <row r="587" spans="2:3" x14ac:dyDescent="0.25">
      <c r="B587" s="193">
        <v>44932</v>
      </c>
      <c r="C587" s="195">
        <v>17859.45</v>
      </c>
    </row>
    <row r="588" spans="2:3" x14ac:dyDescent="0.25">
      <c r="B588" s="193">
        <v>44931</v>
      </c>
      <c r="C588" s="195">
        <v>17992.150000000001</v>
      </c>
    </row>
    <row r="589" spans="2:3" x14ac:dyDescent="0.25">
      <c r="B589" s="193">
        <v>44930</v>
      </c>
      <c r="C589" s="195">
        <v>18042.95</v>
      </c>
    </row>
    <row r="590" spans="2:3" x14ac:dyDescent="0.25">
      <c r="B590" s="193">
        <v>44929</v>
      </c>
      <c r="C590" s="195">
        <v>18232.55</v>
      </c>
    </row>
    <row r="591" spans="2:3" x14ac:dyDescent="0.25">
      <c r="B591" s="193">
        <v>44928</v>
      </c>
      <c r="C591" s="195">
        <v>18197.45</v>
      </c>
    </row>
    <row r="592" spans="2:3" x14ac:dyDescent="0.25">
      <c r="B592" s="193">
        <v>44925</v>
      </c>
      <c r="C592" s="195">
        <v>18105.3</v>
      </c>
    </row>
    <row r="593" spans="2:3" x14ac:dyDescent="0.25">
      <c r="B593" s="193">
        <v>44924</v>
      </c>
      <c r="C593" s="195">
        <v>18191</v>
      </c>
    </row>
    <row r="594" spans="2:3" x14ac:dyDescent="0.25">
      <c r="B594" s="193">
        <v>44923</v>
      </c>
      <c r="C594" s="195">
        <v>18122.5</v>
      </c>
    </row>
    <row r="595" spans="2:3" x14ac:dyDescent="0.25">
      <c r="B595" s="193">
        <v>44922</v>
      </c>
      <c r="C595" s="195">
        <v>18132.3</v>
      </c>
    </row>
    <row r="596" spans="2:3" x14ac:dyDescent="0.25">
      <c r="B596" s="193">
        <v>44921</v>
      </c>
      <c r="C596" s="195">
        <v>18014.599999999999</v>
      </c>
    </row>
    <row r="597" spans="2:3" x14ac:dyDescent="0.25">
      <c r="B597" s="193">
        <v>44918</v>
      </c>
      <c r="C597" s="195">
        <v>17806.8</v>
      </c>
    </row>
    <row r="598" spans="2:3" x14ac:dyDescent="0.25">
      <c r="B598" s="193">
        <v>44917</v>
      </c>
      <c r="C598" s="195">
        <v>18127.349999999999</v>
      </c>
    </row>
    <row r="599" spans="2:3" x14ac:dyDescent="0.25">
      <c r="B599" s="193">
        <v>44916</v>
      </c>
      <c r="C599" s="195">
        <v>18199.099999999999</v>
      </c>
    </row>
    <row r="600" spans="2:3" x14ac:dyDescent="0.25">
      <c r="B600" s="193">
        <v>44915</v>
      </c>
      <c r="C600" s="195">
        <v>18385.3</v>
      </c>
    </row>
    <row r="601" spans="2:3" x14ac:dyDescent="0.25">
      <c r="B601" s="193">
        <v>44914</v>
      </c>
      <c r="C601" s="195">
        <v>18420.45</v>
      </c>
    </row>
    <row r="602" spans="2:3" x14ac:dyDescent="0.25">
      <c r="B602" s="193">
        <v>44911</v>
      </c>
      <c r="C602" s="195">
        <v>18269</v>
      </c>
    </row>
    <row r="603" spans="2:3" x14ac:dyDescent="0.25">
      <c r="B603" s="193">
        <v>44910</v>
      </c>
      <c r="C603" s="195">
        <v>18414.900000000001</v>
      </c>
    </row>
    <row r="604" spans="2:3" x14ac:dyDescent="0.25">
      <c r="B604" s="193">
        <v>44909</v>
      </c>
      <c r="C604" s="195">
        <v>18660.3</v>
      </c>
    </row>
    <row r="605" spans="2:3" x14ac:dyDescent="0.25">
      <c r="B605" s="193">
        <v>44908</v>
      </c>
      <c r="C605" s="195">
        <v>18608</v>
      </c>
    </row>
    <row r="606" spans="2:3" x14ac:dyDescent="0.25">
      <c r="B606" s="193">
        <v>44907</v>
      </c>
      <c r="C606" s="195">
        <v>18497.150000000001</v>
      </c>
    </row>
    <row r="607" spans="2:3" x14ac:dyDescent="0.25">
      <c r="B607" s="193">
        <v>44904</v>
      </c>
      <c r="C607" s="195">
        <v>18496.599999999999</v>
      </c>
    </row>
    <row r="608" spans="2:3" x14ac:dyDescent="0.25">
      <c r="B608" s="193">
        <v>44903</v>
      </c>
      <c r="C608" s="195">
        <v>18609.349999999999</v>
      </c>
    </row>
    <row r="609" spans="2:3" x14ac:dyDescent="0.25">
      <c r="B609" s="193">
        <v>44902</v>
      </c>
      <c r="C609" s="195">
        <v>18560.5</v>
      </c>
    </row>
    <row r="610" spans="2:3" x14ac:dyDescent="0.25">
      <c r="B610" s="193">
        <v>44901</v>
      </c>
      <c r="C610" s="195">
        <v>18642.75</v>
      </c>
    </row>
    <row r="611" spans="2:3" x14ac:dyDescent="0.25">
      <c r="B611" s="193">
        <v>44900</v>
      </c>
      <c r="C611" s="195">
        <v>18701.05</v>
      </c>
    </row>
    <row r="612" spans="2:3" x14ac:dyDescent="0.25">
      <c r="B612" s="193">
        <v>44897</v>
      </c>
      <c r="C612" s="195">
        <v>18696.099999999999</v>
      </c>
    </row>
    <row r="613" spans="2:3" x14ac:dyDescent="0.25">
      <c r="B613" s="193">
        <v>44896</v>
      </c>
      <c r="C613" s="195">
        <v>18812.5</v>
      </c>
    </row>
    <row r="614" spans="2:3" x14ac:dyDescent="0.25">
      <c r="B614" s="193">
        <v>44895</v>
      </c>
      <c r="C614" s="195">
        <v>18758.349999999999</v>
      </c>
    </row>
    <row r="615" spans="2:3" x14ac:dyDescent="0.25">
      <c r="B615" s="193">
        <v>44894</v>
      </c>
      <c r="C615" s="195">
        <v>18618.05</v>
      </c>
    </row>
    <row r="616" spans="2:3" x14ac:dyDescent="0.25">
      <c r="B616" s="193">
        <v>44893</v>
      </c>
      <c r="C616" s="195">
        <v>18562.75</v>
      </c>
    </row>
    <row r="617" spans="2:3" x14ac:dyDescent="0.25">
      <c r="B617" s="193">
        <v>44890</v>
      </c>
      <c r="C617" s="195">
        <v>18512.75</v>
      </c>
    </row>
    <row r="618" spans="2:3" x14ac:dyDescent="0.25">
      <c r="B618" s="193">
        <v>44889</v>
      </c>
      <c r="C618" s="195">
        <v>18484.099999999999</v>
      </c>
    </row>
    <row r="619" spans="2:3" x14ac:dyDescent="0.25">
      <c r="B619" s="193">
        <v>44888</v>
      </c>
      <c r="C619" s="195">
        <v>18267.25</v>
      </c>
    </row>
    <row r="620" spans="2:3" x14ac:dyDescent="0.25">
      <c r="B620" s="193">
        <v>44887</v>
      </c>
      <c r="C620" s="195">
        <v>18244.2</v>
      </c>
    </row>
    <row r="621" spans="2:3" x14ac:dyDescent="0.25">
      <c r="B621" s="193">
        <v>44886</v>
      </c>
      <c r="C621" s="195">
        <v>18159.95</v>
      </c>
    </row>
    <row r="622" spans="2:3" x14ac:dyDescent="0.25">
      <c r="B622" s="193">
        <v>44883</v>
      </c>
      <c r="C622" s="195">
        <v>18307.650000000001</v>
      </c>
    </row>
    <row r="623" spans="2:3" x14ac:dyDescent="0.25">
      <c r="B623" s="193">
        <v>44882</v>
      </c>
      <c r="C623" s="195">
        <v>18343.900000000001</v>
      </c>
    </row>
    <row r="624" spans="2:3" x14ac:dyDescent="0.25">
      <c r="B624" s="193">
        <v>44881</v>
      </c>
      <c r="C624" s="195">
        <v>18409.650000000001</v>
      </c>
    </row>
    <row r="625" spans="2:3" x14ac:dyDescent="0.25">
      <c r="B625" s="193">
        <v>44880</v>
      </c>
      <c r="C625" s="195">
        <v>18403.400000000001</v>
      </c>
    </row>
    <row r="626" spans="2:3" x14ac:dyDescent="0.25">
      <c r="B626" s="193">
        <v>44879</v>
      </c>
      <c r="C626" s="195">
        <v>18329.150000000001</v>
      </c>
    </row>
    <row r="627" spans="2:3" x14ac:dyDescent="0.25">
      <c r="B627" s="193">
        <v>44876</v>
      </c>
      <c r="C627" s="195">
        <v>18349.7</v>
      </c>
    </row>
    <row r="628" spans="2:3" x14ac:dyDescent="0.25">
      <c r="B628" s="193">
        <v>44875</v>
      </c>
      <c r="C628" s="195">
        <v>18028.2</v>
      </c>
    </row>
    <row r="629" spans="2:3" x14ac:dyDescent="0.25">
      <c r="B629" s="193">
        <v>44874</v>
      </c>
      <c r="C629" s="195">
        <v>18157</v>
      </c>
    </row>
    <row r="630" spans="2:3" x14ac:dyDescent="0.25">
      <c r="B630" s="193">
        <v>44872</v>
      </c>
      <c r="C630" s="195">
        <v>18202.8</v>
      </c>
    </row>
    <row r="631" spans="2:3" x14ac:dyDescent="0.25">
      <c r="B631" s="193">
        <v>44869</v>
      </c>
      <c r="C631" s="195">
        <v>18117.150000000001</v>
      </c>
    </row>
    <row r="632" spans="2:3" x14ac:dyDescent="0.25">
      <c r="B632" s="193">
        <v>44868</v>
      </c>
      <c r="C632" s="195">
        <v>18052.7</v>
      </c>
    </row>
    <row r="633" spans="2:3" x14ac:dyDescent="0.25">
      <c r="B633" s="193">
        <v>44867</v>
      </c>
      <c r="C633" s="195">
        <v>18082.849999999999</v>
      </c>
    </row>
    <row r="634" spans="2:3" x14ac:dyDescent="0.25">
      <c r="B634" s="193">
        <v>44866</v>
      </c>
      <c r="C634" s="195">
        <v>18145.400000000001</v>
      </c>
    </row>
    <row r="635" spans="2:3" x14ac:dyDescent="0.25">
      <c r="B635" s="193">
        <v>44865</v>
      </c>
      <c r="C635" s="195">
        <v>18012.2</v>
      </c>
    </row>
    <row r="636" spans="2:3" x14ac:dyDescent="0.25">
      <c r="B636" s="193">
        <v>44862</v>
      </c>
      <c r="C636" s="195">
        <v>17786.8</v>
      </c>
    </row>
    <row r="637" spans="2:3" x14ac:dyDescent="0.25">
      <c r="B637" s="193">
        <v>44861</v>
      </c>
      <c r="C637" s="195">
        <v>17736.95</v>
      </c>
    </row>
    <row r="638" spans="2:3" x14ac:dyDescent="0.25">
      <c r="B638" s="193">
        <v>44859</v>
      </c>
      <c r="C638" s="195">
        <v>17656.349999999999</v>
      </c>
    </row>
    <row r="639" spans="2:3" x14ac:dyDescent="0.25">
      <c r="B639" s="193">
        <v>44858</v>
      </c>
      <c r="C639" s="195">
        <v>17730.75</v>
      </c>
    </row>
    <row r="640" spans="2:3" x14ac:dyDescent="0.25">
      <c r="B640" s="193">
        <v>44855</v>
      </c>
      <c r="C640" s="195">
        <v>17576.3</v>
      </c>
    </row>
    <row r="641" spans="2:3" x14ac:dyDescent="0.25">
      <c r="B641" s="193">
        <v>44854</v>
      </c>
      <c r="C641" s="195">
        <v>17563.95</v>
      </c>
    </row>
    <row r="642" spans="2:3" x14ac:dyDescent="0.25">
      <c r="B642" s="193">
        <v>44853</v>
      </c>
      <c r="C642" s="195">
        <v>17512.25</v>
      </c>
    </row>
    <row r="643" spans="2:3" x14ac:dyDescent="0.25">
      <c r="B643" s="193">
        <v>44852</v>
      </c>
      <c r="C643" s="195">
        <v>17486.95</v>
      </c>
    </row>
    <row r="644" spans="2:3" x14ac:dyDescent="0.25">
      <c r="B644" s="193">
        <v>44851</v>
      </c>
      <c r="C644" s="195">
        <v>17311.8</v>
      </c>
    </row>
    <row r="645" spans="2:3" x14ac:dyDescent="0.25">
      <c r="B645" s="193">
        <v>44848</v>
      </c>
      <c r="C645" s="195">
        <v>17185.7</v>
      </c>
    </row>
    <row r="646" spans="2:3" x14ac:dyDescent="0.25">
      <c r="B646" s="193">
        <v>44847</v>
      </c>
      <c r="C646" s="195">
        <v>17014.349999999999</v>
      </c>
    </row>
    <row r="647" spans="2:3" x14ac:dyDescent="0.25">
      <c r="B647" s="193">
        <v>44846</v>
      </c>
      <c r="C647" s="195">
        <v>17123.599999999999</v>
      </c>
    </row>
    <row r="648" spans="2:3" x14ac:dyDescent="0.25">
      <c r="B648" s="193">
        <v>44845</v>
      </c>
      <c r="C648" s="195">
        <v>16983.55</v>
      </c>
    </row>
    <row r="649" spans="2:3" x14ac:dyDescent="0.25">
      <c r="B649" s="193">
        <v>44844</v>
      </c>
      <c r="C649" s="195">
        <v>17241</v>
      </c>
    </row>
    <row r="650" spans="2:3" x14ac:dyDescent="0.25">
      <c r="B650" s="193">
        <v>44841</v>
      </c>
      <c r="C650" s="195">
        <v>17314.650000000001</v>
      </c>
    </row>
    <row r="651" spans="2:3" x14ac:dyDescent="0.25">
      <c r="B651" s="193">
        <v>44840</v>
      </c>
      <c r="C651" s="195">
        <v>17331.8</v>
      </c>
    </row>
    <row r="652" spans="2:3" x14ac:dyDescent="0.25">
      <c r="B652" s="193">
        <v>44838</v>
      </c>
      <c r="C652" s="195">
        <v>17274.3</v>
      </c>
    </row>
    <row r="653" spans="2:3" x14ac:dyDescent="0.25">
      <c r="B653" s="193">
        <v>44837</v>
      </c>
      <c r="C653" s="195">
        <v>16887.349999999999</v>
      </c>
    </row>
    <row r="654" spans="2:3" x14ac:dyDescent="0.25">
      <c r="B654" s="193">
        <v>44834</v>
      </c>
      <c r="C654" s="195">
        <v>17094.349999999999</v>
      </c>
    </row>
    <row r="655" spans="2:3" x14ac:dyDescent="0.25">
      <c r="B655" s="193">
        <v>44833</v>
      </c>
      <c r="C655" s="195">
        <v>16818.099999999999</v>
      </c>
    </row>
    <row r="656" spans="2:3" x14ac:dyDescent="0.25">
      <c r="B656" s="193">
        <v>44832</v>
      </c>
      <c r="C656" s="195">
        <v>16858.599999999999</v>
      </c>
    </row>
    <row r="657" spans="2:3" x14ac:dyDescent="0.25">
      <c r="B657" s="193">
        <v>44831</v>
      </c>
      <c r="C657" s="195">
        <v>17007.400000000001</v>
      </c>
    </row>
    <row r="658" spans="2:3" x14ac:dyDescent="0.25">
      <c r="B658" s="193">
        <v>44830</v>
      </c>
      <c r="C658" s="195">
        <v>17016.3</v>
      </c>
    </row>
    <row r="659" spans="2:3" x14ac:dyDescent="0.25">
      <c r="B659" s="193">
        <v>44827</v>
      </c>
      <c r="C659" s="195">
        <v>17327.349999999999</v>
      </c>
    </row>
    <row r="660" spans="2:3" x14ac:dyDescent="0.25">
      <c r="B660" s="193">
        <v>44826</v>
      </c>
      <c r="C660" s="195">
        <v>17629.8</v>
      </c>
    </row>
    <row r="661" spans="2:3" x14ac:dyDescent="0.25">
      <c r="B661" s="193">
        <v>44825</v>
      </c>
      <c r="C661" s="195">
        <v>17718.349999999999</v>
      </c>
    </row>
    <row r="662" spans="2:3" x14ac:dyDescent="0.25">
      <c r="B662" s="193">
        <v>44824</v>
      </c>
      <c r="C662" s="195">
        <v>17816.25</v>
      </c>
    </row>
    <row r="663" spans="2:3" x14ac:dyDescent="0.25">
      <c r="B663" s="193">
        <v>44823</v>
      </c>
      <c r="C663" s="195">
        <v>17622.25</v>
      </c>
    </row>
    <row r="664" spans="2:3" x14ac:dyDescent="0.25">
      <c r="B664" s="193">
        <v>44820</v>
      </c>
      <c r="C664" s="195">
        <v>17530.849999999999</v>
      </c>
    </row>
    <row r="665" spans="2:3" x14ac:dyDescent="0.25">
      <c r="B665" s="193">
        <v>44819</v>
      </c>
      <c r="C665" s="195">
        <v>17877.400000000001</v>
      </c>
    </row>
    <row r="666" spans="2:3" x14ac:dyDescent="0.25">
      <c r="B666" s="193">
        <v>44818</v>
      </c>
      <c r="C666" s="195">
        <v>18003.75</v>
      </c>
    </row>
    <row r="667" spans="2:3" x14ac:dyDescent="0.25">
      <c r="B667" s="193">
        <v>44817</v>
      </c>
      <c r="C667" s="195">
        <v>18070.05</v>
      </c>
    </row>
    <row r="668" spans="2:3" x14ac:dyDescent="0.25">
      <c r="B668" s="193">
        <v>44816</v>
      </c>
      <c r="C668" s="195">
        <v>17936.349999999999</v>
      </c>
    </row>
    <row r="669" spans="2:3" x14ac:dyDescent="0.25">
      <c r="B669" s="193">
        <v>44813</v>
      </c>
      <c r="C669" s="195">
        <v>17833.349999999999</v>
      </c>
    </row>
    <row r="670" spans="2:3" x14ac:dyDescent="0.25">
      <c r="B670" s="193">
        <v>44812</v>
      </c>
      <c r="C670" s="195">
        <v>17798.75</v>
      </c>
    </row>
    <row r="671" spans="2:3" x14ac:dyDescent="0.25">
      <c r="B671" s="193">
        <v>44811</v>
      </c>
      <c r="C671" s="195">
        <v>17624.400000000001</v>
      </c>
    </row>
    <row r="672" spans="2:3" x14ac:dyDescent="0.25">
      <c r="B672" s="193">
        <v>44810</v>
      </c>
      <c r="C672" s="195">
        <v>17655.599999999999</v>
      </c>
    </row>
    <row r="673" spans="2:3" x14ac:dyDescent="0.25">
      <c r="B673" s="193">
        <v>44809</v>
      </c>
      <c r="C673" s="195">
        <v>17665.8</v>
      </c>
    </row>
    <row r="674" spans="2:3" x14ac:dyDescent="0.25">
      <c r="B674" s="193">
        <v>44806</v>
      </c>
      <c r="C674" s="195">
        <v>17539.45</v>
      </c>
    </row>
    <row r="675" spans="2:3" x14ac:dyDescent="0.25">
      <c r="B675" s="193">
        <v>44805</v>
      </c>
      <c r="C675" s="195">
        <v>17542.8</v>
      </c>
    </row>
    <row r="676" spans="2:3" x14ac:dyDescent="0.25">
      <c r="B676" s="193">
        <v>44803</v>
      </c>
      <c r="C676" s="195">
        <v>17759.3</v>
      </c>
    </row>
    <row r="677" spans="2:3" x14ac:dyDescent="0.25">
      <c r="B677" s="193">
        <v>44802</v>
      </c>
      <c r="C677" s="195">
        <v>17312.900000000001</v>
      </c>
    </row>
    <row r="678" spans="2:3" x14ac:dyDescent="0.25">
      <c r="B678" s="193">
        <v>44799</v>
      </c>
      <c r="C678" s="195">
        <v>17558.900000000001</v>
      </c>
    </row>
    <row r="679" spans="2:3" x14ac:dyDescent="0.25">
      <c r="B679" s="193">
        <v>44798</v>
      </c>
      <c r="C679" s="195">
        <v>17522.45</v>
      </c>
    </row>
    <row r="680" spans="2:3" x14ac:dyDescent="0.25">
      <c r="B680" s="193">
        <v>44797</v>
      </c>
      <c r="C680" s="195">
        <v>17604.95</v>
      </c>
    </row>
    <row r="681" spans="2:3" x14ac:dyDescent="0.25">
      <c r="B681" s="193">
        <v>44796</v>
      </c>
      <c r="C681" s="195">
        <v>17577.5</v>
      </c>
    </row>
    <row r="682" spans="2:3" x14ac:dyDescent="0.25">
      <c r="B682" s="193">
        <v>44795</v>
      </c>
      <c r="C682" s="195">
        <v>17490.7</v>
      </c>
    </row>
    <row r="683" spans="2:3" x14ac:dyDescent="0.25">
      <c r="B683" s="193">
        <v>44792</v>
      </c>
      <c r="C683" s="195">
        <v>17758.45</v>
      </c>
    </row>
    <row r="684" spans="2:3" x14ac:dyDescent="0.25">
      <c r="B684" s="193">
        <v>44791</v>
      </c>
      <c r="C684" s="195">
        <v>17956.5</v>
      </c>
    </row>
    <row r="685" spans="2:3" x14ac:dyDescent="0.25">
      <c r="B685" s="193">
        <v>44790</v>
      </c>
      <c r="C685" s="195">
        <v>17944.25</v>
      </c>
    </row>
    <row r="686" spans="2:3" x14ac:dyDescent="0.25">
      <c r="B686" s="193">
        <v>44789</v>
      </c>
      <c r="C686" s="195">
        <v>17825.25</v>
      </c>
    </row>
    <row r="687" spans="2:3" x14ac:dyDescent="0.25">
      <c r="B687" s="193">
        <v>44785</v>
      </c>
      <c r="C687" s="195">
        <v>17698.150000000001</v>
      </c>
    </row>
    <row r="688" spans="2:3" x14ac:dyDescent="0.25">
      <c r="B688" s="193">
        <v>44784</v>
      </c>
      <c r="C688" s="195">
        <v>17659</v>
      </c>
    </row>
    <row r="689" spans="2:3" x14ac:dyDescent="0.25">
      <c r="B689" s="193">
        <v>44783</v>
      </c>
      <c r="C689" s="195">
        <v>17534.75</v>
      </c>
    </row>
    <row r="690" spans="2:3" x14ac:dyDescent="0.25">
      <c r="B690" s="193">
        <v>44781</v>
      </c>
      <c r="C690" s="195">
        <v>17525.099999999999</v>
      </c>
    </row>
    <row r="691" spans="2:3" x14ac:dyDescent="0.25">
      <c r="B691" s="193">
        <v>44778</v>
      </c>
      <c r="C691" s="195">
        <v>17397.5</v>
      </c>
    </row>
    <row r="692" spans="2:3" x14ac:dyDescent="0.25">
      <c r="B692" s="193">
        <v>44777</v>
      </c>
      <c r="C692" s="195">
        <v>17382</v>
      </c>
    </row>
    <row r="693" spans="2:3" x14ac:dyDescent="0.25">
      <c r="B693" s="193">
        <v>44776</v>
      </c>
      <c r="C693" s="195">
        <v>17388.150000000001</v>
      </c>
    </row>
    <row r="694" spans="2:3" x14ac:dyDescent="0.25">
      <c r="B694" s="193">
        <v>44775</v>
      </c>
      <c r="C694" s="195">
        <v>17345.45</v>
      </c>
    </row>
    <row r="695" spans="2:3" x14ac:dyDescent="0.25">
      <c r="B695" s="193">
        <v>44774</v>
      </c>
      <c r="C695" s="195">
        <v>17340.05</v>
      </c>
    </row>
    <row r="696" spans="2:3" x14ac:dyDescent="0.25">
      <c r="B696" s="193">
        <v>44771</v>
      </c>
      <c r="C696" s="195">
        <v>17158.25</v>
      </c>
    </row>
    <row r="697" spans="2:3" x14ac:dyDescent="0.25">
      <c r="B697" s="193">
        <v>44770</v>
      </c>
      <c r="C697" s="195">
        <v>16929.599999999999</v>
      </c>
    </row>
    <row r="698" spans="2:3" x14ac:dyDescent="0.25">
      <c r="B698" s="193">
        <v>44769</v>
      </c>
      <c r="C698" s="195">
        <v>16641.8</v>
      </c>
    </row>
    <row r="699" spans="2:3" x14ac:dyDescent="0.25">
      <c r="B699" s="193">
        <v>44768</v>
      </c>
      <c r="C699" s="195">
        <v>16483.849999999999</v>
      </c>
    </row>
    <row r="700" spans="2:3" x14ac:dyDescent="0.25">
      <c r="B700" s="193">
        <v>44767</v>
      </c>
      <c r="C700" s="195">
        <v>16631</v>
      </c>
    </row>
    <row r="701" spans="2:3" x14ac:dyDescent="0.25">
      <c r="B701" s="193">
        <v>44764</v>
      </c>
      <c r="C701" s="195">
        <v>16719.45</v>
      </c>
    </row>
    <row r="702" spans="2:3" x14ac:dyDescent="0.25">
      <c r="B702" s="193">
        <v>44763</v>
      </c>
      <c r="C702" s="195">
        <v>16605.25</v>
      </c>
    </row>
    <row r="703" spans="2:3" x14ac:dyDescent="0.25">
      <c r="B703" s="193">
        <v>44762</v>
      </c>
      <c r="C703" s="195">
        <v>16520.849999999999</v>
      </c>
    </row>
    <row r="704" spans="2:3" x14ac:dyDescent="0.25">
      <c r="B704" s="193">
        <v>44761</v>
      </c>
      <c r="C704" s="195">
        <v>16340.55</v>
      </c>
    </row>
    <row r="705" spans="2:3" x14ac:dyDescent="0.25">
      <c r="B705" s="193">
        <v>44760</v>
      </c>
      <c r="C705" s="195">
        <v>16278.5</v>
      </c>
    </row>
    <row r="706" spans="2:3" x14ac:dyDescent="0.25">
      <c r="B706" s="193">
        <v>44757</v>
      </c>
      <c r="C706" s="195">
        <v>16049.2</v>
      </c>
    </row>
    <row r="707" spans="2:3" x14ac:dyDescent="0.25">
      <c r="B707" s="193">
        <v>44756</v>
      </c>
      <c r="C707" s="195">
        <v>15938.65</v>
      </c>
    </row>
    <row r="708" spans="2:3" x14ac:dyDescent="0.25">
      <c r="B708" s="193">
        <v>44755</v>
      </c>
      <c r="C708" s="195">
        <v>15966.65</v>
      </c>
    </row>
    <row r="709" spans="2:3" x14ac:dyDescent="0.25">
      <c r="B709" s="193">
        <v>44754</v>
      </c>
      <c r="C709" s="195">
        <v>16058.3</v>
      </c>
    </row>
    <row r="710" spans="2:3" x14ac:dyDescent="0.25">
      <c r="B710" s="193">
        <v>44753</v>
      </c>
      <c r="C710" s="195">
        <v>16216</v>
      </c>
    </row>
    <row r="711" spans="2:3" x14ac:dyDescent="0.25">
      <c r="B711" s="193">
        <v>44750</v>
      </c>
      <c r="C711" s="195">
        <v>16220.6</v>
      </c>
    </row>
    <row r="712" spans="2:3" x14ac:dyDescent="0.25">
      <c r="B712" s="193">
        <v>44749</v>
      </c>
      <c r="C712" s="195">
        <v>16132.9</v>
      </c>
    </row>
    <row r="713" spans="2:3" x14ac:dyDescent="0.25">
      <c r="B713" s="193">
        <v>44748</v>
      </c>
      <c r="C713" s="195">
        <v>15989.8</v>
      </c>
    </row>
    <row r="714" spans="2:3" x14ac:dyDescent="0.25">
      <c r="B714" s="193">
        <v>44747</v>
      </c>
      <c r="C714" s="195">
        <v>15810.85</v>
      </c>
    </row>
    <row r="715" spans="2:3" x14ac:dyDescent="0.25">
      <c r="B715" s="193">
        <v>44746</v>
      </c>
      <c r="C715" s="195">
        <v>15835.35</v>
      </c>
    </row>
    <row r="716" spans="2:3" x14ac:dyDescent="0.25">
      <c r="B716" s="193">
        <v>44743</v>
      </c>
      <c r="C716" s="195">
        <v>15752.05</v>
      </c>
    </row>
    <row r="717" spans="2:3" x14ac:dyDescent="0.25">
      <c r="B717" s="193">
        <v>44742</v>
      </c>
      <c r="C717" s="195">
        <v>15780.25</v>
      </c>
    </row>
    <row r="718" spans="2:3" x14ac:dyDescent="0.25">
      <c r="B718" s="193">
        <v>44741</v>
      </c>
      <c r="C718" s="195">
        <v>15799.1</v>
      </c>
    </row>
    <row r="719" spans="2:3" x14ac:dyDescent="0.25">
      <c r="B719" s="193">
        <v>44740</v>
      </c>
      <c r="C719" s="195">
        <v>15850.2</v>
      </c>
    </row>
    <row r="720" spans="2:3" x14ac:dyDescent="0.25">
      <c r="B720" s="193">
        <v>44739</v>
      </c>
      <c r="C720" s="195">
        <v>15832.05</v>
      </c>
    </row>
    <row r="721" spans="2:3" x14ac:dyDescent="0.25">
      <c r="B721" s="193">
        <v>44736</v>
      </c>
      <c r="C721" s="195">
        <v>15699.25</v>
      </c>
    </row>
    <row r="722" spans="2:3" x14ac:dyDescent="0.25">
      <c r="B722" s="193">
        <v>44735</v>
      </c>
      <c r="C722" s="195">
        <v>15556.65</v>
      </c>
    </row>
    <row r="723" spans="2:3" x14ac:dyDescent="0.25">
      <c r="B723" s="193">
        <v>44734</v>
      </c>
      <c r="C723" s="195">
        <v>15413.3</v>
      </c>
    </row>
    <row r="724" spans="2:3" x14ac:dyDescent="0.25">
      <c r="B724" s="193">
        <v>44733</v>
      </c>
      <c r="C724" s="195">
        <v>15638.8</v>
      </c>
    </row>
    <row r="725" spans="2:3" x14ac:dyDescent="0.25">
      <c r="B725" s="193">
        <v>44732</v>
      </c>
      <c r="C725" s="195">
        <v>15350.15</v>
      </c>
    </row>
    <row r="726" spans="2:3" x14ac:dyDescent="0.25">
      <c r="B726" s="193">
        <v>44729</v>
      </c>
      <c r="C726" s="195">
        <v>15293.5</v>
      </c>
    </row>
    <row r="727" spans="2:3" x14ac:dyDescent="0.25">
      <c r="B727" s="193">
        <v>44728</v>
      </c>
      <c r="C727" s="195">
        <v>15360.6</v>
      </c>
    </row>
    <row r="728" spans="2:3" x14ac:dyDescent="0.25">
      <c r="B728" s="193">
        <v>44727</v>
      </c>
      <c r="C728" s="195">
        <v>15692.15</v>
      </c>
    </row>
    <row r="729" spans="2:3" x14ac:dyDescent="0.25">
      <c r="B729" s="193">
        <v>44726</v>
      </c>
      <c r="C729" s="195">
        <v>15732.1</v>
      </c>
    </row>
    <row r="730" spans="2:3" x14ac:dyDescent="0.25">
      <c r="B730" s="193">
        <v>44725</v>
      </c>
      <c r="C730" s="195">
        <v>15774.4</v>
      </c>
    </row>
    <row r="731" spans="2:3" x14ac:dyDescent="0.25">
      <c r="B731" s="193">
        <v>44722</v>
      </c>
      <c r="C731" s="195">
        <v>16201.8</v>
      </c>
    </row>
    <row r="732" spans="2:3" x14ac:dyDescent="0.25">
      <c r="B732" s="193">
        <v>44721</v>
      </c>
      <c r="C732" s="195">
        <v>16478.099999999999</v>
      </c>
    </row>
    <row r="733" spans="2:3" x14ac:dyDescent="0.25">
      <c r="B733" s="193">
        <v>44720</v>
      </c>
      <c r="C733" s="195">
        <v>16356.25</v>
      </c>
    </row>
    <row r="734" spans="2:3" x14ac:dyDescent="0.25">
      <c r="B734" s="193">
        <v>44719</v>
      </c>
      <c r="C734" s="195">
        <v>16416.349999999999</v>
      </c>
    </row>
    <row r="735" spans="2:3" x14ac:dyDescent="0.25">
      <c r="B735" s="193">
        <v>44718</v>
      </c>
      <c r="C735" s="195">
        <v>16569.55</v>
      </c>
    </row>
    <row r="736" spans="2:3" x14ac:dyDescent="0.25">
      <c r="B736" s="193">
        <v>44715</v>
      </c>
      <c r="C736" s="195">
        <v>16584.3</v>
      </c>
    </row>
    <row r="737" spans="2:3" x14ac:dyDescent="0.25">
      <c r="B737" s="193">
        <v>44714</v>
      </c>
      <c r="C737" s="195">
        <v>16628</v>
      </c>
    </row>
    <row r="738" spans="2:3" x14ac:dyDescent="0.25">
      <c r="B738" s="193">
        <v>44713</v>
      </c>
      <c r="C738" s="195">
        <v>16522.75</v>
      </c>
    </row>
    <row r="739" spans="2:3" x14ac:dyDescent="0.25">
      <c r="B739" s="193">
        <v>44712</v>
      </c>
      <c r="C739" s="195">
        <v>16584.55</v>
      </c>
    </row>
    <row r="740" spans="2:3" x14ac:dyDescent="0.25">
      <c r="B740" s="193">
        <v>44711</v>
      </c>
      <c r="C740" s="195">
        <v>16661.400000000001</v>
      </c>
    </row>
    <row r="741" spans="2:3" x14ac:dyDescent="0.25">
      <c r="B741" s="193">
        <v>44708</v>
      </c>
      <c r="C741" s="195">
        <v>16352.45</v>
      </c>
    </row>
    <row r="742" spans="2:3" x14ac:dyDescent="0.25">
      <c r="B742" s="193">
        <v>44707</v>
      </c>
      <c r="C742" s="195">
        <v>16170.15</v>
      </c>
    </row>
    <row r="743" spans="2:3" x14ac:dyDescent="0.25">
      <c r="B743" s="193">
        <v>44706</v>
      </c>
      <c r="C743" s="195">
        <v>16025.8</v>
      </c>
    </row>
    <row r="744" spans="2:3" x14ac:dyDescent="0.25">
      <c r="B744" s="193">
        <v>44705</v>
      </c>
      <c r="C744" s="195">
        <v>16125.15</v>
      </c>
    </row>
    <row r="745" spans="2:3" x14ac:dyDescent="0.25">
      <c r="B745" s="193">
        <v>44704</v>
      </c>
      <c r="C745" s="195">
        <v>16214.7</v>
      </c>
    </row>
    <row r="746" spans="2:3" x14ac:dyDescent="0.25">
      <c r="B746" s="193">
        <v>44701</v>
      </c>
      <c r="C746" s="195">
        <v>16266.15</v>
      </c>
    </row>
    <row r="747" spans="2:3" x14ac:dyDescent="0.25">
      <c r="B747" s="193">
        <v>44700</v>
      </c>
      <c r="C747" s="195">
        <v>15809.4</v>
      </c>
    </row>
    <row r="748" spans="2:3" x14ac:dyDescent="0.25">
      <c r="B748" s="193">
        <v>44699</v>
      </c>
      <c r="C748" s="195">
        <v>16240.3</v>
      </c>
    </row>
    <row r="749" spans="2:3" x14ac:dyDescent="0.25">
      <c r="B749" s="193">
        <v>44698</v>
      </c>
      <c r="C749" s="195">
        <v>16259.3</v>
      </c>
    </row>
    <row r="750" spans="2:3" x14ac:dyDescent="0.25">
      <c r="B750" s="193">
        <v>44697</v>
      </c>
      <c r="C750" s="195">
        <v>15842.3</v>
      </c>
    </row>
    <row r="751" spans="2:3" x14ac:dyDescent="0.25">
      <c r="B751" s="193">
        <v>44694</v>
      </c>
      <c r="C751" s="195">
        <v>15782.15</v>
      </c>
    </row>
    <row r="752" spans="2:3" x14ac:dyDescent="0.25">
      <c r="B752" s="193">
        <v>44693</v>
      </c>
      <c r="C752" s="195">
        <v>15808</v>
      </c>
    </row>
    <row r="753" spans="2:3" x14ac:dyDescent="0.25">
      <c r="B753" s="193">
        <v>44692</v>
      </c>
      <c r="C753" s="195">
        <v>16167.1</v>
      </c>
    </row>
    <row r="754" spans="2:3" x14ac:dyDescent="0.25">
      <c r="B754" s="193">
        <v>44691</v>
      </c>
      <c r="C754" s="195">
        <v>16240.05</v>
      </c>
    </row>
    <row r="755" spans="2:3" x14ac:dyDescent="0.25">
      <c r="B755" s="193">
        <v>44690</v>
      </c>
      <c r="C755" s="195">
        <v>16301.85</v>
      </c>
    </row>
    <row r="756" spans="2:3" x14ac:dyDescent="0.25">
      <c r="B756" s="193">
        <v>44687</v>
      </c>
      <c r="C756" s="195">
        <v>16411.25</v>
      </c>
    </row>
    <row r="757" spans="2:3" x14ac:dyDescent="0.25">
      <c r="B757" s="193">
        <v>44686</v>
      </c>
      <c r="C757" s="195">
        <v>16682.650000000001</v>
      </c>
    </row>
    <row r="758" spans="2:3" x14ac:dyDescent="0.25">
      <c r="B758" s="193">
        <v>44685</v>
      </c>
      <c r="C758" s="195">
        <v>16677.599999999999</v>
      </c>
    </row>
    <row r="759" spans="2:3" x14ac:dyDescent="0.25">
      <c r="B759" s="193">
        <v>44683</v>
      </c>
      <c r="C759" s="195">
        <v>17069.099999999999</v>
      </c>
    </row>
    <row r="760" spans="2:3" x14ac:dyDescent="0.25">
      <c r="B760" s="193">
        <v>44680</v>
      </c>
      <c r="C760" s="195">
        <v>17102.55</v>
      </c>
    </row>
    <row r="761" spans="2:3" x14ac:dyDescent="0.25">
      <c r="B761" s="193">
        <v>44679</v>
      </c>
      <c r="C761" s="195">
        <v>17245.05</v>
      </c>
    </row>
    <row r="762" spans="2:3" x14ac:dyDescent="0.25">
      <c r="B762" s="193">
        <v>44678</v>
      </c>
      <c r="C762" s="195">
        <v>17038.400000000001</v>
      </c>
    </row>
    <row r="763" spans="2:3" x14ac:dyDescent="0.25">
      <c r="B763" s="193">
        <v>44677</v>
      </c>
      <c r="C763" s="195">
        <v>17200.8</v>
      </c>
    </row>
    <row r="764" spans="2:3" x14ac:dyDescent="0.25">
      <c r="B764" s="193">
        <v>44676</v>
      </c>
      <c r="C764" s="195">
        <v>16953.95</v>
      </c>
    </row>
    <row r="765" spans="2:3" x14ac:dyDescent="0.25">
      <c r="B765" s="193">
        <v>44673</v>
      </c>
      <c r="C765" s="195">
        <v>17171.95</v>
      </c>
    </row>
    <row r="766" spans="2:3" x14ac:dyDescent="0.25">
      <c r="B766" s="193">
        <v>44672</v>
      </c>
      <c r="C766" s="195">
        <v>17392.599999999999</v>
      </c>
    </row>
    <row r="767" spans="2:3" x14ac:dyDescent="0.25">
      <c r="B767" s="193">
        <v>44671</v>
      </c>
      <c r="C767" s="195">
        <v>17136.55</v>
      </c>
    </row>
    <row r="768" spans="2:3" x14ac:dyDescent="0.25">
      <c r="B768" s="193">
        <v>44670</v>
      </c>
      <c r="C768" s="195">
        <v>16958.650000000001</v>
      </c>
    </row>
    <row r="769" spans="2:3" x14ac:dyDescent="0.25">
      <c r="B769" s="193">
        <v>44669</v>
      </c>
      <c r="C769" s="195">
        <v>17173.650000000001</v>
      </c>
    </row>
    <row r="770" spans="2:3" x14ac:dyDescent="0.25">
      <c r="B770" s="193">
        <v>44664</v>
      </c>
      <c r="C770" s="195">
        <v>17475.650000000001</v>
      </c>
    </row>
    <row r="771" spans="2:3" x14ac:dyDescent="0.25">
      <c r="B771" s="193">
        <v>44663</v>
      </c>
      <c r="C771" s="195">
        <v>17530.3</v>
      </c>
    </row>
    <row r="772" spans="2:3" x14ac:dyDescent="0.25">
      <c r="B772" s="193">
        <v>44662</v>
      </c>
      <c r="C772" s="195">
        <v>17674.95</v>
      </c>
    </row>
    <row r="773" spans="2:3" x14ac:dyDescent="0.25">
      <c r="B773" s="193">
        <v>44659</v>
      </c>
      <c r="C773" s="195">
        <v>17784.349999999999</v>
      </c>
    </row>
    <row r="774" spans="2:3" x14ac:dyDescent="0.25">
      <c r="B774" s="193">
        <v>44658</v>
      </c>
      <c r="C774" s="195">
        <v>17639.55</v>
      </c>
    </row>
    <row r="775" spans="2:3" x14ac:dyDescent="0.25">
      <c r="B775" s="193">
        <v>44657</v>
      </c>
      <c r="C775" s="195">
        <v>17807.650000000001</v>
      </c>
    </row>
    <row r="776" spans="2:3" x14ac:dyDescent="0.25">
      <c r="B776" s="193">
        <v>44656</v>
      </c>
      <c r="C776" s="195">
        <v>17957.400000000001</v>
      </c>
    </row>
    <row r="777" spans="2:3" x14ac:dyDescent="0.25">
      <c r="B777" s="193">
        <v>44655</v>
      </c>
      <c r="C777" s="195">
        <v>18053.400000000001</v>
      </c>
    </row>
    <row r="778" spans="2:3" x14ac:dyDescent="0.25">
      <c r="B778" s="193">
        <v>44652</v>
      </c>
      <c r="C778" s="195">
        <v>17670.45</v>
      </c>
    </row>
    <row r="779" spans="2:3" x14ac:dyDescent="0.25">
      <c r="B779" s="193">
        <v>44651</v>
      </c>
      <c r="C779" s="195">
        <v>17464.75</v>
      </c>
    </row>
    <row r="780" spans="2:3" x14ac:dyDescent="0.25">
      <c r="B780" s="193">
        <v>44650</v>
      </c>
      <c r="C780" s="195">
        <v>17498.25</v>
      </c>
    </row>
    <row r="781" spans="2:3" x14ac:dyDescent="0.25">
      <c r="B781" s="193">
        <v>44649</v>
      </c>
      <c r="C781" s="195">
        <v>17325.3</v>
      </c>
    </row>
    <row r="782" spans="2:3" x14ac:dyDescent="0.25">
      <c r="B782" s="193">
        <v>44648</v>
      </c>
      <c r="C782" s="195">
        <v>17222</v>
      </c>
    </row>
    <row r="783" spans="2:3" x14ac:dyDescent="0.25">
      <c r="B783" s="193">
        <v>44645</v>
      </c>
      <c r="C783" s="195">
        <v>17153</v>
      </c>
    </row>
    <row r="784" spans="2:3" x14ac:dyDescent="0.25">
      <c r="B784" s="193">
        <v>44644</v>
      </c>
      <c r="C784" s="195">
        <v>17222.75</v>
      </c>
    </row>
    <row r="785" spans="2:3" x14ac:dyDescent="0.25">
      <c r="B785" s="193">
        <v>44643</v>
      </c>
      <c r="C785" s="195">
        <v>17245.650000000001</v>
      </c>
    </row>
    <row r="786" spans="2:3" x14ac:dyDescent="0.25">
      <c r="B786" s="193">
        <v>44642</v>
      </c>
      <c r="C786" s="195">
        <v>17315.5</v>
      </c>
    </row>
    <row r="787" spans="2:3" x14ac:dyDescent="0.25">
      <c r="B787" s="193">
        <v>44641</v>
      </c>
      <c r="C787" s="195">
        <v>17117.599999999999</v>
      </c>
    </row>
    <row r="788" spans="2:3" x14ac:dyDescent="0.25">
      <c r="B788" s="193">
        <v>44637</v>
      </c>
      <c r="C788" s="195">
        <v>17287.05</v>
      </c>
    </row>
    <row r="789" spans="2:3" x14ac:dyDescent="0.25">
      <c r="B789" s="193">
        <v>44636</v>
      </c>
      <c r="C789" s="195">
        <v>16975.349999999999</v>
      </c>
    </row>
    <row r="790" spans="2:3" x14ac:dyDescent="0.25">
      <c r="B790" s="193">
        <v>44635</v>
      </c>
      <c r="C790" s="195">
        <v>16663</v>
      </c>
    </row>
    <row r="791" spans="2:3" x14ac:dyDescent="0.25">
      <c r="B791" s="193">
        <v>44634</v>
      </c>
      <c r="C791" s="195">
        <v>16871.3</v>
      </c>
    </row>
    <row r="792" spans="2:3" x14ac:dyDescent="0.25">
      <c r="B792" s="193">
        <v>44631</v>
      </c>
      <c r="C792" s="195">
        <v>16630.45</v>
      </c>
    </row>
    <row r="793" spans="2:3" x14ac:dyDescent="0.25">
      <c r="B793" s="193">
        <v>44630</v>
      </c>
      <c r="C793" s="195">
        <v>16594.900000000001</v>
      </c>
    </row>
    <row r="794" spans="2:3" x14ac:dyDescent="0.25">
      <c r="B794" s="193">
        <v>44629</v>
      </c>
      <c r="C794" s="195">
        <v>16345.35</v>
      </c>
    </row>
    <row r="795" spans="2:3" x14ac:dyDescent="0.25">
      <c r="B795" s="193">
        <v>44628</v>
      </c>
      <c r="C795" s="195">
        <v>16013.45</v>
      </c>
    </row>
    <row r="796" spans="2:3" x14ac:dyDescent="0.25">
      <c r="B796" s="193">
        <v>44627</v>
      </c>
      <c r="C796" s="195">
        <v>15863.15</v>
      </c>
    </row>
    <row r="797" spans="2:3" x14ac:dyDescent="0.25">
      <c r="B797" s="193">
        <v>44624</v>
      </c>
      <c r="C797" s="195">
        <v>16245.35</v>
      </c>
    </row>
    <row r="798" spans="2:3" x14ac:dyDescent="0.25">
      <c r="B798" s="193">
        <v>44623</v>
      </c>
      <c r="C798" s="195">
        <v>16498.05</v>
      </c>
    </row>
    <row r="799" spans="2:3" x14ac:dyDescent="0.25">
      <c r="B799" s="193">
        <v>44622</v>
      </c>
      <c r="C799" s="195">
        <v>16605.95</v>
      </c>
    </row>
    <row r="800" spans="2:3" x14ac:dyDescent="0.25">
      <c r="B800" s="193">
        <v>44620</v>
      </c>
      <c r="C800" s="195">
        <v>16793.900000000001</v>
      </c>
    </row>
    <row r="801" spans="2:3" x14ac:dyDescent="0.25">
      <c r="B801" s="193">
        <v>44617</v>
      </c>
      <c r="C801" s="195">
        <v>16658.400000000001</v>
      </c>
    </row>
    <row r="802" spans="2:3" x14ac:dyDescent="0.25">
      <c r="B802" s="193">
        <v>44616</v>
      </c>
      <c r="C802" s="195">
        <v>16247.95</v>
      </c>
    </row>
    <row r="803" spans="2:3" x14ac:dyDescent="0.25">
      <c r="B803" s="193">
        <v>44615</v>
      </c>
      <c r="C803" s="195">
        <v>17063.25</v>
      </c>
    </row>
    <row r="804" spans="2:3" x14ac:dyDescent="0.25">
      <c r="B804" s="193">
        <v>44614</v>
      </c>
      <c r="C804" s="195">
        <v>17092.2</v>
      </c>
    </row>
    <row r="805" spans="2:3" x14ac:dyDescent="0.25">
      <c r="B805" s="193">
        <v>44613</v>
      </c>
      <c r="C805" s="195">
        <v>17206.650000000001</v>
      </c>
    </row>
    <row r="806" spans="2:3" x14ac:dyDescent="0.25">
      <c r="B806" s="193">
        <v>44610</v>
      </c>
      <c r="C806" s="195">
        <v>17276.3</v>
      </c>
    </row>
    <row r="807" spans="2:3" x14ac:dyDescent="0.25">
      <c r="B807" s="193">
        <v>44609</v>
      </c>
      <c r="C807" s="195">
        <v>17304.599999999999</v>
      </c>
    </row>
    <row r="808" spans="2:3" x14ac:dyDescent="0.25">
      <c r="B808" s="193">
        <v>44608</v>
      </c>
      <c r="C808" s="195">
        <v>17322.2</v>
      </c>
    </row>
    <row r="809" spans="2:3" x14ac:dyDescent="0.25">
      <c r="B809" s="193">
        <v>44607</v>
      </c>
      <c r="C809" s="195">
        <v>17352.45</v>
      </c>
    </row>
    <row r="810" spans="2:3" x14ac:dyDescent="0.25">
      <c r="B810" s="193">
        <v>44606</v>
      </c>
      <c r="C810" s="195">
        <v>16842.8</v>
      </c>
    </row>
    <row r="811" spans="2:3" x14ac:dyDescent="0.25">
      <c r="B811" s="193">
        <v>44603</v>
      </c>
      <c r="C811" s="195">
        <v>17374.75</v>
      </c>
    </row>
    <row r="812" spans="2:3" x14ac:dyDescent="0.25">
      <c r="B812" s="193">
        <v>44602</v>
      </c>
      <c r="C812" s="195">
        <v>17605.849999999999</v>
      </c>
    </row>
    <row r="813" spans="2:3" x14ac:dyDescent="0.25">
      <c r="B813" s="193">
        <v>44601</v>
      </c>
      <c r="C813" s="195">
        <v>17463.8</v>
      </c>
    </row>
    <row r="814" spans="2:3" x14ac:dyDescent="0.25">
      <c r="B814" s="193">
        <v>44600</v>
      </c>
      <c r="C814" s="195">
        <v>17266.75</v>
      </c>
    </row>
    <row r="815" spans="2:3" x14ac:dyDescent="0.25">
      <c r="B815" s="193">
        <v>44599</v>
      </c>
      <c r="C815" s="195">
        <v>17213.599999999999</v>
      </c>
    </row>
    <row r="816" spans="2:3" x14ac:dyDescent="0.25">
      <c r="B816" s="193">
        <v>44596</v>
      </c>
      <c r="C816" s="195">
        <v>17516.3</v>
      </c>
    </row>
    <row r="817" spans="2:3" x14ac:dyDescent="0.25">
      <c r="B817" s="193">
        <v>44595</v>
      </c>
      <c r="C817" s="195">
        <v>17560.2</v>
      </c>
    </row>
    <row r="818" spans="2:3" x14ac:dyDescent="0.25">
      <c r="B818" s="193">
        <v>44594</v>
      </c>
      <c r="C818" s="195">
        <v>17780</v>
      </c>
    </row>
    <row r="819" spans="2:3" x14ac:dyDescent="0.25">
      <c r="B819" s="193">
        <v>44593</v>
      </c>
      <c r="C819" s="195">
        <v>17576.849999999999</v>
      </c>
    </row>
    <row r="820" spans="2:3" x14ac:dyDescent="0.25">
      <c r="B820" s="193">
        <v>44592</v>
      </c>
      <c r="C820" s="195">
        <v>17339.849999999999</v>
      </c>
    </row>
    <row r="821" spans="2:3" x14ac:dyDescent="0.25">
      <c r="B821" s="193">
        <v>44589</v>
      </c>
      <c r="C821" s="195">
        <v>17101.95</v>
      </c>
    </row>
    <row r="822" spans="2:3" x14ac:dyDescent="0.25">
      <c r="B822" s="193">
        <v>44588</v>
      </c>
      <c r="C822" s="195">
        <v>17110.150000000001</v>
      </c>
    </row>
    <row r="823" spans="2:3" x14ac:dyDescent="0.25">
      <c r="B823" s="193">
        <v>44586</v>
      </c>
      <c r="C823" s="195">
        <v>17277.95</v>
      </c>
    </row>
    <row r="824" spans="2:3" x14ac:dyDescent="0.25">
      <c r="B824" s="193">
        <v>44585</v>
      </c>
      <c r="C824" s="195">
        <v>17149.099999999999</v>
      </c>
    </row>
    <row r="825" spans="2:3" x14ac:dyDescent="0.25">
      <c r="B825" s="193">
        <v>44582</v>
      </c>
      <c r="C825" s="195">
        <v>17617.150000000001</v>
      </c>
    </row>
    <row r="826" spans="2:3" x14ac:dyDescent="0.25">
      <c r="B826" s="193">
        <v>44581</v>
      </c>
      <c r="C826" s="195">
        <v>17757</v>
      </c>
    </row>
    <row r="827" spans="2:3" x14ac:dyDescent="0.25">
      <c r="B827" s="193">
        <v>44580</v>
      </c>
      <c r="C827" s="195">
        <v>17938.400000000001</v>
      </c>
    </row>
    <row r="828" spans="2:3" x14ac:dyDescent="0.25">
      <c r="B828" s="193">
        <v>44579</v>
      </c>
      <c r="C828" s="195">
        <v>18113.05</v>
      </c>
    </row>
    <row r="829" spans="2:3" x14ac:dyDescent="0.25">
      <c r="B829" s="193">
        <v>44578</v>
      </c>
      <c r="C829" s="195">
        <v>18308.099999999999</v>
      </c>
    </row>
    <row r="830" spans="2:3" x14ac:dyDescent="0.25">
      <c r="B830" s="193">
        <v>44575</v>
      </c>
      <c r="C830" s="195">
        <v>18255.75</v>
      </c>
    </row>
    <row r="831" spans="2:3" x14ac:dyDescent="0.25">
      <c r="B831" s="193">
        <v>44574</v>
      </c>
      <c r="C831" s="195">
        <v>18257.8</v>
      </c>
    </row>
    <row r="832" spans="2:3" x14ac:dyDescent="0.25">
      <c r="B832" s="193">
        <v>44573</v>
      </c>
      <c r="C832" s="195">
        <v>18212.349999999999</v>
      </c>
    </row>
    <row r="833" spans="2:3" x14ac:dyDescent="0.25">
      <c r="B833" s="193">
        <v>44572</v>
      </c>
      <c r="C833" s="195">
        <v>18055.75</v>
      </c>
    </row>
    <row r="834" spans="2:3" x14ac:dyDescent="0.25">
      <c r="B834" s="193">
        <v>44571</v>
      </c>
      <c r="C834" s="195">
        <v>18003.3</v>
      </c>
    </row>
    <row r="835" spans="2:3" x14ac:dyDescent="0.25">
      <c r="B835" s="193">
        <v>44568</v>
      </c>
      <c r="C835" s="195">
        <v>17812.7</v>
      </c>
    </row>
    <row r="836" spans="2:3" x14ac:dyDescent="0.25">
      <c r="B836" s="193">
        <v>44567</v>
      </c>
      <c r="C836" s="195">
        <v>17745.900000000001</v>
      </c>
    </row>
    <row r="837" spans="2:3" x14ac:dyDescent="0.25">
      <c r="B837" s="193">
        <v>44566</v>
      </c>
      <c r="C837" s="195">
        <v>17925.25</v>
      </c>
    </row>
    <row r="838" spans="2:3" x14ac:dyDescent="0.25">
      <c r="B838" s="193">
        <v>44565</v>
      </c>
      <c r="C838" s="195">
        <v>17805.25</v>
      </c>
    </row>
    <row r="839" spans="2:3" x14ac:dyDescent="0.25">
      <c r="B839" s="193">
        <v>44564</v>
      </c>
      <c r="C839" s="195">
        <v>17625.7</v>
      </c>
    </row>
    <row r="840" spans="2:3" x14ac:dyDescent="0.25">
      <c r="B840" s="193">
        <v>44561</v>
      </c>
      <c r="C840" s="195">
        <v>17354.05</v>
      </c>
    </row>
    <row r="841" spans="2:3" x14ac:dyDescent="0.25">
      <c r="B841" s="193">
        <v>44560</v>
      </c>
      <c r="C841" s="195">
        <v>17203.95</v>
      </c>
    </row>
    <row r="842" spans="2:3" x14ac:dyDescent="0.25">
      <c r="B842" s="193">
        <v>44559</v>
      </c>
      <c r="C842" s="195">
        <v>17213.599999999999</v>
      </c>
    </row>
    <row r="843" spans="2:3" x14ac:dyDescent="0.25">
      <c r="B843" s="193">
        <v>44558</v>
      </c>
      <c r="C843" s="195">
        <v>17233.25</v>
      </c>
    </row>
    <row r="844" spans="2:3" x14ac:dyDescent="0.25">
      <c r="B844" s="193">
        <v>44557</v>
      </c>
      <c r="C844" s="195">
        <v>17086.25</v>
      </c>
    </row>
    <row r="845" spans="2:3" x14ac:dyDescent="0.25">
      <c r="B845" s="193">
        <v>44554</v>
      </c>
      <c r="C845" s="195">
        <v>17003.75</v>
      </c>
    </row>
    <row r="846" spans="2:3" x14ac:dyDescent="0.25">
      <c r="B846" s="193">
        <v>44553</v>
      </c>
      <c r="C846" s="195">
        <v>17072.599999999999</v>
      </c>
    </row>
    <row r="847" spans="2:3" x14ac:dyDescent="0.25">
      <c r="B847" s="193">
        <v>44552</v>
      </c>
      <c r="C847" s="195">
        <v>16955.45</v>
      </c>
    </row>
    <row r="848" spans="2:3" x14ac:dyDescent="0.25">
      <c r="B848" s="193">
        <v>44551</v>
      </c>
      <c r="C848" s="195">
        <v>16770.849999999999</v>
      </c>
    </row>
    <row r="849" spans="2:3" x14ac:dyDescent="0.25">
      <c r="B849" s="193">
        <v>44550</v>
      </c>
      <c r="C849" s="195">
        <v>16614.2</v>
      </c>
    </row>
    <row r="850" spans="2:3" x14ac:dyDescent="0.25">
      <c r="B850" s="193">
        <v>44547</v>
      </c>
      <c r="C850" s="195">
        <v>16985.2</v>
      </c>
    </row>
    <row r="851" spans="2:3" x14ac:dyDescent="0.25">
      <c r="B851" s="193">
        <v>44546</v>
      </c>
      <c r="C851" s="195">
        <v>17248.400000000001</v>
      </c>
    </row>
    <row r="852" spans="2:3" x14ac:dyDescent="0.25">
      <c r="B852" s="193">
        <v>44545</v>
      </c>
      <c r="C852" s="195">
        <v>17221.400000000001</v>
      </c>
    </row>
    <row r="853" spans="2:3" x14ac:dyDescent="0.25">
      <c r="B853" s="193">
        <v>44544</v>
      </c>
      <c r="C853" s="195">
        <v>17324.900000000001</v>
      </c>
    </row>
    <row r="854" spans="2:3" x14ac:dyDescent="0.25">
      <c r="B854" s="193">
        <v>44543</v>
      </c>
      <c r="C854" s="195">
        <v>17368.25</v>
      </c>
    </row>
    <row r="855" spans="2:3" x14ac:dyDescent="0.25">
      <c r="B855" s="193">
        <v>44540</v>
      </c>
      <c r="C855" s="195">
        <v>17511.3</v>
      </c>
    </row>
    <row r="856" spans="2:3" x14ac:dyDescent="0.25">
      <c r="B856" s="193">
        <v>44539</v>
      </c>
      <c r="C856" s="195">
        <v>17516.849999999999</v>
      </c>
    </row>
    <row r="857" spans="2:3" x14ac:dyDescent="0.25">
      <c r="B857" s="193">
        <v>44538</v>
      </c>
      <c r="C857" s="195">
        <v>17469.75</v>
      </c>
    </row>
    <row r="858" spans="2:3" x14ac:dyDescent="0.25">
      <c r="B858" s="193">
        <v>44537</v>
      </c>
      <c r="C858" s="195">
        <v>17176.7</v>
      </c>
    </row>
    <row r="859" spans="2:3" x14ac:dyDescent="0.25">
      <c r="B859" s="193">
        <v>44536</v>
      </c>
      <c r="C859" s="195">
        <v>16912.25</v>
      </c>
    </row>
    <row r="860" spans="2:3" x14ac:dyDescent="0.25">
      <c r="B860" s="193">
        <v>44533</v>
      </c>
      <c r="C860" s="195">
        <v>17196.7</v>
      </c>
    </row>
    <row r="861" spans="2:3" x14ac:dyDescent="0.25">
      <c r="B861" s="193">
        <v>44532</v>
      </c>
      <c r="C861" s="195">
        <v>17401.650000000001</v>
      </c>
    </row>
    <row r="862" spans="2:3" x14ac:dyDescent="0.25">
      <c r="B862" s="193">
        <v>44531</v>
      </c>
      <c r="C862" s="195">
        <v>17166.900000000001</v>
      </c>
    </row>
    <row r="863" spans="2:3" x14ac:dyDescent="0.25">
      <c r="B863" s="193">
        <v>44530</v>
      </c>
      <c r="C863" s="195">
        <v>16983.2</v>
      </c>
    </row>
    <row r="864" spans="2:3" x14ac:dyDescent="0.25">
      <c r="B864" s="193">
        <v>44529</v>
      </c>
      <c r="C864" s="195">
        <v>17053.95</v>
      </c>
    </row>
    <row r="865" spans="2:3" x14ac:dyDescent="0.25">
      <c r="B865" s="193">
        <v>44526</v>
      </c>
      <c r="C865" s="195">
        <v>17026.45</v>
      </c>
    </row>
    <row r="866" spans="2:3" x14ac:dyDescent="0.25">
      <c r="B866" s="193">
        <v>44525</v>
      </c>
      <c r="C866" s="195">
        <v>17536.25</v>
      </c>
    </row>
    <row r="867" spans="2:3" x14ac:dyDescent="0.25">
      <c r="B867" s="193">
        <v>44524</v>
      </c>
      <c r="C867" s="195">
        <v>17415.05</v>
      </c>
    </row>
    <row r="868" spans="2:3" x14ac:dyDescent="0.25">
      <c r="B868" s="193">
        <v>44523</v>
      </c>
      <c r="C868" s="195">
        <v>17503.349999999999</v>
      </c>
    </row>
    <row r="869" spans="2:3" x14ac:dyDescent="0.25">
      <c r="B869" s="193">
        <v>44522</v>
      </c>
      <c r="C869" s="195">
        <v>17416.55</v>
      </c>
    </row>
    <row r="870" spans="2:3" x14ac:dyDescent="0.25">
      <c r="B870" s="193">
        <v>44518</v>
      </c>
      <c r="C870" s="195">
        <v>17764.8</v>
      </c>
    </row>
    <row r="871" spans="2:3" x14ac:dyDescent="0.25">
      <c r="B871" s="193">
        <v>44517</v>
      </c>
      <c r="C871" s="195">
        <v>17898.650000000001</v>
      </c>
    </row>
    <row r="872" spans="2:3" x14ac:dyDescent="0.25">
      <c r="B872" s="193">
        <v>44516</v>
      </c>
      <c r="C872" s="195">
        <v>17999.2</v>
      </c>
    </row>
    <row r="873" spans="2:3" x14ac:dyDescent="0.25">
      <c r="B873" s="193">
        <v>44515</v>
      </c>
      <c r="C873" s="195">
        <v>18109.45</v>
      </c>
    </row>
    <row r="874" spans="2:3" x14ac:dyDescent="0.25">
      <c r="B874" s="193">
        <v>44512</v>
      </c>
      <c r="C874" s="195">
        <v>18102.75</v>
      </c>
    </row>
    <row r="875" spans="2:3" x14ac:dyDescent="0.25">
      <c r="B875" s="193">
        <v>44511</v>
      </c>
      <c r="C875" s="195">
        <v>17873.599999999999</v>
      </c>
    </row>
    <row r="876" spans="2:3" x14ac:dyDescent="0.25">
      <c r="B876" s="193">
        <v>44510</v>
      </c>
      <c r="C876" s="195">
        <v>18017.2</v>
      </c>
    </row>
    <row r="877" spans="2:3" x14ac:dyDescent="0.25">
      <c r="B877" s="193">
        <v>44509</v>
      </c>
      <c r="C877" s="195">
        <v>18044.25</v>
      </c>
    </row>
    <row r="878" spans="2:3" x14ac:dyDescent="0.25">
      <c r="B878" s="193">
        <v>44508</v>
      </c>
      <c r="C878" s="195">
        <v>18068.55</v>
      </c>
    </row>
    <row r="879" spans="2:3" x14ac:dyDescent="0.25">
      <c r="B879" s="193">
        <v>44504</v>
      </c>
      <c r="C879" s="195">
        <v>17916.8</v>
      </c>
    </row>
    <row r="880" spans="2:3" x14ac:dyDescent="0.25">
      <c r="B880" s="193">
        <v>44503</v>
      </c>
      <c r="C880" s="195">
        <v>17829.2</v>
      </c>
    </row>
    <row r="881" spans="2:3" x14ac:dyDescent="0.25">
      <c r="B881" s="193">
        <v>44502</v>
      </c>
      <c r="C881" s="195">
        <v>17888.95</v>
      </c>
    </row>
    <row r="882" spans="2:3" x14ac:dyDescent="0.25">
      <c r="B882" s="193">
        <v>44501</v>
      </c>
      <c r="C882" s="195">
        <v>17929.650000000001</v>
      </c>
    </row>
    <row r="883" spans="2:3" x14ac:dyDescent="0.25">
      <c r="B883" s="193">
        <v>44498</v>
      </c>
      <c r="C883" s="195">
        <v>17671.650000000001</v>
      </c>
    </row>
    <row r="884" spans="2:3" x14ac:dyDescent="0.25">
      <c r="B884" s="193">
        <v>44497</v>
      </c>
      <c r="C884" s="195">
        <v>17857.25</v>
      </c>
    </row>
    <row r="885" spans="2:3" x14ac:dyDescent="0.25">
      <c r="B885" s="193">
        <v>44496</v>
      </c>
      <c r="C885" s="195">
        <v>18210.95</v>
      </c>
    </row>
    <row r="886" spans="2:3" x14ac:dyDescent="0.25">
      <c r="B886" s="193">
        <v>44495</v>
      </c>
      <c r="C886" s="195">
        <v>18268.400000000001</v>
      </c>
    </row>
    <row r="887" spans="2:3" x14ac:dyDescent="0.25">
      <c r="B887" s="193">
        <v>44494</v>
      </c>
      <c r="C887" s="195">
        <v>18125.400000000001</v>
      </c>
    </row>
    <row r="888" spans="2:3" x14ac:dyDescent="0.25">
      <c r="B888" s="193">
        <v>44491</v>
      </c>
      <c r="C888" s="195">
        <v>18114.900000000001</v>
      </c>
    </row>
    <row r="889" spans="2:3" x14ac:dyDescent="0.25">
      <c r="B889" s="193">
        <v>44490</v>
      </c>
      <c r="C889" s="195">
        <v>18178.099999999999</v>
      </c>
    </row>
    <row r="890" spans="2:3" x14ac:dyDescent="0.25">
      <c r="B890" s="193">
        <v>44489</v>
      </c>
      <c r="C890" s="195">
        <v>18266.599999999999</v>
      </c>
    </row>
    <row r="891" spans="2:3" x14ac:dyDescent="0.25">
      <c r="B891" s="193">
        <v>44488</v>
      </c>
      <c r="C891" s="195">
        <v>18418.75</v>
      </c>
    </row>
    <row r="892" spans="2:3" x14ac:dyDescent="0.25">
      <c r="B892" s="193">
        <v>44487</v>
      </c>
      <c r="C892" s="195">
        <v>18477.05</v>
      </c>
    </row>
    <row r="893" spans="2:3" x14ac:dyDescent="0.25">
      <c r="B893" s="193">
        <v>44483</v>
      </c>
      <c r="C893" s="195">
        <v>18338.55</v>
      </c>
    </row>
    <row r="894" spans="2:3" x14ac:dyDescent="0.25">
      <c r="B894" s="193">
        <v>44482</v>
      </c>
      <c r="C894" s="195">
        <v>18161.75</v>
      </c>
    </row>
    <row r="895" spans="2:3" x14ac:dyDescent="0.25">
      <c r="B895" s="193">
        <v>44481</v>
      </c>
      <c r="C895" s="195">
        <v>17991.95</v>
      </c>
    </row>
    <row r="896" spans="2:3" x14ac:dyDescent="0.25">
      <c r="B896" s="193">
        <v>44480</v>
      </c>
      <c r="C896" s="195">
        <v>17945.95</v>
      </c>
    </row>
    <row r="897" spans="2:3" x14ac:dyDescent="0.25">
      <c r="B897" s="193">
        <v>44477</v>
      </c>
      <c r="C897" s="195">
        <v>17895.2</v>
      </c>
    </row>
    <row r="898" spans="2:3" x14ac:dyDescent="0.25">
      <c r="B898" s="193">
        <v>44476</v>
      </c>
      <c r="C898" s="195">
        <v>17790.349999999999</v>
      </c>
    </row>
    <row r="899" spans="2:3" x14ac:dyDescent="0.25">
      <c r="B899" s="193">
        <v>44475</v>
      </c>
      <c r="C899" s="195">
        <v>17646</v>
      </c>
    </row>
    <row r="900" spans="2:3" x14ac:dyDescent="0.25">
      <c r="B900" s="193">
        <v>44474</v>
      </c>
      <c r="C900" s="195">
        <v>17822.3</v>
      </c>
    </row>
    <row r="901" spans="2:3" x14ac:dyDescent="0.25">
      <c r="B901" s="193">
        <v>44473</v>
      </c>
      <c r="C901" s="195">
        <v>17691.25</v>
      </c>
    </row>
    <row r="902" spans="2:3" x14ac:dyDescent="0.25">
      <c r="B902" s="193">
        <v>44470</v>
      </c>
      <c r="C902" s="195">
        <v>17532.05</v>
      </c>
    </row>
    <row r="903" spans="2:3" x14ac:dyDescent="0.25">
      <c r="B903" s="193">
        <v>44469</v>
      </c>
      <c r="C903" s="195">
        <v>17618.150000000001</v>
      </c>
    </row>
    <row r="904" spans="2:3" x14ac:dyDescent="0.25">
      <c r="B904" s="193">
        <v>44468</v>
      </c>
      <c r="C904" s="195">
        <v>17711.3</v>
      </c>
    </row>
    <row r="905" spans="2:3" x14ac:dyDescent="0.25">
      <c r="B905" s="193">
        <v>44467</v>
      </c>
      <c r="C905" s="195">
        <v>17748.599999999999</v>
      </c>
    </row>
    <row r="906" spans="2:3" x14ac:dyDescent="0.25">
      <c r="B906" s="193">
        <v>44466</v>
      </c>
      <c r="C906" s="195">
        <v>17855.099999999999</v>
      </c>
    </row>
    <row r="907" spans="2:3" x14ac:dyDescent="0.25">
      <c r="B907" s="193">
        <v>44463</v>
      </c>
      <c r="C907" s="195">
        <v>17853.2</v>
      </c>
    </row>
    <row r="908" spans="2:3" x14ac:dyDescent="0.25">
      <c r="B908" s="193">
        <v>44462</v>
      </c>
      <c r="C908" s="195">
        <v>17822.95</v>
      </c>
    </row>
    <row r="909" spans="2:3" x14ac:dyDescent="0.25">
      <c r="B909" s="193">
        <v>44461</v>
      </c>
      <c r="C909" s="195">
        <v>17546.650000000001</v>
      </c>
    </row>
    <row r="910" spans="2:3" x14ac:dyDescent="0.25">
      <c r="B910" s="193">
        <v>44460</v>
      </c>
      <c r="C910" s="195">
        <v>17562</v>
      </c>
    </row>
    <row r="911" spans="2:3" x14ac:dyDescent="0.25">
      <c r="B911" s="193">
        <v>44459</v>
      </c>
      <c r="C911" s="195">
        <v>17396.900000000001</v>
      </c>
    </row>
    <row r="912" spans="2:3" x14ac:dyDescent="0.25">
      <c r="B912" s="193">
        <v>44456</v>
      </c>
      <c r="C912" s="195">
        <v>17585.150000000001</v>
      </c>
    </row>
    <row r="913" spans="2:3" x14ac:dyDescent="0.25">
      <c r="B913" s="193">
        <v>44455</v>
      </c>
      <c r="C913" s="195">
        <v>17629.5</v>
      </c>
    </row>
    <row r="914" spans="2:3" x14ac:dyDescent="0.25">
      <c r="B914" s="193">
        <v>44454</v>
      </c>
      <c r="C914" s="195">
        <v>17519.45</v>
      </c>
    </row>
    <row r="915" spans="2:3" x14ac:dyDescent="0.25">
      <c r="B915" s="193">
        <v>44453</v>
      </c>
      <c r="C915" s="195">
        <v>17380</v>
      </c>
    </row>
    <row r="916" spans="2:3" x14ac:dyDescent="0.25">
      <c r="B916" s="193">
        <v>44452</v>
      </c>
      <c r="C916" s="195">
        <v>17355.3</v>
      </c>
    </row>
    <row r="917" spans="2:3" x14ac:dyDescent="0.25">
      <c r="B917" s="193">
        <v>44448</v>
      </c>
      <c r="C917" s="195">
        <v>17369.25</v>
      </c>
    </row>
    <row r="918" spans="2:3" x14ac:dyDescent="0.25">
      <c r="B918" s="193">
        <v>44447</v>
      </c>
      <c r="C918" s="195">
        <v>17353.5</v>
      </c>
    </row>
    <row r="919" spans="2:3" x14ac:dyDescent="0.25">
      <c r="B919" s="193">
        <v>44446</v>
      </c>
      <c r="C919" s="195">
        <v>17362.099999999999</v>
      </c>
    </row>
    <row r="920" spans="2:3" x14ac:dyDescent="0.25">
      <c r="B920" s="193">
        <v>44445</v>
      </c>
      <c r="C920" s="195">
        <v>17377.8</v>
      </c>
    </row>
    <row r="921" spans="2:3" x14ac:dyDescent="0.25">
      <c r="B921" s="193">
        <v>44442</v>
      </c>
      <c r="C921" s="195">
        <v>17323.599999999999</v>
      </c>
    </row>
    <row r="922" spans="2:3" x14ac:dyDescent="0.25">
      <c r="B922" s="193">
        <v>44441</v>
      </c>
      <c r="C922" s="195">
        <v>17234.150000000001</v>
      </c>
    </row>
    <row r="923" spans="2:3" x14ac:dyDescent="0.25">
      <c r="B923" s="193">
        <v>44440</v>
      </c>
      <c r="C923" s="195">
        <v>17076.25</v>
      </c>
    </row>
    <row r="924" spans="2:3" x14ac:dyDescent="0.25">
      <c r="B924" s="193">
        <v>44439</v>
      </c>
      <c r="C924" s="195">
        <v>17132.2</v>
      </c>
    </row>
    <row r="925" spans="2:3" x14ac:dyDescent="0.25">
      <c r="B925" s="193">
        <v>44438</v>
      </c>
      <c r="C925" s="195">
        <v>16931.05</v>
      </c>
    </row>
    <row r="926" spans="2:3" x14ac:dyDescent="0.25">
      <c r="B926" s="193">
        <v>44435</v>
      </c>
      <c r="C926" s="195">
        <v>16705.2</v>
      </c>
    </row>
    <row r="927" spans="2:3" x14ac:dyDescent="0.25">
      <c r="B927" s="193">
        <v>44434</v>
      </c>
      <c r="C927" s="195">
        <v>16636.900000000001</v>
      </c>
    </row>
    <row r="928" spans="2:3" x14ac:dyDescent="0.25">
      <c r="B928" s="193">
        <v>44433</v>
      </c>
      <c r="C928" s="195">
        <v>16634.650000000001</v>
      </c>
    </row>
    <row r="929" spans="2:3" x14ac:dyDescent="0.25">
      <c r="B929" s="193">
        <v>44432</v>
      </c>
      <c r="C929" s="195">
        <v>16624.599999999999</v>
      </c>
    </row>
    <row r="930" spans="2:3" x14ac:dyDescent="0.25">
      <c r="B930" s="193">
        <v>44431</v>
      </c>
      <c r="C930" s="195">
        <v>16496.45</v>
      </c>
    </row>
    <row r="931" spans="2:3" x14ac:dyDescent="0.25">
      <c r="B931" s="193">
        <v>44428</v>
      </c>
      <c r="C931" s="195">
        <v>16450.5</v>
      </c>
    </row>
    <row r="932" spans="2:3" x14ac:dyDescent="0.25">
      <c r="B932" s="193">
        <v>44426</v>
      </c>
      <c r="C932" s="195">
        <v>16568.849999999999</v>
      </c>
    </row>
    <row r="933" spans="2:3" x14ac:dyDescent="0.25">
      <c r="B933" s="193">
        <v>44425</v>
      </c>
      <c r="C933" s="195">
        <v>16614.599999999999</v>
      </c>
    </row>
    <row r="934" spans="2:3" x14ac:dyDescent="0.25">
      <c r="B934" s="193">
        <v>44424</v>
      </c>
      <c r="C934" s="195">
        <v>16563.05</v>
      </c>
    </row>
    <row r="935" spans="2:3" x14ac:dyDescent="0.25">
      <c r="B935" s="193">
        <v>44421</v>
      </c>
      <c r="C935" s="195">
        <v>16529.099999999999</v>
      </c>
    </row>
    <row r="936" spans="2:3" x14ac:dyDescent="0.25">
      <c r="B936" s="193">
        <v>44420</v>
      </c>
      <c r="C936" s="195">
        <v>16364.4</v>
      </c>
    </row>
    <row r="937" spans="2:3" x14ac:dyDescent="0.25">
      <c r="B937" s="193">
        <v>44419</v>
      </c>
      <c r="C937" s="195">
        <v>16282.25</v>
      </c>
    </row>
    <row r="938" spans="2:3" x14ac:dyDescent="0.25">
      <c r="B938" s="193">
        <v>44418</v>
      </c>
      <c r="C938" s="195">
        <v>16280.1</v>
      </c>
    </row>
    <row r="939" spans="2:3" x14ac:dyDescent="0.25">
      <c r="B939" s="193">
        <v>44417</v>
      </c>
      <c r="C939" s="195">
        <v>16258.25</v>
      </c>
    </row>
    <row r="940" spans="2:3" x14ac:dyDescent="0.25">
      <c r="B940" s="193">
        <v>44414</v>
      </c>
      <c r="C940" s="195">
        <v>16238.2</v>
      </c>
    </row>
    <row r="941" spans="2:3" x14ac:dyDescent="0.25">
      <c r="B941" s="193">
        <v>44413</v>
      </c>
      <c r="C941" s="195">
        <v>16294.6</v>
      </c>
    </row>
    <row r="942" spans="2:3" x14ac:dyDescent="0.25">
      <c r="B942" s="193">
        <v>44412</v>
      </c>
      <c r="C942" s="195">
        <v>16258.8</v>
      </c>
    </row>
    <row r="943" spans="2:3" x14ac:dyDescent="0.25">
      <c r="B943" s="193">
        <v>44411</v>
      </c>
      <c r="C943" s="195">
        <v>16130.75</v>
      </c>
    </row>
    <row r="944" spans="2:3" x14ac:dyDescent="0.25">
      <c r="B944" s="193">
        <v>44410</v>
      </c>
      <c r="C944" s="195">
        <v>15885.15</v>
      </c>
    </row>
    <row r="945" spans="2:3" x14ac:dyDescent="0.25">
      <c r="B945" s="193">
        <v>44407</v>
      </c>
      <c r="C945" s="195">
        <v>15763.05</v>
      </c>
    </row>
    <row r="946" spans="2:3" x14ac:dyDescent="0.25">
      <c r="B946" s="193">
        <v>44406</v>
      </c>
      <c r="C946" s="195">
        <v>15778.45</v>
      </c>
    </row>
    <row r="947" spans="2:3" x14ac:dyDescent="0.25">
      <c r="B947" s="193">
        <v>44405</v>
      </c>
      <c r="C947" s="195">
        <v>15709.4</v>
      </c>
    </row>
    <row r="948" spans="2:3" x14ac:dyDescent="0.25">
      <c r="B948" s="193">
        <v>44404</v>
      </c>
      <c r="C948" s="195">
        <v>15746.45</v>
      </c>
    </row>
    <row r="949" spans="2:3" x14ac:dyDescent="0.25">
      <c r="B949" s="193">
        <v>44403</v>
      </c>
      <c r="C949" s="195">
        <v>15824.45</v>
      </c>
    </row>
    <row r="950" spans="2:3" x14ac:dyDescent="0.25">
      <c r="B950" s="193">
        <v>44400</v>
      </c>
      <c r="C950" s="195">
        <v>15856.05</v>
      </c>
    </row>
    <row r="951" spans="2:3" x14ac:dyDescent="0.25">
      <c r="B951" s="193">
        <v>44399</v>
      </c>
      <c r="C951" s="195">
        <v>15824.05</v>
      </c>
    </row>
    <row r="952" spans="2:3" x14ac:dyDescent="0.25">
      <c r="B952" s="193">
        <v>44397</v>
      </c>
      <c r="C952" s="195">
        <v>15632.1</v>
      </c>
    </row>
    <row r="953" spans="2:3" x14ac:dyDescent="0.25">
      <c r="B953" s="193">
        <v>44396</v>
      </c>
      <c r="C953" s="195">
        <v>15752.4</v>
      </c>
    </row>
    <row r="954" spans="2:3" x14ac:dyDescent="0.25">
      <c r="B954" s="193">
        <v>44393</v>
      </c>
      <c r="C954" s="195">
        <v>15923.4</v>
      </c>
    </row>
    <row r="955" spans="2:3" x14ac:dyDescent="0.25">
      <c r="B955" s="193">
        <v>44392</v>
      </c>
      <c r="C955" s="195">
        <v>15924.2</v>
      </c>
    </row>
    <row r="956" spans="2:3" x14ac:dyDescent="0.25">
      <c r="B956" s="193">
        <v>44391</v>
      </c>
      <c r="C956" s="195">
        <v>15853.95</v>
      </c>
    </row>
    <row r="957" spans="2:3" x14ac:dyDescent="0.25">
      <c r="B957" s="193">
        <v>44390</v>
      </c>
      <c r="C957" s="195">
        <v>15812.35</v>
      </c>
    </row>
    <row r="958" spans="2:3" x14ac:dyDescent="0.25">
      <c r="B958" s="193">
        <v>44389</v>
      </c>
      <c r="C958" s="195">
        <v>15692.6</v>
      </c>
    </row>
    <row r="959" spans="2:3" x14ac:dyDescent="0.25">
      <c r="B959" s="193">
        <v>44386</v>
      </c>
      <c r="C959" s="195">
        <v>15689.8</v>
      </c>
    </row>
    <row r="960" spans="2:3" x14ac:dyDescent="0.25">
      <c r="B960" s="193">
        <v>44385</v>
      </c>
      <c r="C960" s="195">
        <v>15727.9</v>
      </c>
    </row>
    <row r="961" spans="2:3" x14ac:dyDescent="0.25">
      <c r="B961" s="193">
        <v>44384</v>
      </c>
      <c r="C961" s="195">
        <v>15879.65</v>
      </c>
    </row>
    <row r="962" spans="2:3" x14ac:dyDescent="0.25">
      <c r="B962" s="193">
        <v>44383</v>
      </c>
      <c r="C962" s="195">
        <v>15818.25</v>
      </c>
    </row>
    <row r="963" spans="2:3" x14ac:dyDescent="0.25">
      <c r="B963" s="193">
        <v>44382</v>
      </c>
      <c r="C963" s="195">
        <v>15834.35</v>
      </c>
    </row>
    <row r="964" spans="2:3" x14ac:dyDescent="0.25">
      <c r="B964" s="193">
        <v>44379</v>
      </c>
      <c r="C964" s="195">
        <v>15722.2</v>
      </c>
    </row>
    <row r="965" spans="2:3" x14ac:dyDescent="0.25">
      <c r="B965" s="193">
        <v>44378</v>
      </c>
      <c r="C965" s="195">
        <v>15680</v>
      </c>
    </row>
    <row r="966" spans="2:3" x14ac:dyDescent="0.25">
      <c r="B966" s="193">
        <v>44377</v>
      </c>
      <c r="C966" s="195">
        <v>15721.5</v>
      </c>
    </row>
    <row r="967" spans="2:3" x14ac:dyDescent="0.25">
      <c r="B967" s="193">
        <v>44376</v>
      </c>
      <c r="C967" s="195">
        <v>15748.45</v>
      </c>
    </row>
    <row r="968" spans="2:3" x14ac:dyDescent="0.25">
      <c r="B968" s="193">
        <v>44375</v>
      </c>
      <c r="C968" s="195">
        <v>15814.7</v>
      </c>
    </row>
    <row r="969" spans="2:3" x14ac:dyDescent="0.25">
      <c r="B969" s="193">
        <v>44372</v>
      </c>
      <c r="C969" s="195">
        <v>15860.35</v>
      </c>
    </row>
    <row r="970" spans="2:3" x14ac:dyDescent="0.25">
      <c r="B970" s="193">
        <v>44371</v>
      </c>
      <c r="C970" s="195">
        <v>15790.45</v>
      </c>
    </row>
    <row r="971" spans="2:3" x14ac:dyDescent="0.25">
      <c r="B971" s="193">
        <v>44370</v>
      </c>
      <c r="C971" s="195">
        <v>15686.95</v>
      </c>
    </row>
    <row r="972" spans="2:3" x14ac:dyDescent="0.25">
      <c r="B972" s="193">
        <v>44369</v>
      </c>
      <c r="C972" s="195">
        <v>15772.75</v>
      </c>
    </row>
    <row r="973" spans="2:3" x14ac:dyDescent="0.25">
      <c r="B973" s="193">
        <v>44368</v>
      </c>
      <c r="C973" s="195">
        <v>15746.5</v>
      </c>
    </row>
    <row r="974" spans="2:3" x14ac:dyDescent="0.25">
      <c r="B974" s="193">
        <v>44365</v>
      </c>
      <c r="C974" s="195">
        <v>15683.35</v>
      </c>
    </row>
    <row r="975" spans="2:3" x14ac:dyDescent="0.25">
      <c r="B975" s="193">
        <v>44364</v>
      </c>
      <c r="C975" s="195">
        <v>15691.4</v>
      </c>
    </row>
    <row r="976" spans="2:3" x14ac:dyDescent="0.25">
      <c r="B976" s="193">
        <v>44363</v>
      </c>
      <c r="C976" s="195">
        <v>15767.55</v>
      </c>
    </row>
    <row r="977" spans="2:3" x14ac:dyDescent="0.25">
      <c r="B977" s="193">
        <v>44362</v>
      </c>
      <c r="C977" s="195">
        <v>15869.25</v>
      </c>
    </row>
    <row r="978" spans="2:3" x14ac:dyDescent="0.25">
      <c r="B978" s="193">
        <v>44361</v>
      </c>
      <c r="C978" s="195">
        <v>15811.85</v>
      </c>
    </row>
    <row r="979" spans="2:3" x14ac:dyDescent="0.25">
      <c r="B979" s="193">
        <v>44358</v>
      </c>
      <c r="C979" s="195">
        <v>15799.35</v>
      </c>
    </row>
    <row r="980" spans="2:3" x14ac:dyDescent="0.25">
      <c r="B980" s="193">
        <v>44357</v>
      </c>
      <c r="C980" s="195">
        <v>15737.75</v>
      </c>
    </row>
    <row r="981" spans="2:3" x14ac:dyDescent="0.25">
      <c r="B981" s="193">
        <v>44356</v>
      </c>
      <c r="C981" s="195">
        <v>15635.35</v>
      </c>
    </row>
    <row r="982" spans="2:3" x14ac:dyDescent="0.25">
      <c r="B982" s="193">
        <v>44355</v>
      </c>
      <c r="C982" s="195">
        <v>15740.1</v>
      </c>
    </row>
    <row r="983" spans="2:3" x14ac:dyDescent="0.25">
      <c r="B983" s="193">
        <v>44354</v>
      </c>
      <c r="C983" s="195">
        <v>15751.65</v>
      </c>
    </row>
    <row r="984" spans="2:3" x14ac:dyDescent="0.25">
      <c r="B984" s="193">
        <v>44351</v>
      </c>
      <c r="C984" s="195">
        <v>15670.25</v>
      </c>
    </row>
    <row r="985" spans="2:3" x14ac:dyDescent="0.25">
      <c r="B985" s="193">
        <v>44350</v>
      </c>
      <c r="C985" s="195">
        <v>15690.35</v>
      </c>
    </row>
    <row r="986" spans="2:3" x14ac:dyDescent="0.25">
      <c r="B986" s="193">
        <v>44349</v>
      </c>
      <c r="C986" s="195">
        <v>15576.2</v>
      </c>
    </row>
    <row r="987" spans="2:3" x14ac:dyDescent="0.25">
      <c r="B987" s="193">
        <v>44348</v>
      </c>
      <c r="C987" s="195">
        <v>15574.85</v>
      </c>
    </row>
    <row r="988" spans="2:3" x14ac:dyDescent="0.25">
      <c r="B988" s="193">
        <v>44347</v>
      </c>
      <c r="C988" s="195">
        <v>15582.8</v>
      </c>
    </row>
    <row r="989" spans="2:3" x14ac:dyDescent="0.25">
      <c r="B989" s="193">
        <v>44344</v>
      </c>
      <c r="C989" s="195">
        <v>15435.65</v>
      </c>
    </row>
    <row r="990" spans="2:3" x14ac:dyDescent="0.25">
      <c r="B990" s="193">
        <v>44343</v>
      </c>
      <c r="C990" s="195">
        <v>15337.85</v>
      </c>
    </row>
    <row r="991" spans="2:3" x14ac:dyDescent="0.25">
      <c r="B991" s="193">
        <v>44342</v>
      </c>
      <c r="C991" s="195">
        <v>15301.45</v>
      </c>
    </row>
    <row r="992" spans="2:3" x14ac:dyDescent="0.25">
      <c r="B992" s="193">
        <v>44341</v>
      </c>
      <c r="C992" s="195">
        <v>15208.45</v>
      </c>
    </row>
    <row r="993" spans="2:3" x14ac:dyDescent="0.25">
      <c r="B993" s="193">
        <v>44340</v>
      </c>
      <c r="C993" s="195">
        <v>15197.7</v>
      </c>
    </row>
    <row r="994" spans="2:3" x14ac:dyDescent="0.25">
      <c r="B994" s="193">
        <v>44337</v>
      </c>
      <c r="C994" s="195">
        <v>15175.3</v>
      </c>
    </row>
    <row r="995" spans="2:3" x14ac:dyDescent="0.25">
      <c r="B995" s="193">
        <v>44336</v>
      </c>
      <c r="C995" s="195">
        <v>14906.05</v>
      </c>
    </row>
    <row r="996" spans="2:3" x14ac:dyDescent="0.25">
      <c r="B996" s="193">
        <v>44335</v>
      </c>
      <c r="C996" s="195">
        <v>15030.15</v>
      </c>
    </row>
    <row r="997" spans="2:3" x14ac:dyDescent="0.25">
      <c r="B997" s="193">
        <v>44334</v>
      </c>
      <c r="C997" s="195">
        <v>15108.1</v>
      </c>
    </row>
    <row r="998" spans="2:3" x14ac:dyDescent="0.25">
      <c r="B998" s="193">
        <v>44333</v>
      </c>
      <c r="C998" s="195">
        <v>14923.15</v>
      </c>
    </row>
    <row r="999" spans="2:3" x14ac:dyDescent="0.25">
      <c r="B999" s="193">
        <v>44330</v>
      </c>
      <c r="C999" s="195">
        <v>14677.8</v>
      </c>
    </row>
    <row r="1000" spans="2:3" x14ac:dyDescent="0.25">
      <c r="B1000" s="193">
        <v>44328</v>
      </c>
      <c r="C1000" s="195">
        <v>14696.5</v>
      </c>
    </row>
    <row r="1001" spans="2:3" x14ac:dyDescent="0.25">
      <c r="B1001" s="193">
        <v>44327</v>
      </c>
      <c r="C1001" s="195">
        <v>14850.75</v>
      </c>
    </row>
    <row r="1002" spans="2:3" x14ac:dyDescent="0.25">
      <c r="B1002" s="193">
        <v>44326</v>
      </c>
      <c r="C1002" s="195">
        <v>14942.35</v>
      </c>
    </row>
    <row r="1003" spans="2:3" x14ac:dyDescent="0.25">
      <c r="B1003" s="193">
        <v>44323</v>
      </c>
      <c r="C1003" s="195">
        <v>14823.15</v>
      </c>
    </row>
    <row r="1004" spans="2:3" x14ac:dyDescent="0.25">
      <c r="B1004" s="193">
        <v>44322</v>
      </c>
      <c r="C1004" s="195">
        <v>14724.8</v>
      </c>
    </row>
    <row r="1005" spans="2:3" x14ac:dyDescent="0.25">
      <c r="B1005" s="193">
        <v>44321</v>
      </c>
      <c r="C1005" s="195">
        <v>14617.85</v>
      </c>
    </row>
    <row r="1006" spans="2:3" x14ac:dyDescent="0.25">
      <c r="B1006" s="193">
        <v>44320</v>
      </c>
      <c r="C1006" s="195">
        <v>14496.5</v>
      </c>
    </row>
    <row r="1007" spans="2:3" x14ac:dyDescent="0.25">
      <c r="B1007" s="193">
        <v>44319</v>
      </c>
      <c r="C1007" s="195">
        <v>14634.15</v>
      </c>
    </row>
    <row r="1008" spans="2:3" x14ac:dyDescent="0.25">
      <c r="B1008" s="193">
        <v>44316</v>
      </c>
      <c r="C1008" s="195">
        <v>14631.1</v>
      </c>
    </row>
    <row r="1009" spans="2:3" x14ac:dyDescent="0.25">
      <c r="B1009" s="193">
        <v>44315</v>
      </c>
      <c r="C1009" s="195">
        <v>14894.9</v>
      </c>
    </row>
    <row r="1010" spans="2:3" x14ac:dyDescent="0.25">
      <c r="B1010" s="193">
        <v>44314</v>
      </c>
      <c r="C1010" s="195">
        <v>14864.55</v>
      </c>
    </row>
    <row r="1011" spans="2:3" x14ac:dyDescent="0.25">
      <c r="B1011" s="193">
        <v>44313</v>
      </c>
      <c r="C1011" s="195">
        <v>14653.05</v>
      </c>
    </row>
    <row r="1012" spans="2:3" x14ac:dyDescent="0.25">
      <c r="B1012" s="193">
        <v>44312</v>
      </c>
      <c r="C1012" s="195">
        <v>14485</v>
      </c>
    </row>
    <row r="1013" spans="2:3" x14ac:dyDescent="0.25">
      <c r="B1013" s="193">
        <v>44309</v>
      </c>
      <c r="C1013" s="195">
        <v>14341.35</v>
      </c>
    </row>
    <row r="1014" spans="2:3" x14ac:dyDescent="0.25">
      <c r="B1014" s="193">
        <v>44308</v>
      </c>
      <c r="C1014" s="195">
        <v>14406.15</v>
      </c>
    </row>
    <row r="1015" spans="2:3" x14ac:dyDescent="0.25">
      <c r="B1015" s="193">
        <v>44306</v>
      </c>
      <c r="C1015" s="195">
        <v>14296.4</v>
      </c>
    </row>
    <row r="1016" spans="2:3" x14ac:dyDescent="0.25">
      <c r="B1016" s="193">
        <v>44305</v>
      </c>
      <c r="C1016" s="195">
        <v>14359.45</v>
      </c>
    </row>
    <row r="1017" spans="2:3" x14ac:dyDescent="0.25">
      <c r="B1017" s="193">
        <v>44302</v>
      </c>
      <c r="C1017" s="195">
        <v>14617.85</v>
      </c>
    </row>
    <row r="1018" spans="2:3" x14ac:dyDescent="0.25">
      <c r="B1018" s="193">
        <v>44301</v>
      </c>
      <c r="C1018" s="195">
        <v>14581.45</v>
      </c>
    </row>
    <row r="1019" spans="2:3" x14ac:dyDescent="0.25">
      <c r="B1019" s="193">
        <v>44299</v>
      </c>
      <c r="C1019" s="195">
        <v>14504.8</v>
      </c>
    </row>
    <row r="1020" spans="2:3" x14ac:dyDescent="0.25">
      <c r="B1020" s="193">
        <v>44298</v>
      </c>
      <c r="C1020" s="195">
        <v>14310.8</v>
      </c>
    </row>
    <row r="1021" spans="2:3" x14ac:dyDescent="0.25">
      <c r="B1021" s="193">
        <v>44295</v>
      </c>
      <c r="C1021" s="195">
        <v>14834.85</v>
      </c>
    </row>
    <row r="1022" spans="2:3" x14ac:dyDescent="0.25">
      <c r="B1022" s="193">
        <v>44294</v>
      </c>
      <c r="C1022" s="195">
        <v>14873.8</v>
      </c>
    </row>
    <row r="1023" spans="2:3" x14ac:dyDescent="0.25">
      <c r="B1023" s="193">
        <v>44293</v>
      </c>
      <c r="C1023" s="195">
        <v>14819.05</v>
      </c>
    </row>
    <row r="1024" spans="2:3" x14ac:dyDescent="0.25">
      <c r="B1024" s="193">
        <v>44292</v>
      </c>
      <c r="C1024" s="195">
        <v>14683.5</v>
      </c>
    </row>
    <row r="1025" spans="2:3" x14ac:dyDescent="0.25">
      <c r="B1025" s="193">
        <v>44291</v>
      </c>
      <c r="C1025" s="195">
        <v>14637.8</v>
      </c>
    </row>
    <row r="1026" spans="2:3" x14ac:dyDescent="0.25">
      <c r="B1026" s="193">
        <v>44287</v>
      </c>
      <c r="C1026" s="195">
        <v>14867.35</v>
      </c>
    </row>
    <row r="1027" spans="2:3" x14ac:dyDescent="0.25">
      <c r="B1027" s="193">
        <v>44286</v>
      </c>
      <c r="C1027" s="195">
        <v>14690.7</v>
      </c>
    </row>
    <row r="1028" spans="2:3" x14ac:dyDescent="0.25">
      <c r="B1028" s="193">
        <v>44285</v>
      </c>
      <c r="C1028" s="195">
        <v>14845.1</v>
      </c>
    </row>
    <row r="1029" spans="2:3" x14ac:dyDescent="0.25">
      <c r="B1029" s="193">
        <v>44281</v>
      </c>
      <c r="C1029" s="195">
        <v>14507.3</v>
      </c>
    </row>
    <row r="1030" spans="2:3" x14ac:dyDescent="0.25">
      <c r="B1030" s="193">
        <v>44280</v>
      </c>
      <c r="C1030" s="195">
        <v>14324.9</v>
      </c>
    </row>
    <row r="1031" spans="2:3" x14ac:dyDescent="0.25">
      <c r="B1031" s="193">
        <v>44279</v>
      </c>
      <c r="C1031" s="195">
        <v>14549.4</v>
      </c>
    </row>
    <row r="1032" spans="2:3" x14ac:dyDescent="0.25">
      <c r="B1032" s="193">
        <v>44278</v>
      </c>
      <c r="C1032" s="195">
        <v>14814.75</v>
      </c>
    </row>
    <row r="1033" spans="2:3" x14ac:dyDescent="0.25">
      <c r="B1033" s="193">
        <v>44277</v>
      </c>
      <c r="C1033" s="195">
        <v>14736.4</v>
      </c>
    </row>
    <row r="1034" spans="2:3" x14ac:dyDescent="0.25">
      <c r="B1034" s="193">
        <v>44274</v>
      </c>
      <c r="C1034" s="195">
        <v>14744</v>
      </c>
    </row>
    <row r="1035" spans="2:3" x14ac:dyDescent="0.25">
      <c r="B1035" s="193">
        <v>44273</v>
      </c>
      <c r="C1035" s="195">
        <v>14557.85</v>
      </c>
    </row>
    <row r="1036" spans="2:3" x14ac:dyDescent="0.25">
      <c r="B1036" s="193">
        <v>44272</v>
      </c>
      <c r="C1036" s="195">
        <v>14721.3</v>
      </c>
    </row>
    <row r="1037" spans="2:3" x14ac:dyDescent="0.25">
      <c r="B1037" s="193">
        <v>44271</v>
      </c>
      <c r="C1037" s="195">
        <v>14910.45</v>
      </c>
    </row>
    <row r="1038" spans="2:3" x14ac:dyDescent="0.25">
      <c r="B1038" s="193">
        <v>44270</v>
      </c>
      <c r="C1038" s="195">
        <v>14929.5</v>
      </c>
    </row>
    <row r="1039" spans="2:3" x14ac:dyDescent="0.25">
      <c r="B1039" s="193">
        <v>44267</v>
      </c>
      <c r="C1039" s="195">
        <v>15030.95</v>
      </c>
    </row>
    <row r="1040" spans="2:3" x14ac:dyDescent="0.25">
      <c r="B1040" s="193">
        <v>44265</v>
      </c>
      <c r="C1040" s="195">
        <v>15174.8</v>
      </c>
    </row>
    <row r="1041" spans="2:3" x14ac:dyDescent="0.25">
      <c r="B1041" s="193">
        <v>44264</v>
      </c>
      <c r="C1041" s="195">
        <v>15098.4</v>
      </c>
    </row>
    <row r="1042" spans="2:3" x14ac:dyDescent="0.25">
      <c r="B1042" s="193">
        <v>44263</v>
      </c>
      <c r="C1042" s="195">
        <v>14956.2</v>
      </c>
    </row>
    <row r="1043" spans="2:3" x14ac:dyDescent="0.25">
      <c r="B1043" s="193">
        <v>44260</v>
      </c>
      <c r="C1043" s="195">
        <v>14938.1</v>
      </c>
    </row>
    <row r="1044" spans="2:3" x14ac:dyDescent="0.25">
      <c r="B1044" s="193">
        <v>44259</v>
      </c>
      <c r="C1044" s="195">
        <v>15080.75</v>
      </c>
    </row>
    <row r="1045" spans="2:3" x14ac:dyDescent="0.25">
      <c r="B1045" s="193">
        <v>44258</v>
      </c>
      <c r="C1045" s="195">
        <v>15245.6</v>
      </c>
    </row>
    <row r="1046" spans="2:3" x14ac:dyDescent="0.25">
      <c r="B1046" s="193">
        <v>44257</v>
      </c>
      <c r="C1046" s="195">
        <v>14919.1</v>
      </c>
    </row>
    <row r="1047" spans="2:3" x14ac:dyDescent="0.25">
      <c r="B1047" s="193">
        <v>44256</v>
      </c>
      <c r="C1047" s="195">
        <v>14761.55</v>
      </c>
    </row>
    <row r="1048" spans="2:3" x14ac:dyDescent="0.25">
      <c r="B1048" s="193">
        <v>44253</v>
      </c>
      <c r="C1048" s="195">
        <v>14529.15</v>
      </c>
    </row>
    <row r="1049" spans="2:3" x14ac:dyDescent="0.25">
      <c r="B1049" s="193">
        <v>44252</v>
      </c>
      <c r="C1049" s="195">
        <v>15097.35</v>
      </c>
    </row>
    <row r="1050" spans="2:3" x14ac:dyDescent="0.25">
      <c r="B1050" s="193">
        <v>44251</v>
      </c>
      <c r="C1050" s="195">
        <v>14982</v>
      </c>
    </row>
    <row r="1051" spans="2:3" x14ac:dyDescent="0.25">
      <c r="B1051" s="193">
        <v>44250</v>
      </c>
      <c r="C1051" s="195">
        <v>14707.8</v>
      </c>
    </row>
    <row r="1052" spans="2:3" x14ac:dyDescent="0.25">
      <c r="B1052" s="193">
        <v>44249</v>
      </c>
      <c r="C1052" s="195">
        <v>14675.7</v>
      </c>
    </row>
    <row r="1053" spans="2:3" x14ac:dyDescent="0.25">
      <c r="B1053" s="193">
        <v>44246</v>
      </c>
      <c r="C1053" s="195">
        <v>14981.75</v>
      </c>
    </row>
    <row r="1054" spans="2:3" x14ac:dyDescent="0.25">
      <c r="B1054" s="193">
        <v>44245</v>
      </c>
      <c r="C1054" s="195">
        <v>15118.95</v>
      </c>
    </row>
    <row r="1055" spans="2:3" x14ac:dyDescent="0.25">
      <c r="B1055" s="193">
        <v>44244</v>
      </c>
      <c r="C1055" s="195">
        <v>15208.9</v>
      </c>
    </row>
    <row r="1056" spans="2:3" x14ac:dyDescent="0.25">
      <c r="B1056" s="193">
        <v>44243</v>
      </c>
      <c r="C1056" s="195">
        <v>15313.45</v>
      </c>
    </row>
    <row r="1057" spans="2:3" x14ac:dyDescent="0.25">
      <c r="B1057" s="193">
        <v>44242</v>
      </c>
      <c r="C1057" s="195">
        <v>15314.7</v>
      </c>
    </row>
    <row r="1058" spans="2:3" x14ac:dyDescent="0.25">
      <c r="B1058" s="193">
        <v>44239</v>
      </c>
      <c r="C1058" s="195">
        <v>15163.3</v>
      </c>
    </row>
    <row r="1059" spans="2:3" x14ac:dyDescent="0.25">
      <c r="B1059" s="193">
        <v>44238</v>
      </c>
      <c r="C1059" s="195">
        <v>15173.3</v>
      </c>
    </row>
    <row r="1060" spans="2:3" x14ac:dyDescent="0.25">
      <c r="B1060" s="193">
        <v>44237</v>
      </c>
      <c r="C1060" s="195">
        <v>15106.5</v>
      </c>
    </row>
    <row r="1061" spans="2:3" x14ac:dyDescent="0.25">
      <c r="B1061" s="193">
        <v>44236</v>
      </c>
      <c r="C1061" s="195">
        <v>15109.3</v>
      </c>
    </row>
    <row r="1062" spans="2:3" x14ac:dyDescent="0.25">
      <c r="B1062" s="193">
        <v>44235</v>
      </c>
      <c r="C1062" s="195">
        <v>15115.8</v>
      </c>
    </row>
    <row r="1063" spans="2:3" x14ac:dyDescent="0.25">
      <c r="B1063" s="193">
        <v>44232</v>
      </c>
      <c r="C1063" s="195">
        <v>14924.25</v>
      </c>
    </row>
    <row r="1064" spans="2:3" x14ac:dyDescent="0.25">
      <c r="B1064" s="193">
        <v>44231</v>
      </c>
      <c r="C1064" s="195">
        <v>14895.65</v>
      </c>
    </row>
    <row r="1065" spans="2:3" x14ac:dyDescent="0.25">
      <c r="B1065" s="193">
        <v>44230</v>
      </c>
      <c r="C1065" s="195">
        <v>14789.95</v>
      </c>
    </row>
    <row r="1066" spans="2:3" x14ac:dyDescent="0.25">
      <c r="B1066" s="193">
        <v>44229</v>
      </c>
      <c r="C1066" s="195">
        <v>14647.85</v>
      </c>
    </row>
    <row r="1067" spans="2:3" x14ac:dyDescent="0.25">
      <c r="B1067" s="193">
        <v>44228</v>
      </c>
      <c r="C1067" s="195">
        <v>14281.2</v>
      </c>
    </row>
    <row r="1068" spans="2:3" x14ac:dyDescent="0.25">
      <c r="B1068" s="193">
        <v>44225</v>
      </c>
      <c r="C1068" s="195">
        <v>13634.6</v>
      </c>
    </row>
    <row r="1069" spans="2:3" x14ac:dyDescent="0.25">
      <c r="B1069" s="193">
        <v>44224</v>
      </c>
      <c r="C1069" s="195">
        <v>13817.55</v>
      </c>
    </row>
    <row r="1070" spans="2:3" x14ac:dyDescent="0.25">
      <c r="B1070" s="193">
        <v>44223</v>
      </c>
      <c r="C1070" s="195">
        <v>13967.5</v>
      </c>
    </row>
    <row r="1071" spans="2:3" x14ac:dyDescent="0.25">
      <c r="B1071" s="193">
        <v>44221</v>
      </c>
      <c r="C1071" s="195">
        <v>14238.9</v>
      </c>
    </row>
    <row r="1072" spans="2:3" x14ac:dyDescent="0.25">
      <c r="B1072" s="193">
        <v>44218</v>
      </c>
      <c r="C1072" s="195">
        <v>14371.9</v>
      </c>
    </row>
    <row r="1073" spans="2:3" x14ac:dyDescent="0.25">
      <c r="B1073" s="193">
        <v>44217</v>
      </c>
      <c r="C1073" s="195">
        <v>14590.35</v>
      </c>
    </row>
    <row r="1074" spans="2:3" x14ac:dyDescent="0.25">
      <c r="B1074" s="193">
        <v>44216</v>
      </c>
      <c r="C1074" s="195">
        <v>14644.7</v>
      </c>
    </row>
    <row r="1075" spans="2:3" x14ac:dyDescent="0.25">
      <c r="B1075" s="193">
        <v>44215</v>
      </c>
      <c r="C1075" s="195">
        <v>14521.15</v>
      </c>
    </row>
    <row r="1076" spans="2:3" x14ac:dyDescent="0.25">
      <c r="B1076" s="193">
        <v>44214</v>
      </c>
      <c r="C1076" s="195">
        <v>14281.3</v>
      </c>
    </row>
    <row r="1077" spans="2:3" x14ac:dyDescent="0.25">
      <c r="B1077" s="193">
        <v>44211</v>
      </c>
      <c r="C1077" s="195">
        <v>14433.7</v>
      </c>
    </row>
    <row r="1078" spans="2:3" x14ac:dyDescent="0.25">
      <c r="B1078" s="193">
        <v>44210</v>
      </c>
      <c r="C1078" s="195">
        <v>14595.6</v>
      </c>
    </row>
    <row r="1079" spans="2:3" x14ac:dyDescent="0.25">
      <c r="B1079" s="193">
        <v>44209</v>
      </c>
      <c r="C1079" s="195">
        <v>14564.85</v>
      </c>
    </row>
    <row r="1080" spans="2:3" x14ac:dyDescent="0.25">
      <c r="B1080" s="193">
        <v>44208</v>
      </c>
      <c r="C1080" s="195">
        <v>14563.45</v>
      </c>
    </row>
    <row r="1081" spans="2:3" x14ac:dyDescent="0.25">
      <c r="B1081" s="193">
        <v>44207</v>
      </c>
      <c r="C1081" s="195">
        <v>14484.75</v>
      </c>
    </row>
    <row r="1082" spans="2:3" x14ac:dyDescent="0.25">
      <c r="B1082" s="193">
        <v>44204</v>
      </c>
      <c r="C1082" s="195">
        <v>14347.25</v>
      </c>
    </row>
    <row r="1083" spans="2:3" x14ac:dyDescent="0.25">
      <c r="B1083" s="193">
        <v>44203</v>
      </c>
      <c r="C1083" s="195">
        <v>14137.35</v>
      </c>
    </row>
    <row r="1084" spans="2:3" x14ac:dyDescent="0.25">
      <c r="B1084" s="193">
        <v>44202</v>
      </c>
      <c r="C1084" s="195">
        <v>14146.25</v>
      </c>
    </row>
    <row r="1085" spans="2:3" x14ac:dyDescent="0.25">
      <c r="B1085" s="193">
        <v>44201</v>
      </c>
      <c r="C1085" s="195">
        <v>14199.5</v>
      </c>
    </row>
    <row r="1086" spans="2:3" x14ac:dyDescent="0.25">
      <c r="B1086" s="193">
        <v>44200</v>
      </c>
      <c r="C1086" s="195">
        <v>14132.9</v>
      </c>
    </row>
    <row r="1087" spans="2:3" x14ac:dyDescent="0.25">
      <c r="B1087" s="193">
        <v>44197</v>
      </c>
      <c r="C1087" s="195">
        <v>14018.5</v>
      </c>
    </row>
    <row r="1088" spans="2:3" x14ac:dyDescent="0.25">
      <c r="B1088" s="193">
        <v>44196</v>
      </c>
      <c r="C1088" s="195">
        <v>13981.75</v>
      </c>
    </row>
    <row r="1089" spans="2:3" x14ac:dyDescent="0.25">
      <c r="B1089" s="193">
        <v>44195</v>
      </c>
      <c r="C1089" s="195">
        <v>13981.95</v>
      </c>
    </row>
    <row r="1090" spans="2:3" x14ac:dyDescent="0.25">
      <c r="B1090" s="193">
        <v>44194</v>
      </c>
      <c r="C1090" s="195">
        <v>13932.6</v>
      </c>
    </row>
    <row r="1091" spans="2:3" x14ac:dyDescent="0.25">
      <c r="B1091" s="193">
        <v>44193</v>
      </c>
      <c r="C1091" s="195">
        <v>13873.2</v>
      </c>
    </row>
    <row r="1092" spans="2:3" x14ac:dyDescent="0.25">
      <c r="B1092" s="193">
        <v>44189</v>
      </c>
      <c r="C1092" s="195">
        <v>13749.25</v>
      </c>
    </row>
    <row r="1093" spans="2:3" x14ac:dyDescent="0.25">
      <c r="B1093" s="193">
        <v>44188</v>
      </c>
      <c r="C1093" s="195">
        <v>13601.1</v>
      </c>
    </row>
    <row r="1094" spans="2:3" x14ac:dyDescent="0.25">
      <c r="B1094" s="193">
        <v>44187</v>
      </c>
      <c r="C1094" s="195">
        <v>13466.3</v>
      </c>
    </row>
    <row r="1095" spans="2:3" x14ac:dyDescent="0.25">
      <c r="B1095" s="193">
        <v>44186</v>
      </c>
      <c r="C1095" s="195">
        <v>13328.4</v>
      </c>
    </row>
    <row r="1096" spans="2:3" x14ac:dyDescent="0.25">
      <c r="B1096" s="193">
        <v>44183</v>
      </c>
      <c r="C1096" s="195">
        <v>13760.55</v>
      </c>
    </row>
    <row r="1097" spans="2:3" x14ac:dyDescent="0.25">
      <c r="B1097" s="193">
        <v>44182</v>
      </c>
      <c r="C1097" s="195">
        <v>13740.7</v>
      </c>
    </row>
    <row r="1098" spans="2:3" x14ac:dyDescent="0.25">
      <c r="B1098" s="193">
        <v>44181</v>
      </c>
      <c r="C1098" s="195">
        <v>13682.7</v>
      </c>
    </row>
    <row r="1099" spans="2:3" x14ac:dyDescent="0.25">
      <c r="B1099" s="193">
        <v>44180</v>
      </c>
      <c r="C1099" s="195">
        <v>13567.85</v>
      </c>
    </row>
    <row r="1100" spans="2:3" x14ac:dyDescent="0.25">
      <c r="B1100" s="193">
        <v>44179</v>
      </c>
      <c r="C1100" s="195">
        <v>13558.15</v>
      </c>
    </row>
    <row r="1101" spans="2:3" x14ac:dyDescent="0.25">
      <c r="B1101" s="193">
        <v>44176</v>
      </c>
      <c r="C1101" s="195">
        <v>13513.85</v>
      </c>
    </row>
    <row r="1102" spans="2:3" x14ac:dyDescent="0.25">
      <c r="B1102" s="193">
        <v>44175</v>
      </c>
      <c r="C1102" s="195">
        <v>13478.3</v>
      </c>
    </row>
    <row r="1103" spans="2:3" x14ac:dyDescent="0.25">
      <c r="B1103" s="193">
        <v>44174</v>
      </c>
      <c r="C1103" s="195">
        <v>13529.1</v>
      </c>
    </row>
    <row r="1104" spans="2:3" x14ac:dyDescent="0.25">
      <c r="B1104" s="193">
        <v>44173</v>
      </c>
      <c r="C1104" s="195">
        <v>13392.95</v>
      </c>
    </row>
    <row r="1105" spans="2:3" x14ac:dyDescent="0.25">
      <c r="B1105" s="193">
        <v>44172</v>
      </c>
      <c r="C1105" s="195">
        <v>13355.75</v>
      </c>
    </row>
    <row r="1106" spans="2:3" x14ac:dyDescent="0.25">
      <c r="B1106" s="193">
        <v>44169</v>
      </c>
      <c r="C1106" s="195">
        <v>13258.55</v>
      </c>
    </row>
    <row r="1107" spans="2:3" x14ac:dyDescent="0.25">
      <c r="B1107" s="193">
        <v>44168</v>
      </c>
      <c r="C1107" s="195">
        <v>13133.9</v>
      </c>
    </row>
    <row r="1108" spans="2:3" x14ac:dyDescent="0.25">
      <c r="B1108" s="193">
        <v>44167</v>
      </c>
      <c r="C1108" s="195">
        <v>13113.75</v>
      </c>
    </row>
    <row r="1109" spans="2:3" x14ac:dyDescent="0.25">
      <c r="B1109" s="193">
        <v>44166</v>
      </c>
      <c r="C1109" s="195">
        <v>13109.05</v>
      </c>
    </row>
    <row r="1110" spans="2:3" x14ac:dyDescent="0.25">
      <c r="B1110" s="193">
        <v>44162</v>
      </c>
      <c r="C1110" s="195">
        <v>12968.95</v>
      </c>
    </row>
    <row r="1111" spans="2:3" x14ac:dyDescent="0.25">
      <c r="B1111" s="193">
        <v>44161</v>
      </c>
      <c r="C1111" s="195">
        <v>12987</v>
      </c>
    </row>
    <row r="1112" spans="2:3" x14ac:dyDescent="0.25">
      <c r="B1112" s="193">
        <v>44160</v>
      </c>
      <c r="C1112" s="195">
        <v>12858.4</v>
      </c>
    </row>
    <row r="1113" spans="2:3" x14ac:dyDescent="0.25">
      <c r="B1113" s="193">
        <v>44159</v>
      </c>
      <c r="C1113" s="195">
        <v>13055.15</v>
      </c>
    </row>
    <row r="1114" spans="2:3" x14ac:dyDescent="0.25">
      <c r="B1114" s="193">
        <v>44158</v>
      </c>
      <c r="C1114" s="195">
        <v>12926.45</v>
      </c>
    </row>
    <row r="1115" spans="2:3" x14ac:dyDescent="0.25">
      <c r="B1115" s="193">
        <v>44155</v>
      </c>
      <c r="C1115" s="195">
        <v>12859.05</v>
      </c>
    </row>
    <row r="1116" spans="2:3" x14ac:dyDescent="0.25">
      <c r="B1116" s="193">
        <v>44154</v>
      </c>
      <c r="C1116" s="195">
        <v>12771.7</v>
      </c>
    </row>
    <row r="1117" spans="2:3" x14ac:dyDescent="0.25">
      <c r="B1117" s="193">
        <v>44153</v>
      </c>
      <c r="C1117" s="195">
        <v>12938.25</v>
      </c>
    </row>
    <row r="1118" spans="2:3" x14ac:dyDescent="0.25">
      <c r="B1118" s="193">
        <v>44152</v>
      </c>
      <c r="C1118" s="195">
        <v>12874.2</v>
      </c>
    </row>
    <row r="1119" spans="2:3" x14ac:dyDescent="0.25">
      <c r="B1119" s="193">
        <v>44149</v>
      </c>
      <c r="C1119" s="195">
        <v>12780.25</v>
      </c>
    </row>
    <row r="1120" spans="2:3" x14ac:dyDescent="0.25">
      <c r="B1120" s="193">
        <v>44148</v>
      </c>
      <c r="C1120" s="195">
        <v>12719.95</v>
      </c>
    </row>
    <row r="1121" spans="2:3" x14ac:dyDescent="0.25">
      <c r="B1121" s="193">
        <v>44147</v>
      </c>
      <c r="C1121" s="195">
        <v>12690.8</v>
      </c>
    </row>
    <row r="1122" spans="2:3" x14ac:dyDescent="0.25">
      <c r="B1122" s="193">
        <v>44146</v>
      </c>
      <c r="C1122" s="195">
        <v>12749.15</v>
      </c>
    </row>
    <row r="1123" spans="2:3" x14ac:dyDescent="0.25">
      <c r="B1123" s="193">
        <v>44145</v>
      </c>
      <c r="C1123" s="195">
        <v>12631.1</v>
      </c>
    </row>
    <row r="1124" spans="2:3" x14ac:dyDescent="0.25">
      <c r="B1124" s="193">
        <v>44144</v>
      </c>
      <c r="C1124" s="195">
        <v>12461.05</v>
      </c>
    </row>
    <row r="1125" spans="2:3" x14ac:dyDescent="0.25">
      <c r="B1125" s="193">
        <v>44141</v>
      </c>
      <c r="C1125" s="195">
        <v>12263.55</v>
      </c>
    </row>
    <row r="1126" spans="2:3" x14ac:dyDescent="0.25">
      <c r="B1126" s="193">
        <v>44140</v>
      </c>
      <c r="C1126" s="195">
        <v>12120.3</v>
      </c>
    </row>
    <row r="1127" spans="2:3" x14ac:dyDescent="0.25">
      <c r="B1127" s="193">
        <v>44139</v>
      </c>
      <c r="C1127" s="195">
        <v>11908.5</v>
      </c>
    </row>
    <row r="1128" spans="2:3" x14ac:dyDescent="0.25">
      <c r="B1128" s="193">
        <v>44138</v>
      </c>
      <c r="C1128" s="195">
        <v>11813.5</v>
      </c>
    </row>
    <row r="1129" spans="2:3" x14ac:dyDescent="0.25">
      <c r="B1129" s="193">
        <v>44137</v>
      </c>
      <c r="C1129" s="195">
        <v>11669.15</v>
      </c>
    </row>
    <row r="1130" spans="2:3" x14ac:dyDescent="0.25">
      <c r="B1130" s="193">
        <v>44134</v>
      </c>
      <c r="C1130" s="195">
        <v>11642.4</v>
      </c>
    </row>
    <row r="1131" spans="2:3" x14ac:dyDescent="0.25">
      <c r="B1131" s="193">
        <v>44133</v>
      </c>
      <c r="C1131" s="195">
        <v>11670.8</v>
      </c>
    </row>
    <row r="1132" spans="2:3" x14ac:dyDescent="0.25">
      <c r="B1132" s="193">
        <v>44132</v>
      </c>
      <c r="C1132" s="195">
        <v>11729.6</v>
      </c>
    </row>
    <row r="1133" spans="2:3" x14ac:dyDescent="0.25">
      <c r="B1133" s="193">
        <v>44131</v>
      </c>
      <c r="C1133" s="195">
        <v>11889.4</v>
      </c>
    </row>
    <row r="1134" spans="2:3" x14ac:dyDescent="0.25">
      <c r="B1134" s="193">
        <v>44130</v>
      </c>
      <c r="C1134" s="195">
        <v>11767.75</v>
      </c>
    </row>
    <row r="1135" spans="2:3" x14ac:dyDescent="0.25">
      <c r="B1135" s="193">
        <v>44127</v>
      </c>
      <c r="C1135" s="195">
        <v>11930.35</v>
      </c>
    </row>
    <row r="1136" spans="2:3" x14ac:dyDescent="0.25">
      <c r="B1136" s="193">
        <v>44126</v>
      </c>
      <c r="C1136" s="195">
        <v>11896.45</v>
      </c>
    </row>
    <row r="1137" spans="2:3" x14ac:dyDescent="0.25">
      <c r="B1137" s="193">
        <v>44125</v>
      </c>
      <c r="C1137" s="195">
        <v>11937.65</v>
      </c>
    </row>
    <row r="1138" spans="2:3" x14ac:dyDescent="0.25">
      <c r="B1138" s="193">
        <v>44124</v>
      </c>
      <c r="C1138" s="195">
        <v>11896.8</v>
      </c>
    </row>
    <row r="1139" spans="2:3" x14ac:dyDescent="0.25">
      <c r="B1139" s="193">
        <v>44123</v>
      </c>
      <c r="C1139" s="195">
        <v>11873.05</v>
      </c>
    </row>
    <row r="1140" spans="2:3" x14ac:dyDescent="0.25">
      <c r="B1140" s="193">
        <v>44120</v>
      </c>
      <c r="C1140" s="195">
        <v>11762.45</v>
      </c>
    </row>
    <row r="1141" spans="2:3" x14ac:dyDescent="0.25">
      <c r="B1141" s="193">
        <v>44119</v>
      </c>
      <c r="C1141" s="195">
        <v>11680.35</v>
      </c>
    </row>
    <row r="1142" spans="2:3" x14ac:dyDescent="0.25">
      <c r="B1142" s="193">
        <v>44118</v>
      </c>
      <c r="C1142" s="195">
        <v>11971.05</v>
      </c>
    </row>
    <row r="1143" spans="2:3" x14ac:dyDescent="0.25">
      <c r="B1143" s="193">
        <v>44117</v>
      </c>
      <c r="C1143" s="195">
        <v>11934.5</v>
      </c>
    </row>
    <row r="1144" spans="2:3" x14ac:dyDescent="0.25">
      <c r="B1144" s="193">
        <v>44116</v>
      </c>
      <c r="C1144" s="195">
        <v>11930.95</v>
      </c>
    </row>
    <row r="1145" spans="2:3" x14ac:dyDescent="0.25">
      <c r="B1145" s="193">
        <v>44113</v>
      </c>
      <c r="C1145" s="195">
        <v>11914.2</v>
      </c>
    </row>
    <row r="1146" spans="2:3" x14ac:dyDescent="0.25">
      <c r="B1146" s="193">
        <v>44112</v>
      </c>
      <c r="C1146" s="195">
        <v>11834.6</v>
      </c>
    </row>
    <row r="1147" spans="2:3" x14ac:dyDescent="0.25">
      <c r="B1147" s="193">
        <v>44111</v>
      </c>
      <c r="C1147" s="195">
        <v>11738.85</v>
      </c>
    </row>
    <row r="1148" spans="2:3" x14ac:dyDescent="0.25">
      <c r="B1148" s="193">
        <v>44110</v>
      </c>
      <c r="C1148" s="195">
        <v>11662.4</v>
      </c>
    </row>
    <row r="1149" spans="2:3" x14ac:dyDescent="0.25">
      <c r="B1149" s="193">
        <v>44109</v>
      </c>
      <c r="C1149" s="195">
        <v>11503.35</v>
      </c>
    </row>
    <row r="1150" spans="2:3" x14ac:dyDescent="0.25">
      <c r="B1150" s="193">
        <v>44105</v>
      </c>
      <c r="C1150" s="195">
        <v>11416.95</v>
      </c>
    </row>
    <row r="1151" spans="2:3" x14ac:dyDescent="0.25">
      <c r="B1151" s="193">
        <v>44104</v>
      </c>
      <c r="C1151" s="195">
        <v>11247.55</v>
      </c>
    </row>
    <row r="1152" spans="2:3" x14ac:dyDescent="0.25">
      <c r="B1152" s="193">
        <v>44103</v>
      </c>
      <c r="C1152" s="195">
        <v>11222.4</v>
      </c>
    </row>
    <row r="1153" spans="2:3" x14ac:dyDescent="0.25">
      <c r="B1153" s="193">
        <v>44102</v>
      </c>
      <c r="C1153" s="195">
        <v>11227.55</v>
      </c>
    </row>
    <row r="1154" spans="2:3" x14ac:dyDescent="0.25">
      <c r="B1154" s="193">
        <v>44099</v>
      </c>
      <c r="C1154" s="195">
        <v>11050.25</v>
      </c>
    </row>
    <row r="1155" spans="2:3" x14ac:dyDescent="0.25">
      <c r="B1155" s="193">
        <v>44098</v>
      </c>
      <c r="C1155" s="195">
        <v>10805.55</v>
      </c>
    </row>
    <row r="1156" spans="2:3" x14ac:dyDescent="0.25">
      <c r="B1156" s="193">
        <v>44097</v>
      </c>
      <c r="C1156" s="195">
        <v>11131.85</v>
      </c>
    </row>
    <row r="1157" spans="2:3" x14ac:dyDescent="0.25">
      <c r="B1157" s="193">
        <v>44096</v>
      </c>
      <c r="C1157" s="195">
        <v>11153.65</v>
      </c>
    </row>
    <row r="1158" spans="2:3" x14ac:dyDescent="0.25">
      <c r="B1158" s="193">
        <v>44095</v>
      </c>
      <c r="C1158" s="195">
        <v>11250.55</v>
      </c>
    </row>
    <row r="1159" spans="2:3" x14ac:dyDescent="0.25">
      <c r="B1159" s="193">
        <v>44092</v>
      </c>
      <c r="C1159" s="195">
        <v>11504.95</v>
      </c>
    </row>
    <row r="1160" spans="2:3" x14ac:dyDescent="0.25">
      <c r="B1160" s="193">
        <v>44091</v>
      </c>
      <c r="C1160" s="195">
        <v>11516.1</v>
      </c>
    </row>
    <row r="1161" spans="2:3" x14ac:dyDescent="0.25">
      <c r="B1161" s="193">
        <v>44090</v>
      </c>
      <c r="C1161" s="195">
        <v>11604.55</v>
      </c>
    </row>
    <row r="1162" spans="2:3" x14ac:dyDescent="0.25">
      <c r="B1162" s="193">
        <v>44089</v>
      </c>
      <c r="C1162" s="195">
        <v>11521.8</v>
      </c>
    </row>
    <row r="1163" spans="2:3" x14ac:dyDescent="0.25">
      <c r="B1163" s="193">
        <v>44088</v>
      </c>
      <c r="C1163" s="195">
        <v>11440.05</v>
      </c>
    </row>
    <row r="1164" spans="2:3" x14ac:dyDescent="0.25">
      <c r="B1164" s="193">
        <v>44085</v>
      </c>
      <c r="C1164" s="195">
        <v>11464.45</v>
      </c>
    </row>
    <row r="1165" spans="2:3" x14ac:dyDescent="0.25">
      <c r="B1165" s="193">
        <v>44084</v>
      </c>
      <c r="C1165" s="195">
        <v>11449.25</v>
      </c>
    </row>
    <row r="1166" spans="2:3" x14ac:dyDescent="0.25">
      <c r="B1166" s="193">
        <v>44083</v>
      </c>
      <c r="C1166" s="195">
        <v>11278</v>
      </c>
    </row>
    <row r="1167" spans="2:3" x14ac:dyDescent="0.25">
      <c r="B1167" s="193">
        <v>44082</v>
      </c>
      <c r="C1167" s="195">
        <v>11317.35</v>
      </c>
    </row>
    <row r="1168" spans="2:3" x14ac:dyDescent="0.25">
      <c r="B1168" s="193">
        <v>44081</v>
      </c>
      <c r="C1168" s="195">
        <v>11355.05</v>
      </c>
    </row>
    <row r="1169" spans="2:3" x14ac:dyDescent="0.25">
      <c r="B1169" s="193">
        <v>44078</v>
      </c>
      <c r="C1169" s="195">
        <v>11333.85</v>
      </c>
    </row>
    <row r="1170" spans="2:3" x14ac:dyDescent="0.25">
      <c r="B1170" s="193">
        <v>44077</v>
      </c>
      <c r="C1170" s="195">
        <v>11527.45</v>
      </c>
    </row>
    <row r="1171" spans="2:3" x14ac:dyDescent="0.25">
      <c r="B1171" s="193">
        <v>44076</v>
      </c>
      <c r="C1171" s="195">
        <v>11535</v>
      </c>
    </row>
    <row r="1172" spans="2:3" x14ac:dyDescent="0.25">
      <c r="B1172" s="193">
        <v>44075</v>
      </c>
      <c r="C1172" s="195">
        <v>11470.25</v>
      </c>
    </row>
    <row r="1173" spans="2:3" x14ac:dyDescent="0.25">
      <c r="B1173" s="193">
        <v>44074</v>
      </c>
      <c r="C1173" s="195">
        <v>11387.5</v>
      </c>
    </row>
    <row r="1174" spans="2:3" x14ac:dyDescent="0.25">
      <c r="B1174" s="193">
        <v>44071</v>
      </c>
      <c r="C1174" s="195">
        <v>11647.6</v>
      </c>
    </row>
    <row r="1175" spans="2:3" x14ac:dyDescent="0.25">
      <c r="B1175" s="193">
        <v>44070</v>
      </c>
      <c r="C1175" s="195">
        <v>11559.25</v>
      </c>
    </row>
    <row r="1176" spans="2:3" x14ac:dyDescent="0.25">
      <c r="B1176" s="193">
        <v>44069</v>
      </c>
      <c r="C1176" s="195">
        <v>11549.6</v>
      </c>
    </row>
    <row r="1177" spans="2:3" x14ac:dyDescent="0.25">
      <c r="B1177" s="193">
        <v>44068</v>
      </c>
      <c r="C1177" s="195">
        <v>11472.25</v>
      </c>
    </row>
    <row r="1178" spans="2:3" x14ac:dyDescent="0.25">
      <c r="B1178" s="193">
        <v>44067</v>
      </c>
      <c r="C1178" s="195">
        <v>11466.45</v>
      </c>
    </row>
    <row r="1179" spans="2:3" x14ac:dyDescent="0.25">
      <c r="B1179" s="193">
        <v>44064</v>
      </c>
      <c r="C1179" s="195">
        <v>11371.6</v>
      </c>
    </row>
    <row r="1180" spans="2:3" x14ac:dyDescent="0.25">
      <c r="B1180" s="193">
        <v>44063</v>
      </c>
      <c r="C1180" s="195">
        <v>11312.2</v>
      </c>
    </row>
    <row r="1181" spans="2:3" x14ac:dyDescent="0.25">
      <c r="B1181" s="193">
        <v>44062</v>
      </c>
      <c r="C1181" s="195">
        <v>11408.4</v>
      </c>
    </row>
    <row r="1182" spans="2:3" x14ac:dyDescent="0.25">
      <c r="B1182" s="193">
        <v>44061</v>
      </c>
      <c r="C1182" s="195">
        <v>11385.35</v>
      </c>
    </row>
    <row r="1183" spans="2:3" x14ac:dyDescent="0.25">
      <c r="B1183" s="193">
        <v>44060</v>
      </c>
      <c r="C1183" s="195">
        <v>11247.1</v>
      </c>
    </row>
    <row r="1184" spans="2:3" x14ac:dyDescent="0.25">
      <c r="B1184" s="193">
        <v>44057</v>
      </c>
      <c r="C1184" s="195">
        <v>11178.4</v>
      </c>
    </row>
    <row r="1185" spans="2:3" x14ac:dyDescent="0.25">
      <c r="B1185" s="193">
        <v>44056</v>
      </c>
      <c r="C1185" s="195">
        <v>11300.45</v>
      </c>
    </row>
    <row r="1186" spans="2:3" x14ac:dyDescent="0.25">
      <c r="B1186" s="193">
        <v>44055</v>
      </c>
      <c r="C1186" s="195">
        <v>11308.4</v>
      </c>
    </row>
    <row r="1187" spans="2:3" x14ac:dyDescent="0.25">
      <c r="B1187" s="193">
        <v>44054</v>
      </c>
      <c r="C1187" s="195">
        <v>11322.5</v>
      </c>
    </row>
    <row r="1188" spans="2:3" x14ac:dyDescent="0.25">
      <c r="B1188" s="193">
        <v>44053</v>
      </c>
      <c r="C1188" s="195">
        <v>11270.15</v>
      </c>
    </row>
    <row r="1189" spans="2:3" x14ac:dyDescent="0.25">
      <c r="B1189" s="193">
        <v>44050</v>
      </c>
      <c r="C1189" s="195">
        <v>11214.05</v>
      </c>
    </row>
    <row r="1190" spans="2:3" x14ac:dyDescent="0.25">
      <c r="B1190" s="193">
        <v>44049</v>
      </c>
      <c r="C1190" s="195">
        <v>11200.15</v>
      </c>
    </row>
    <row r="1191" spans="2:3" x14ac:dyDescent="0.25">
      <c r="B1191" s="193">
        <v>44048</v>
      </c>
      <c r="C1191" s="195">
        <v>11101.65</v>
      </c>
    </row>
    <row r="1192" spans="2:3" x14ac:dyDescent="0.25">
      <c r="B1192" s="193">
        <v>44047</v>
      </c>
      <c r="C1192" s="195">
        <v>11095.25</v>
      </c>
    </row>
    <row r="1193" spans="2:3" x14ac:dyDescent="0.25">
      <c r="B1193" s="193">
        <v>44046</v>
      </c>
      <c r="C1193" s="195">
        <v>10891.6</v>
      </c>
    </row>
    <row r="1194" spans="2:3" x14ac:dyDescent="0.25">
      <c r="B1194" s="193">
        <v>44043</v>
      </c>
      <c r="C1194" s="195">
        <v>11073.45</v>
      </c>
    </row>
    <row r="1195" spans="2:3" x14ac:dyDescent="0.25">
      <c r="B1195" s="193">
        <v>44042</v>
      </c>
      <c r="C1195" s="195">
        <v>11102.15</v>
      </c>
    </row>
    <row r="1196" spans="2:3" x14ac:dyDescent="0.25">
      <c r="B1196" s="193">
        <v>44041</v>
      </c>
      <c r="C1196" s="195">
        <v>11202.85</v>
      </c>
    </row>
    <row r="1197" spans="2:3" x14ac:dyDescent="0.25">
      <c r="B1197" s="193">
        <v>44040</v>
      </c>
      <c r="C1197" s="195">
        <v>11300.55</v>
      </c>
    </row>
    <row r="1198" spans="2:3" x14ac:dyDescent="0.25">
      <c r="B1198" s="193">
        <v>44039</v>
      </c>
      <c r="C1198" s="195">
        <v>11131.8</v>
      </c>
    </row>
    <row r="1199" spans="2:3" x14ac:dyDescent="0.25">
      <c r="B1199" s="193">
        <v>44036</v>
      </c>
      <c r="C1199" s="195">
        <v>11194.15</v>
      </c>
    </row>
    <row r="1200" spans="2:3" x14ac:dyDescent="0.25">
      <c r="B1200" s="193">
        <v>44035</v>
      </c>
      <c r="C1200" s="195">
        <v>11215.45</v>
      </c>
    </row>
    <row r="1201" spans="2:3" x14ac:dyDescent="0.25">
      <c r="B1201" s="193">
        <v>44034</v>
      </c>
      <c r="C1201" s="195">
        <v>11132.6</v>
      </c>
    </row>
    <row r="1202" spans="2:3" x14ac:dyDescent="0.25">
      <c r="B1202" s="193">
        <v>44033</v>
      </c>
      <c r="C1202" s="195">
        <v>11162.25</v>
      </c>
    </row>
    <row r="1203" spans="2:3" x14ac:dyDescent="0.25">
      <c r="B1203" s="193">
        <v>44032</v>
      </c>
      <c r="C1203" s="195">
        <v>11022.2</v>
      </c>
    </row>
    <row r="1204" spans="2:3" x14ac:dyDescent="0.25">
      <c r="B1204" s="193">
        <v>44029</v>
      </c>
      <c r="C1204" s="195">
        <v>10901.7</v>
      </c>
    </row>
    <row r="1205" spans="2:3" x14ac:dyDescent="0.25">
      <c r="B1205" s="193">
        <v>44028</v>
      </c>
      <c r="C1205" s="195">
        <v>10739.95</v>
      </c>
    </row>
    <row r="1206" spans="2:3" x14ac:dyDescent="0.25">
      <c r="B1206" s="193">
        <v>44027</v>
      </c>
      <c r="C1206" s="195">
        <v>10618.2</v>
      </c>
    </row>
    <row r="1207" spans="2:3" x14ac:dyDescent="0.25">
      <c r="B1207" s="193">
        <v>44026</v>
      </c>
      <c r="C1207" s="195">
        <v>10607.35</v>
      </c>
    </row>
    <row r="1208" spans="2:3" x14ac:dyDescent="0.25">
      <c r="B1208" s="193">
        <v>44025</v>
      </c>
      <c r="C1208" s="195">
        <v>10802.7</v>
      </c>
    </row>
    <row r="1209" spans="2:3" x14ac:dyDescent="0.25">
      <c r="B1209" s="193">
        <v>44022</v>
      </c>
      <c r="C1209" s="195">
        <v>10768.05</v>
      </c>
    </row>
    <row r="1210" spans="2:3" x14ac:dyDescent="0.25">
      <c r="B1210" s="193">
        <v>44021</v>
      </c>
      <c r="C1210" s="195">
        <v>10813.45</v>
      </c>
    </row>
    <row r="1211" spans="2:3" x14ac:dyDescent="0.25">
      <c r="B1211" s="193">
        <v>44020</v>
      </c>
      <c r="C1211" s="195">
        <v>10705.75</v>
      </c>
    </row>
    <row r="1212" spans="2:3" x14ac:dyDescent="0.25">
      <c r="B1212" s="193">
        <v>44019</v>
      </c>
      <c r="C1212" s="195">
        <v>10799.65</v>
      </c>
    </row>
    <row r="1213" spans="2:3" x14ac:dyDescent="0.25">
      <c r="B1213" s="193">
        <v>44018</v>
      </c>
      <c r="C1213" s="195">
        <v>10763.65</v>
      </c>
    </row>
    <row r="1214" spans="2:3" x14ac:dyDescent="0.25">
      <c r="B1214" s="193">
        <v>44015</v>
      </c>
      <c r="C1214" s="195">
        <v>10607.35</v>
      </c>
    </row>
    <row r="1215" spans="2:3" x14ac:dyDescent="0.25">
      <c r="B1215" s="193">
        <v>44014</v>
      </c>
      <c r="C1215" s="195">
        <v>10551.7</v>
      </c>
    </row>
    <row r="1216" spans="2:3" x14ac:dyDescent="0.25">
      <c r="B1216" s="193">
        <v>44013</v>
      </c>
      <c r="C1216" s="195">
        <v>10430.049999999999</v>
      </c>
    </row>
    <row r="1217" spans="2:3" x14ac:dyDescent="0.25">
      <c r="B1217" s="193">
        <v>44012</v>
      </c>
      <c r="C1217" s="195">
        <v>10302.1</v>
      </c>
    </row>
    <row r="1218" spans="2:3" x14ac:dyDescent="0.25">
      <c r="B1218" s="193">
        <v>44011</v>
      </c>
      <c r="C1218" s="195">
        <v>10312.4</v>
      </c>
    </row>
    <row r="1219" spans="2:3" x14ac:dyDescent="0.25">
      <c r="B1219" s="193">
        <v>44008</v>
      </c>
      <c r="C1219" s="195">
        <v>10383</v>
      </c>
    </row>
    <row r="1220" spans="2:3" x14ac:dyDescent="0.25">
      <c r="B1220" s="193">
        <v>44007</v>
      </c>
      <c r="C1220" s="195">
        <v>10288.9</v>
      </c>
    </row>
    <row r="1221" spans="2:3" x14ac:dyDescent="0.25">
      <c r="B1221" s="193">
        <v>44006</v>
      </c>
      <c r="C1221" s="195">
        <v>10305.299999999999</v>
      </c>
    </row>
    <row r="1222" spans="2:3" x14ac:dyDescent="0.25">
      <c r="B1222" s="193">
        <v>44005</v>
      </c>
      <c r="C1222" s="195">
        <v>10471</v>
      </c>
    </row>
    <row r="1223" spans="2:3" x14ac:dyDescent="0.25">
      <c r="B1223" s="193">
        <v>44004</v>
      </c>
      <c r="C1223" s="195">
        <v>10311.200000000001</v>
      </c>
    </row>
    <row r="1224" spans="2:3" x14ac:dyDescent="0.25">
      <c r="B1224" s="193">
        <v>44001</v>
      </c>
      <c r="C1224" s="195">
        <v>10244.4</v>
      </c>
    </row>
    <row r="1225" spans="2:3" x14ac:dyDescent="0.25">
      <c r="B1225" s="193">
        <v>44000</v>
      </c>
      <c r="C1225" s="195">
        <v>10091.65</v>
      </c>
    </row>
    <row r="1226" spans="2:3" x14ac:dyDescent="0.25">
      <c r="B1226" s="193">
        <v>43999</v>
      </c>
      <c r="C1226" s="195">
        <v>9881.15</v>
      </c>
    </row>
    <row r="1227" spans="2:3" x14ac:dyDescent="0.25">
      <c r="B1227" s="193">
        <v>43998</v>
      </c>
      <c r="C1227" s="195">
        <v>9914</v>
      </c>
    </row>
    <row r="1228" spans="2:3" x14ac:dyDescent="0.25">
      <c r="B1228" s="193">
        <v>43997</v>
      </c>
      <c r="C1228" s="195">
        <v>9813.7000000000007</v>
      </c>
    </row>
    <row r="1229" spans="2:3" x14ac:dyDescent="0.25">
      <c r="B1229" s="193">
        <v>43994</v>
      </c>
      <c r="C1229" s="195">
        <v>9972.9</v>
      </c>
    </row>
    <row r="1230" spans="2:3" x14ac:dyDescent="0.25">
      <c r="B1230" s="193">
        <v>43993</v>
      </c>
      <c r="C1230" s="195">
        <v>9902</v>
      </c>
    </row>
    <row r="1231" spans="2:3" x14ac:dyDescent="0.25">
      <c r="B1231" s="193">
        <v>43992</v>
      </c>
      <c r="C1231" s="195">
        <v>10116.15</v>
      </c>
    </row>
    <row r="1232" spans="2:3" x14ac:dyDescent="0.25">
      <c r="B1232" s="193">
        <v>43991</v>
      </c>
      <c r="C1232" s="195">
        <v>10046.65</v>
      </c>
    </row>
    <row r="1233" spans="2:3" x14ac:dyDescent="0.25">
      <c r="B1233" s="193">
        <v>43990</v>
      </c>
      <c r="C1233" s="195">
        <v>10167.450000000001</v>
      </c>
    </row>
    <row r="1234" spans="2:3" x14ac:dyDescent="0.25">
      <c r="B1234" s="193">
        <v>43987</v>
      </c>
      <c r="C1234" s="195">
        <v>10142.15</v>
      </c>
    </row>
    <row r="1235" spans="2:3" x14ac:dyDescent="0.25">
      <c r="B1235" s="193">
        <v>43986</v>
      </c>
      <c r="C1235" s="195">
        <v>10029.1</v>
      </c>
    </row>
    <row r="1236" spans="2:3" x14ac:dyDescent="0.25">
      <c r="B1236" s="193">
        <v>43985</v>
      </c>
      <c r="C1236" s="195">
        <v>10061.549999999999</v>
      </c>
    </row>
    <row r="1237" spans="2:3" x14ac:dyDescent="0.25">
      <c r="B1237" s="193">
        <v>43984</v>
      </c>
      <c r="C1237" s="195">
        <v>9979.1</v>
      </c>
    </row>
    <row r="1238" spans="2:3" x14ac:dyDescent="0.25">
      <c r="B1238" s="193">
        <v>43983</v>
      </c>
      <c r="C1238" s="195">
        <v>9826.15</v>
      </c>
    </row>
    <row r="1239" spans="2:3" x14ac:dyDescent="0.25">
      <c r="B1239" s="193">
        <v>43980</v>
      </c>
      <c r="C1239" s="195">
        <v>9580.2999999999993</v>
      </c>
    </row>
    <row r="1240" spans="2:3" x14ac:dyDescent="0.25">
      <c r="B1240" s="193">
        <v>43979</v>
      </c>
      <c r="C1240" s="195">
        <v>9490.1</v>
      </c>
    </row>
    <row r="1241" spans="2:3" x14ac:dyDescent="0.25">
      <c r="B1241" s="193">
        <v>43978</v>
      </c>
      <c r="C1241" s="195">
        <v>9314.9500000000007</v>
      </c>
    </row>
    <row r="1242" spans="2:3" x14ac:dyDescent="0.25">
      <c r="B1242" s="193">
        <v>43977</v>
      </c>
      <c r="C1242" s="195">
        <v>9029.0499999999993</v>
      </c>
    </row>
    <row r="1243" spans="2:3" x14ac:dyDescent="0.25">
      <c r="B1243" s="193">
        <v>43973</v>
      </c>
      <c r="C1243" s="195">
        <v>9039.25</v>
      </c>
    </row>
    <row r="1244" spans="2:3" x14ac:dyDescent="0.25">
      <c r="B1244" s="193">
        <v>43972</v>
      </c>
      <c r="C1244" s="195">
        <v>9106.25</v>
      </c>
    </row>
    <row r="1245" spans="2:3" x14ac:dyDescent="0.25">
      <c r="B1245" s="193">
        <v>43971</v>
      </c>
      <c r="C1245" s="195">
        <v>9066.5499999999993</v>
      </c>
    </row>
    <row r="1246" spans="2:3" x14ac:dyDescent="0.25">
      <c r="B1246" s="193">
        <v>43970</v>
      </c>
      <c r="C1246" s="195">
        <v>8879.1</v>
      </c>
    </row>
    <row r="1247" spans="2:3" x14ac:dyDescent="0.25">
      <c r="B1247" s="193">
        <v>43969</v>
      </c>
      <c r="C1247" s="195">
        <v>8823.25</v>
      </c>
    </row>
    <row r="1248" spans="2:3" x14ac:dyDescent="0.25">
      <c r="B1248" s="193">
        <v>43966</v>
      </c>
      <c r="C1248" s="195">
        <v>9136.85</v>
      </c>
    </row>
    <row r="1249" spans="2:3" x14ac:dyDescent="0.25">
      <c r="B1249" s="193">
        <v>43965</v>
      </c>
      <c r="C1249" s="195">
        <v>9142.75</v>
      </c>
    </row>
    <row r="1250" spans="2:3" x14ac:dyDescent="0.25">
      <c r="B1250" s="193">
        <v>43964</v>
      </c>
      <c r="C1250" s="195">
        <v>9383.5499999999993</v>
      </c>
    </row>
    <row r="1251" spans="2:3" x14ac:dyDescent="0.25">
      <c r="B1251" s="193">
        <v>43963</v>
      </c>
      <c r="C1251" s="195">
        <v>9196.5499999999993</v>
      </c>
    </row>
    <row r="1252" spans="2:3" x14ac:dyDescent="0.25">
      <c r="B1252" s="193">
        <v>43962</v>
      </c>
      <c r="C1252" s="195">
        <v>9239.2000000000007</v>
      </c>
    </row>
    <row r="1253" spans="2:3" x14ac:dyDescent="0.25">
      <c r="B1253" s="193">
        <v>43959</v>
      </c>
      <c r="C1253" s="195">
        <v>9251.5</v>
      </c>
    </row>
    <row r="1254" spans="2:3" x14ac:dyDescent="0.25">
      <c r="B1254" s="193">
        <v>43958</v>
      </c>
      <c r="C1254" s="195">
        <v>9199.0499999999993</v>
      </c>
    </row>
    <row r="1255" spans="2:3" x14ac:dyDescent="0.25">
      <c r="B1255" s="193">
        <v>43957</v>
      </c>
      <c r="C1255" s="195">
        <v>9270.9</v>
      </c>
    </row>
    <row r="1256" spans="2:3" x14ac:dyDescent="0.25">
      <c r="B1256" s="193">
        <v>43956</v>
      </c>
      <c r="C1256" s="195">
        <v>9205.6</v>
      </c>
    </row>
    <row r="1257" spans="2:3" x14ac:dyDescent="0.25">
      <c r="B1257" s="193">
        <v>43955</v>
      </c>
      <c r="C1257" s="195">
        <v>9293.5</v>
      </c>
    </row>
    <row r="1258" spans="2:3" x14ac:dyDescent="0.25">
      <c r="B1258" s="193">
        <v>43951</v>
      </c>
      <c r="C1258" s="195">
        <v>9859.9</v>
      </c>
    </row>
    <row r="1259" spans="2:3" x14ac:dyDescent="0.25">
      <c r="B1259" s="193">
        <v>43950</v>
      </c>
      <c r="C1259" s="195">
        <v>9553.35</v>
      </c>
    </row>
    <row r="1260" spans="2:3" x14ac:dyDescent="0.25">
      <c r="B1260" s="193">
        <v>43949</v>
      </c>
      <c r="C1260" s="195">
        <v>9380.9</v>
      </c>
    </row>
    <row r="1261" spans="2:3" x14ac:dyDescent="0.25">
      <c r="B1261" s="193">
        <v>43948</v>
      </c>
      <c r="C1261" s="195">
        <v>9282.2999999999993</v>
      </c>
    </row>
    <row r="1262" spans="2:3" x14ac:dyDescent="0.25">
      <c r="B1262" s="193">
        <v>43945</v>
      </c>
      <c r="C1262" s="195">
        <v>9154.4</v>
      </c>
    </row>
    <row r="1263" spans="2:3" x14ac:dyDescent="0.25">
      <c r="B1263" s="193">
        <v>43944</v>
      </c>
      <c r="C1263" s="195">
        <v>9313.9</v>
      </c>
    </row>
    <row r="1264" spans="2:3" x14ac:dyDescent="0.25">
      <c r="B1264" s="193">
        <v>43943</v>
      </c>
      <c r="C1264" s="195">
        <v>9187.2999999999993</v>
      </c>
    </row>
    <row r="1265" spans="2:3" x14ac:dyDescent="0.25">
      <c r="B1265" s="193">
        <v>43942</v>
      </c>
      <c r="C1265" s="195">
        <v>8981.4500000000007</v>
      </c>
    </row>
    <row r="1266" spans="2:3" x14ac:dyDescent="0.25">
      <c r="B1266" s="193">
        <v>43941</v>
      </c>
      <c r="C1266" s="195">
        <v>9261.85</v>
      </c>
    </row>
    <row r="1267" spans="2:3" x14ac:dyDescent="0.25">
      <c r="B1267" s="193">
        <v>43938</v>
      </c>
      <c r="C1267" s="195">
        <v>9266.75</v>
      </c>
    </row>
    <row r="1268" spans="2:3" x14ac:dyDescent="0.25">
      <c r="B1268" s="193">
        <v>43937</v>
      </c>
      <c r="C1268" s="195">
        <v>8992.7999999999993</v>
      </c>
    </row>
    <row r="1269" spans="2:3" x14ac:dyDescent="0.25">
      <c r="B1269" s="193">
        <v>43936</v>
      </c>
      <c r="C1269" s="195">
        <v>8925.2999999999993</v>
      </c>
    </row>
    <row r="1270" spans="2:3" x14ac:dyDescent="0.25">
      <c r="B1270" s="193">
        <v>43934</v>
      </c>
      <c r="C1270" s="195">
        <v>8993.85</v>
      </c>
    </row>
    <row r="1271" spans="2:3" x14ac:dyDescent="0.25">
      <c r="B1271" s="193">
        <v>43930</v>
      </c>
      <c r="C1271" s="195">
        <v>9111.9</v>
      </c>
    </row>
    <row r="1272" spans="2:3" x14ac:dyDescent="0.25">
      <c r="B1272" s="193">
        <v>43929</v>
      </c>
      <c r="C1272" s="195">
        <v>8748.75</v>
      </c>
    </row>
    <row r="1273" spans="2:3" x14ac:dyDescent="0.25">
      <c r="B1273" s="193">
        <v>43928</v>
      </c>
      <c r="C1273" s="195">
        <v>8792.2000000000007</v>
      </c>
    </row>
    <row r="1274" spans="2:3" x14ac:dyDescent="0.25">
      <c r="B1274" s="193">
        <v>43924</v>
      </c>
      <c r="C1274" s="195">
        <v>8083.8</v>
      </c>
    </row>
    <row r="1275" spans="2:3" x14ac:dyDescent="0.25">
      <c r="B1275" s="193">
        <v>43922</v>
      </c>
      <c r="C1275" s="195">
        <v>8253.7999999999993</v>
      </c>
    </row>
    <row r="1276" spans="2:3" x14ac:dyDescent="0.25">
      <c r="B1276" s="193">
        <v>43921</v>
      </c>
      <c r="C1276" s="195">
        <v>8597.75</v>
      </c>
    </row>
    <row r="1277" spans="2:3" x14ac:dyDescent="0.25">
      <c r="B1277" s="193">
        <v>43920</v>
      </c>
      <c r="C1277" s="195">
        <v>8281.1</v>
      </c>
    </row>
    <row r="1278" spans="2:3" x14ac:dyDescent="0.25">
      <c r="B1278" s="193">
        <v>43917</v>
      </c>
      <c r="C1278" s="195">
        <v>8660.25</v>
      </c>
    </row>
    <row r="1279" spans="2:3" x14ac:dyDescent="0.25">
      <c r="B1279" s="193">
        <v>43916</v>
      </c>
      <c r="C1279" s="195">
        <v>8641.4500000000007</v>
      </c>
    </row>
    <row r="1280" spans="2:3" x14ac:dyDescent="0.25">
      <c r="B1280" s="193">
        <v>43915</v>
      </c>
      <c r="C1280" s="195">
        <v>8317.85</v>
      </c>
    </row>
    <row r="1281" spans="2:3" x14ac:dyDescent="0.25">
      <c r="B1281" s="193">
        <v>43914</v>
      </c>
      <c r="C1281" s="195">
        <v>7801.05</v>
      </c>
    </row>
    <row r="1282" spans="2:3" x14ac:dyDescent="0.25">
      <c r="B1282" s="193">
        <v>43913</v>
      </c>
      <c r="C1282" s="195">
        <v>7610.25</v>
      </c>
    </row>
    <row r="1283" spans="2:3" x14ac:dyDescent="0.25">
      <c r="B1283" s="193">
        <v>43910</v>
      </c>
      <c r="C1283" s="195">
        <v>8745.4500000000007</v>
      </c>
    </row>
    <row r="1284" spans="2:3" x14ac:dyDescent="0.25">
      <c r="B1284" s="193">
        <v>43909</v>
      </c>
      <c r="C1284" s="195">
        <v>8263.4500000000007</v>
      </c>
    </row>
    <row r="1285" spans="2:3" x14ac:dyDescent="0.25">
      <c r="B1285" s="193">
        <v>43908</v>
      </c>
      <c r="C1285" s="195">
        <v>8468.7999999999993</v>
      </c>
    </row>
    <row r="1286" spans="2:3" x14ac:dyDescent="0.25">
      <c r="B1286" s="193">
        <v>43907</v>
      </c>
      <c r="C1286" s="195">
        <v>8967.0499999999993</v>
      </c>
    </row>
    <row r="1287" spans="2:3" x14ac:dyDescent="0.25">
      <c r="B1287" s="193">
        <v>43906</v>
      </c>
      <c r="C1287" s="195">
        <v>9197.4</v>
      </c>
    </row>
    <row r="1288" spans="2:3" x14ac:dyDescent="0.25">
      <c r="B1288" s="193">
        <v>43903</v>
      </c>
      <c r="C1288" s="195">
        <v>9955.2000000000007</v>
      </c>
    </row>
    <row r="1289" spans="2:3" x14ac:dyDescent="0.25">
      <c r="B1289" s="193">
        <v>43902</v>
      </c>
      <c r="C1289" s="195">
        <v>9590.15</v>
      </c>
    </row>
    <row r="1290" spans="2:3" x14ac:dyDescent="0.25">
      <c r="B1290" s="193">
        <v>43901</v>
      </c>
      <c r="C1290" s="195">
        <v>10458.4</v>
      </c>
    </row>
    <row r="1291" spans="2:3" x14ac:dyDescent="0.25">
      <c r="B1291" s="193">
        <v>43899</v>
      </c>
      <c r="C1291" s="195">
        <v>10451.450000000001</v>
      </c>
    </row>
    <row r="1292" spans="2:3" x14ac:dyDescent="0.25">
      <c r="B1292" s="193">
        <v>43896</v>
      </c>
      <c r="C1292" s="195">
        <v>10989.45</v>
      </c>
    </row>
    <row r="1293" spans="2:3" x14ac:dyDescent="0.25">
      <c r="B1293" s="193">
        <v>43895</v>
      </c>
      <c r="C1293" s="195">
        <v>11269</v>
      </c>
    </row>
    <row r="1294" spans="2:3" x14ac:dyDescent="0.25">
      <c r="B1294" s="193">
        <v>43894</v>
      </c>
      <c r="C1294" s="195">
        <v>11251</v>
      </c>
    </row>
    <row r="1295" spans="2:3" x14ac:dyDescent="0.25">
      <c r="B1295" s="193">
        <v>43893</v>
      </c>
      <c r="C1295" s="195">
        <v>11303.3</v>
      </c>
    </row>
    <row r="1296" spans="2:3" x14ac:dyDescent="0.25">
      <c r="B1296" s="193">
        <v>43892</v>
      </c>
      <c r="C1296" s="195">
        <v>11132.75</v>
      </c>
    </row>
    <row r="1297" spans="2:3" x14ac:dyDescent="0.25">
      <c r="B1297" s="193">
        <v>43889</v>
      </c>
      <c r="C1297" s="195">
        <v>11201.75</v>
      </c>
    </row>
    <row r="1298" spans="2:3" x14ac:dyDescent="0.25">
      <c r="B1298" s="193">
        <v>43888</v>
      </c>
      <c r="C1298" s="195">
        <v>11633.3</v>
      </c>
    </row>
    <row r="1299" spans="2:3" x14ac:dyDescent="0.25">
      <c r="B1299" s="193">
        <v>43887</v>
      </c>
      <c r="C1299" s="195">
        <v>11678.5</v>
      </c>
    </row>
    <row r="1300" spans="2:3" x14ac:dyDescent="0.25">
      <c r="B1300" s="193">
        <v>43886</v>
      </c>
      <c r="C1300" s="195">
        <v>11797.9</v>
      </c>
    </row>
    <row r="1301" spans="2:3" x14ac:dyDescent="0.25">
      <c r="B1301" s="193">
        <v>43885</v>
      </c>
      <c r="C1301" s="195">
        <v>11829.4</v>
      </c>
    </row>
    <row r="1302" spans="2:3" x14ac:dyDescent="0.25">
      <c r="B1302" s="193">
        <v>43881</v>
      </c>
      <c r="C1302" s="195">
        <v>12080.85</v>
      </c>
    </row>
    <row r="1303" spans="2:3" x14ac:dyDescent="0.25">
      <c r="B1303" s="193">
        <v>43880</v>
      </c>
      <c r="C1303" s="195">
        <v>12125.9</v>
      </c>
    </row>
    <row r="1304" spans="2:3" x14ac:dyDescent="0.25">
      <c r="B1304" s="193">
        <v>43879</v>
      </c>
      <c r="C1304" s="195">
        <v>11992.5</v>
      </c>
    </row>
    <row r="1305" spans="2:3" x14ac:dyDescent="0.25">
      <c r="B1305" s="193">
        <v>43878</v>
      </c>
      <c r="C1305" s="195">
        <v>12045.8</v>
      </c>
    </row>
    <row r="1306" spans="2:3" x14ac:dyDescent="0.25">
      <c r="B1306" s="193">
        <v>43875</v>
      </c>
      <c r="C1306" s="195">
        <v>12113.45</v>
      </c>
    </row>
    <row r="1307" spans="2:3" x14ac:dyDescent="0.25">
      <c r="B1307" s="193">
        <v>43874</v>
      </c>
      <c r="C1307" s="195">
        <v>12174.65</v>
      </c>
    </row>
    <row r="1308" spans="2:3" x14ac:dyDescent="0.25">
      <c r="B1308" s="193">
        <v>43873</v>
      </c>
      <c r="C1308" s="195">
        <v>12201.2</v>
      </c>
    </row>
    <row r="1309" spans="2:3" x14ac:dyDescent="0.25">
      <c r="B1309" s="193">
        <v>43872</v>
      </c>
      <c r="C1309" s="195">
        <v>12107.9</v>
      </c>
    </row>
    <row r="1310" spans="2:3" x14ac:dyDescent="0.25">
      <c r="B1310" s="193">
        <v>43871</v>
      </c>
      <c r="C1310" s="195">
        <v>12031.5</v>
      </c>
    </row>
    <row r="1311" spans="2:3" x14ac:dyDescent="0.25">
      <c r="B1311" s="193">
        <v>43868</v>
      </c>
      <c r="C1311" s="195">
        <v>12098.35</v>
      </c>
    </row>
    <row r="1312" spans="2:3" x14ac:dyDescent="0.25">
      <c r="B1312" s="193">
        <v>43867</v>
      </c>
      <c r="C1312" s="195">
        <v>12137.95</v>
      </c>
    </row>
    <row r="1313" spans="2:3" x14ac:dyDescent="0.25">
      <c r="B1313" s="193">
        <v>43866</v>
      </c>
      <c r="C1313" s="195">
        <v>12089.15</v>
      </c>
    </row>
    <row r="1314" spans="2:3" x14ac:dyDescent="0.25">
      <c r="B1314" s="193">
        <v>43865</v>
      </c>
      <c r="C1314" s="195">
        <v>11979.65</v>
      </c>
    </row>
    <row r="1315" spans="2:3" x14ac:dyDescent="0.25">
      <c r="B1315" s="193">
        <v>43864</v>
      </c>
      <c r="C1315" s="195">
        <v>11707.9</v>
      </c>
    </row>
    <row r="1316" spans="2:3" x14ac:dyDescent="0.25">
      <c r="B1316" s="193">
        <v>43862</v>
      </c>
      <c r="C1316" s="195">
        <v>11661.85</v>
      </c>
    </row>
    <row r="1317" spans="2:3" x14ac:dyDescent="0.25">
      <c r="B1317" s="193">
        <v>43861</v>
      </c>
      <c r="C1317" s="195">
        <v>11962.1</v>
      </c>
    </row>
    <row r="1318" spans="2:3" x14ac:dyDescent="0.25">
      <c r="B1318" s="193">
        <v>43860</v>
      </c>
      <c r="C1318" s="195">
        <v>12035.8</v>
      </c>
    </row>
    <row r="1319" spans="2:3" x14ac:dyDescent="0.25">
      <c r="B1319" s="193">
        <v>43859</v>
      </c>
      <c r="C1319" s="195">
        <v>12129.5</v>
      </c>
    </row>
    <row r="1320" spans="2:3" x14ac:dyDescent="0.25">
      <c r="B1320" s="193">
        <v>43858</v>
      </c>
      <c r="C1320" s="195">
        <v>12055.8</v>
      </c>
    </row>
    <row r="1321" spans="2:3" x14ac:dyDescent="0.25">
      <c r="B1321" s="193">
        <v>43857</v>
      </c>
      <c r="C1321" s="195">
        <v>12119</v>
      </c>
    </row>
    <row r="1322" spans="2:3" x14ac:dyDescent="0.25">
      <c r="B1322" s="193">
        <v>43854</v>
      </c>
      <c r="C1322" s="195">
        <v>12248.25</v>
      </c>
    </row>
    <row r="1323" spans="2:3" x14ac:dyDescent="0.25">
      <c r="B1323" s="193">
        <v>43853</v>
      </c>
      <c r="C1323" s="195">
        <v>12180.35</v>
      </c>
    </row>
    <row r="1324" spans="2:3" x14ac:dyDescent="0.25">
      <c r="B1324" s="193">
        <v>43852</v>
      </c>
      <c r="C1324" s="195">
        <v>12106.9</v>
      </c>
    </row>
    <row r="1325" spans="2:3" x14ac:dyDescent="0.25">
      <c r="B1325" s="193">
        <v>43851</v>
      </c>
      <c r="C1325" s="195">
        <v>12169.85</v>
      </c>
    </row>
    <row r="1326" spans="2:3" x14ac:dyDescent="0.25">
      <c r="B1326" s="193">
        <v>43850</v>
      </c>
      <c r="C1326" s="195">
        <v>12224.55</v>
      </c>
    </row>
    <row r="1327" spans="2:3" x14ac:dyDescent="0.25">
      <c r="B1327" s="193">
        <v>43847</v>
      </c>
      <c r="C1327" s="195">
        <v>12352.35</v>
      </c>
    </row>
    <row r="1328" spans="2:3" x14ac:dyDescent="0.25">
      <c r="B1328" s="193">
        <v>43846</v>
      </c>
      <c r="C1328" s="195">
        <v>12355.5</v>
      </c>
    </row>
    <row r="1329" spans="2:3" x14ac:dyDescent="0.25">
      <c r="B1329" s="193">
        <v>43845</v>
      </c>
      <c r="C1329" s="195">
        <v>12343.3</v>
      </c>
    </row>
    <row r="1330" spans="2:3" x14ac:dyDescent="0.25">
      <c r="B1330" s="193">
        <v>43844</v>
      </c>
      <c r="C1330" s="195">
        <v>12362.3</v>
      </c>
    </row>
    <row r="1331" spans="2:3" x14ac:dyDescent="0.25">
      <c r="B1331" s="193">
        <v>43843</v>
      </c>
      <c r="C1331" s="195">
        <v>12329.55</v>
      </c>
    </row>
    <row r="1332" spans="2:3" x14ac:dyDescent="0.25">
      <c r="B1332" s="193">
        <v>43840</v>
      </c>
      <c r="C1332" s="195">
        <v>12256.8</v>
      </c>
    </row>
    <row r="1333" spans="2:3" x14ac:dyDescent="0.25">
      <c r="B1333" s="193">
        <v>43839</v>
      </c>
      <c r="C1333" s="195">
        <v>12215.9</v>
      </c>
    </row>
    <row r="1334" spans="2:3" x14ac:dyDescent="0.25">
      <c r="B1334" s="193">
        <v>43838</v>
      </c>
      <c r="C1334" s="195">
        <v>12025.35</v>
      </c>
    </row>
    <row r="1335" spans="2:3" x14ac:dyDescent="0.25">
      <c r="B1335" s="193">
        <v>43837</v>
      </c>
      <c r="C1335" s="195">
        <v>12052.95</v>
      </c>
    </row>
    <row r="1336" spans="2:3" x14ac:dyDescent="0.25">
      <c r="B1336" s="193">
        <v>43836</v>
      </c>
      <c r="C1336" s="195">
        <v>11993.05</v>
      </c>
    </row>
    <row r="1337" spans="2:3" x14ac:dyDescent="0.25">
      <c r="B1337" s="193">
        <v>43833</v>
      </c>
      <c r="C1337" s="195">
        <v>12226.65</v>
      </c>
    </row>
    <row r="1338" spans="2:3" x14ac:dyDescent="0.25">
      <c r="B1338" s="193">
        <v>43832</v>
      </c>
      <c r="C1338" s="195">
        <v>12282.2</v>
      </c>
    </row>
    <row r="1339" spans="2:3" x14ac:dyDescent="0.25">
      <c r="B1339" s="193">
        <v>43831</v>
      </c>
      <c r="C1339" s="195">
        <v>12182.5</v>
      </c>
    </row>
    <row r="1340" spans="2:3" x14ac:dyDescent="0.25">
      <c r="B1340" s="193">
        <v>43830</v>
      </c>
      <c r="C1340" s="195">
        <v>12168.45</v>
      </c>
    </row>
    <row r="1341" spans="2:3" x14ac:dyDescent="0.25">
      <c r="B1341" s="193">
        <v>43829</v>
      </c>
      <c r="C1341" s="195">
        <v>12255.85</v>
      </c>
    </row>
    <row r="1342" spans="2:3" x14ac:dyDescent="0.25">
      <c r="B1342" s="193">
        <v>43826</v>
      </c>
      <c r="C1342" s="195">
        <v>12245.8</v>
      </c>
    </row>
    <row r="1343" spans="2:3" x14ac:dyDescent="0.25">
      <c r="B1343" s="193">
        <v>43825</v>
      </c>
      <c r="C1343" s="195">
        <v>12126.55</v>
      </c>
    </row>
    <row r="1344" spans="2:3" x14ac:dyDescent="0.25">
      <c r="B1344" s="193">
        <v>43823</v>
      </c>
      <c r="C1344" s="195">
        <v>12214.55</v>
      </c>
    </row>
    <row r="1345" spans="2:3" x14ac:dyDescent="0.25">
      <c r="B1345" s="193">
        <v>43822</v>
      </c>
      <c r="C1345" s="195">
        <v>12262.75</v>
      </c>
    </row>
    <row r="1346" spans="2:3" x14ac:dyDescent="0.25">
      <c r="B1346" s="193">
        <v>43819</v>
      </c>
      <c r="C1346" s="195">
        <v>12271.8</v>
      </c>
    </row>
    <row r="1347" spans="2:3" x14ac:dyDescent="0.25">
      <c r="B1347" s="193">
        <v>43818</v>
      </c>
      <c r="C1347" s="195">
        <v>12259.7</v>
      </c>
    </row>
    <row r="1348" spans="2:3" x14ac:dyDescent="0.25">
      <c r="B1348" s="193">
        <v>43817</v>
      </c>
      <c r="C1348" s="195">
        <v>12221.65</v>
      </c>
    </row>
    <row r="1349" spans="2:3" x14ac:dyDescent="0.25">
      <c r="B1349" s="193">
        <v>43816</v>
      </c>
      <c r="C1349" s="195">
        <v>12165</v>
      </c>
    </row>
    <row r="1350" spans="2:3" x14ac:dyDescent="0.25">
      <c r="B1350" s="193">
        <v>43815</v>
      </c>
      <c r="C1350" s="195">
        <v>12053.95</v>
      </c>
    </row>
    <row r="1351" spans="2:3" x14ac:dyDescent="0.25">
      <c r="B1351" s="193">
        <v>43812</v>
      </c>
      <c r="C1351" s="195">
        <v>12086.7</v>
      </c>
    </row>
    <row r="1352" spans="2:3" x14ac:dyDescent="0.25">
      <c r="B1352" s="193">
        <v>43811</v>
      </c>
      <c r="C1352" s="195">
        <v>11971.8</v>
      </c>
    </row>
    <row r="1353" spans="2:3" x14ac:dyDescent="0.25">
      <c r="B1353" s="193">
        <v>43810</v>
      </c>
      <c r="C1353" s="195">
        <v>11910.15</v>
      </c>
    </row>
    <row r="1354" spans="2:3" x14ac:dyDescent="0.25">
      <c r="B1354" s="193">
        <v>43809</v>
      </c>
      <c r="C1354" s="195">
        <v>11856.8</v>
      </c>
    </row>
    <row r="1355" spans="2:3" x14ac:dyDescent="0.25">
      <c r="B1355" s="193">
        <v>43808</v>
      </c>
      <c r="C1355" s="195">
        <v>11937.5</v>
      </c>
    </row>
    <row r="1356" spans="2:3" x14ac:dyDescent="0.25">
      <c r="B1356" s="193">
        <v>43805</v>
      </c>
      <c r="C1356" s="195">
        <v>11921.5</v>
      </c>
    </row>
    <row r="1357" spans="2:3" x14ac:dyDescent="0.25">
      <c r="B1357" s="193">
        <v>43804</v>
      </c>
      <c r="C1357" s="195">
        <v>12018.4</v>
      </c>
    </row>
    <row r="1358" spans="2:3" x14ac:dyDescent="0.25">
      <c r="B1358" s="193">
        <v>43803</v>
      </c>
      <c r="C1358" s="195">
        <v>12043.2</v>
      </c>
    </row>
    <row r="1359" spans="2:3" x14ac:dyDescent="0.25">
      <c r="B1359" s="193">
        <v>43802</v>
      </c>
      <c r="C1359" s="195">
        <v>11994.2</v>
      </c>
    </row>
    <row r="1360" spans="2:3" x14ac:dyDescent="0.25">
      <c r="B1360" s="193">
        <v>43801</v>
      </c>
      <c r="C1360" s="195">
        <v>12048.2</v>
      </c>
    </row>
    <row r="1361" spans="2:3" x14ac:dyDescent="0.25">
      <c r="B1361" s="193">
        <v>43798</v>
      </c>
      <c r="C1361" s="195">
        <v>12056.05</v>
      </c>
    </row>
    <row r="1362" spans="2:3" x14ac:dyDescent="0.25">
      <c r="B1362" s="193">
        <v>43797</v>
      </c>
      <c r="C1362" s="195">
        <v>12151.15</v>
      </c>
    </row>
    <row r="1363" spans="2:3" x14ac:dyDescent="0.25">
      <c r="B1363" s="193">
        <v>43796</v>
      </c>
      <c r="C1363" s="195">
        <v>12100.7</v>
      </c>
    </row>
    <row r="1364" spans="2:3" x14ac:dyDescent="0.25">
      <c r="B1364" s="193">
        <v>43795</v>
      </c>
      <c r="C1364" s="195">
        <v>12037.7</v>
      </c>
    </row>
    <row r="1365" spans="2:3" x14ac:dyDescent="0.25">
      <c r="B1365" s="193">
        <v>43794</v>
      </c>
      <c r="C1365" s="195">
        <v>12073.75</v>
      </c>
    </row>
    <row r="1366" spans="2:3" x14ac:dyDescent="0.25">
      <c r="B1366" s="193">
        <v>43791</v>
      </c>
      <c r="C1366" s="195">
        <v>11914.4</v>
      </c>
    </row>
    <row r="1367" spans="2:3" x14ac:dyDescent="0.25">
      <c r="B1367" s="193">
        <v>43790</v>
      </c>
      <c r="C1367" s="195">
        <v>11968.4</v>
      </c>
    </row>
    <row r="1368" spans="2:3" x14ac:dyDescent="0.25">
      <c r="B1368" s="193">
        <v>43789</v>
      </c>
      <c r="C1368" s="195">
        <v>11999.1</v>
      </c>
    </row>
    <row r="1369" spans="2:3" x14ac:dyDescent="0.25">
      <c r="B1369" s="193">
        <v>43788</v>
      </c>
      <c r="C1369" s="195">
        <v>11940.1</v>
      </c>
    </row>
    <row r="1370" spans="2:3" x14ac:dyDescent="0.25">
      <c r="B1370" s="193">
        <v>43787</v>
      </c>
      <c r="C1370" s="195">
        <v>11884.5</v>
      </c>
    </row>
    <row r="1371" spans="2:3" x14ac:dyDescent="0.25">
      <c r="B1371" s="193">
        <v>43784</v>
      </c>
      <c r="C1371" s="195">
        <v>11895.45</v>
      </c>
    </row>
    <row r="1372" spans="2:3" x14ac:dyDescent="0.25">
      <c r="B1372" s="193">
        <v>43783</v>
      </c>
      <c r="C1372" s="195">
        <v>11872.1</v>
      </c>
    </row>
    <row r="1373" spans="2:3" x14ac:dyDescent="0.25">
      <c r="B1373" s="193">
        <v>43782</v>
      </c>
      <c r="C1373" s="195">
        <v>11840.45</v>
      </c>
    </row>
    <row r="1374" spans="2:3" x14ac:dyDescent="0.25">
      <c r="B1374" s="193">
        <v>43780</v>
      </c>
      <c r="C1374" s="195">
        <v>11913.45</v>
      </c>
    </row>
    <row r="1375" spans="2:3" x14ac:dyDescent="0.25">
      <c r="B1375" s="193">
        <v>43777</v>
      </c>
      <c r="C1375" s="195">
        <v>11908.15</v>
      </c>
    </row>
    <row r="1376" spans="2:3" x14ac:dyDescent="0.25">
      <c r="B1376" s="193">
        <v>43776</v>
      </c>
      <c r="C1376" s="195">
        <v>12012.05</v>
      </c>
    </row>
    <row r="1377" spans="2:3" x14ac:dyDescent="0.25">
      <c r="B1377" s="193">
        <v>43775</v>
      </c>
      <c r="C1377" s="195">
        <v>11966.05</v>
      </c>
    </row>
    <row r="1378" spans="2:3" x14ac:dyDescent="0.25">
      <c r="B1378" s="193">
        <v>43774</v>
      </c>
      <c r="C1378" s="195">
        <v>11917.2</v>
      </c>
    </row>
    <row r="1379" spans="2:3" x14ac:dyDescent="0.25">
      <c r="B1379" s="193">
        <v>43773</v>
      </c>
      <c r="C1379" s="195">
        <v>11941.3</v>
      </c>
    </row>
    <row r="1380" spans="2:3" x14ac:dyDescent="0.25">
      <c r="B1380" s="193">
        <v>43770</v>
      </c>
      <c r="C1380" s="195">
        <v>11890.6</v>
      </c>
    </row>
    <row r="1381" spans="2:3" x14ac:dyDescent="0.25">
      <c r="B1381" s="193">
        <v>43769</v>
      </c>
      <c r="C1381" s="195">
        <v>11877.45</v>
      </c>
    </row>
    <row r="1382" spans="2:3" x14ac:dyDescent="0.25">
      <c r="B1382" s="193">
        <v>43768</v>
      </c>
      <c r="C1382" s="195">
        <v>11844.1</v>
      </c>
    </row>
    <row r="1383" spans="2:3" x14ac:dyDescent="0.25">
      <c r="B1383" s="193">
        <v>43767</v>
      </c>
      <c r="C1383" s="195">
        <v>11786.85</v>
      </c>
    </row>
    <row r="1384" spans="2:3" x14ac:dyDescent="0.25">
      <c r="B1384" s="193">
        <v>43765</v>
      </c>
      <c r="C1384" s="195">
        <v>11627.15</v>
      </c>
    </row>
    <row r="1385" spans="2:3" x14ac:dyDescent="0.25">
      <c r="B1385" s="193">
        <v>43763</v>
      </c>
      <c r="C1385" s="195">
        <v>11583.9</v>
      </c>
    </row>
    <row r="1386" spans="2:3" x14ac:dyDescent="0.25">
      <c r="B1386" s="193">
        <v>43762</v>
      </c>
      <c r="C1386" s="195">
        <v>11582.6</v>
      </c>
    </row>
    <row r="1387" spans="2:3" x14ac:dyDescent="0.25">
      <c r="B1387" s="193">
        <v>43761</v>
      </c>
      <c r="C1387" s="195">
        <v>11604.1</v>
      </c>
    </row>
    <row r="1388" spans="2:3" x14ac:dyDescent="0.25">
      <c r="B1388" s="193">
        <v>43760</v>
      </c>
      <c r="C1388" s="195">
        <v>11588.35</v>
      </c>
    </row>
    <row r="1389" spans="2:3" x14ac:dyDescent="0.25">
      <c r="B1389" s="193">
        <v>43756</v>
      </c>
      <c r="C1389" s="195">
        <v>11661.85</v>
      </c>
    </row>
    <row r="1390" spans="2:3" x14ac:dyDescent="0.25">
      <c r="B1390" s="193">
        <v>43755</v>
      </c>
      <c r="C1390" s="195">
        <v>11586.35</v>
      </c>
    </row>
    <row r="1391" spans="2:3" x14ac:dyDescent="0.25">
      <c r="B1391" s="193">
        <v>43754</v>
      </c>
      <c r="C1391" s="195">
        <v>11464</v>
      </c>
    </row>
    <row r="1392" spans="2:3" x14ac:dyDescent="0.25">
      <c r="B1392" s="193">
        <v>43753</v>
      </c>
      <c r="C1392" s="195">
        <v>11428.3</v>
      </c>
    </row>
    <row r="1393" spans="2:3" x14ac:dyDescent="0.25">
      <c r="B1393" s="193">
        <v>43752</v>
      </c>
      <c r="C1393" s="195">
        <v>11341.15</v>
      </c>
    </row>
    <row r="1394" spans="2:3" x14ac:dyDescent="0.25">
      <c r="B1394" s="193">
        <v>43749</v>
      </c>
      <c r="C1394" s="195">
        <v>11305.05</v>
      </c>
    </row>
    <row r="1395" spans="2:3" x14ac:dyDescent="0.25">
      <c r="B1395" s="193">
        <v>43748</v>
      </c>
      <c r="C1395" s="195">
        <v>11234.55</v>
      </c>
    </row>
    <row r="1396" spans="2:3" x14ac:dyDescent="0.25">
      <c r="B1396" s="193">
        <v>43747</v>
      </c>
      <c r="C1396" s="195">
        <v>11313.3</v>
      </c>
    </row>
    <row r="1397" spans="2:3" x14ac:dyDescent="0.25">
      <c r="B1397" s="193">
        <v>43745</v>
      </c>
      <c r="C1397" s="195">
        <v>11126.4</v>
      </c>
    </row>
    <row r="1398" spans="2:3" x14ac:dyDescent="0.25">
      <c r="B1398" s="193">
        <v>43742</v>
      </c>
      <c r="C1398" s="195">
        <v>11174.75</v>
      </c>
    </row>
    <row r="1399" spans="2:3" x14ac:dyDescent="0.25">
      <c r="B1399" s="193">
        <v>43741</v>
      </c>
      <c r="C1399" s="195">
        <v>11314</v>
      </c>
    </row>
    <row r="1400" spans="2:3" x14ac:dyDescent="0.25">
      <c r="B1400" s="193">
        <v>43739</v>
      </c>
      <c r="C1400" s="195">
        <v>11359.9</v>
      </c>
    </row>
    <row r="1401" spans="2:3" x14ac:dyDescent="0.25">
      <c r="B1401" s="193">
        <v>43738</v>
      </c>
      <c r="C1401" s="195">
        <v>11474.45</v>
      </c>
    </row>
    <row r="1402" spans="2:3" x14ac:dyDescent="0.25">
      <c r="B1402" s="193">
        <v>43735</v>
      </c>
      <c r="C1402" s="195">
        <v>11512.4</v>
      </c>
    </row>
    <row r="1403" spans="2:3" x14ac:dyDescent="0.25">
      <c r="B1403" s="193">
        <v>43734</v>
      </c>
      <c r="C1403" s="195">
        <v>11571.2</v>
      </c>
    </row>
    <row r="1404" spans="2:3" x14ac:dyDescent="0.25">
      <c r="B1404" s="193">
        <v>43733</v>
      </c>
      <c r="C1404" s="195">
        <v>11440.2</v>
      </c>
    </row>
    <row r="1405" spans="2:3" x14ac:dyDescent="0.25">
      <c r="B1405" s="193">
        <v>43732</v>
      </c>
      <c r="C1405" s="195">
        <v>11588.2</v>
      </c>
    </row>
    <row r="1406" spans="2:3" x14ac:dyDescent="0.25">
      <c r="B1406" s="193">
        <v>43731</v>
      </c>
      <c r="C1406" s="195">
        <v>11600.2</v>
      </c>
    </row>
    <row r="1407" spans="2:3" x14ac:dyDescent="0.25">
      <c r="B1407" s="193">
        <v>43728</v>
      </c>
      <c r="C1407" s="195">
        <v>11274.2</v>
      </c>
    </row>
    <row r="1408" spans="2:3" x14ac:dyDescent="0.25">
      <c r="B1408" s="193">
        <v>43727</v>
      </c>
      <c r="C1408" s="195">
        <v>10704.8</v>
      </c>
    </row>
    <row r="1409" spans="2:3" x14ac:dyDescent="0.25">
      <c r="B1409" s="193">
        <v>43726</v>
      </c>
      <c r="C1409" s="195">
        <v>10840.65</v>
      </c>
    </row>
    <row r="1410" spans="2:3" x14ac:dyDescent="0.25">
      <c r="B1410" s="193">
        <v>43725</v>
      </c>
      <c r="C1410" s="195">
        <v>10817.6</v>
      </c>
    </row>
    <row r="1411" spans="2:3" x14ac:dyDescent="0.25">
      <c r="B1411" s="193">
        <v>43724</v>
      </c>
      <c r="C1411" s="195">
        <v>11003.5</v>
      </c>
    </row>
    <row r="1412" spans="2:3" x14ac:dyDescent="0.25">
      <c r="B1412" s="193">
        <v>43721</v>
      </c>
      <c r="C1412" s="195">
        <v>11075.9</v>
      </c>
    </row>
    <row r="1413" spans="2:3" x14ac:dyDescent="0.25">
      <c r="B1413" s="193">
        <v>43720</v>
      </c>
      <c r="C1413" s="195">
        <v>10982.8</v>
      </c>
    </row>
    <row r="1414" spans="2:3" x14ac:dyDescent="0.25">
      <c r="B1414" s="193">
        <v>43719</v>
      </c>
      <c r="C1414" s="195">
        <v>11035.7</v>
      </c>
    </row>
    <row r="1415" spans="2:3" x14ac:dyDescent="0.25">
      <c r="B1415" s="193">
        <v>43717</v>
      </c>
      <c r="C1415" s="195">
        <v>11003.05</v>
      </c>
    </row>
    <row r="1416" spans="2:3" x14ac:dyDescent="0.25">
      <c r="B1416" s="193">
        <v>43714</v>
      </c>
      <c r="C1416" s="195">
        <v>10946.2</v>
      </c>
    </row>
    <row r="1417" spans="2:3" x14ac:dyDescent="0.25">
      <c r="B1417" s="193">
        <v>43713</v>
      </c>
      <c r="C1417" s="195">
        <v>10847.9</v>
      </c>
    </row>
    <row r="1418" spans="2:3" x14ac:dyDescent="0.25">
      <c r="B1418" s="193">
        <v>43712</v>
      </c>
      <c r="C1418" s="195">
        <v>10844.65</v>
      </c>
    </row>
    <row r="1419" spans="2:3" x14ac:dyDescent="0.25">
      <c r="B1419" s="193">
        <v>43711</v>
      </c>
      <c r="C1419" s="195">
        <v>10797.9</v>
      </c>
    </row>
    <row r="1420" spans="2:3" x14ac:dyDescent="0.25">
      <c r="B1420" s="193">
        <v>43707</v>
      </c>
      <c r="C1420" s="195">
        <v>11023.25</v>
      </c>
    </row>
    <row r="1421" spans="2:3" x14ac:dyDescent="0.25">
      <c r="B1421" s="193">
        <v>43706</v>
      </c>
      <c r="C1421" s="195">
        <v>10948.3</v>
      </c>
    </row>
    <row r="1422" spans="2:3" x14ac:dyDescent="0.25">
      <c r="B1422" s="193">
        <v>43705</v>
      </c>
      <c r="C1422" s="195">
        <v>11046.1</v>
      </c>
    </row>
    <row r="1423" spans="2:3" x14ac:dyDescent="0.25">
      <c r="B1423" s="193">
        <v>43704</v>
      </c>
      <c r="C1423" s="195">
        <v>11105.35</v>
      </c>
    </row>
    <row r="1424" spans="2:3" x14ac:dyDescent="0.25">
      <c r="B1424" s="193">
        <v>43703</v>
      </c>
      <c r="C1424" s="195">
        <v>11057.85</v>
      </c>
    </row>
    <row r="1425" spans="2:3" x14ac:dyDescent="0.25">
      <c r="B1425" s="193">
        <v>43700</v>
      </c>
      <c r="C1425" s="195">
        <v>10829.35</v>
      </c>
    </row>
    <row r="1426" spans="2:3" x14ac:dyDescent="0.25">
      <c r="B1426" s="193">
        <v>43699</v>
      </c>
      <c r="C1426" s="195">
        <v>10741.35</v>
      </c>
    </row>
    <row r="1427" spans="2:3" x14ac:dyDescent="0.25">
      <c r="B1427" s="193">
        <v>43698</v>
      </c>
      <c r="C1427" s="195">
        <v>10918.7</v>
      </c>
    </row>
    <row r="1428" spans="2:3" x14ac:dyDescent="0.25">
      <c r="B1428" s="193">
        <v>43697</v>
      </c>
      <c r="C1428" s="195">
        <v>11017</v>
      </c>
    </row>
    <row r="1429" spans="2:3" x14ac:dyDescent="0.25">
      <c r="B1429" s="193">
        <v>43696</v>
      </c>
      <c r="C1429" s="195">
        <v>11053.9</v>
      </c>
    </row>
    <row r="1430" spans="2:3" x14ac:dyDescent="0.25">
      <c r="B1430" s="193">
        <v>43693</v>
      </c>
      <c r="C1430" s="195">
        <v>11047.8</v>
      </c>
    </row>
    <row r="1431" spans="2:3" x14ac:dyDescent="0.25">
      <c r="B1431" s="193">
        <v>43691</v>
      </c>
      <c r="C1431" s="195">
        <v>11029.4</v>
      </c>
    </row>
    <row r="1432" spans="2:3" x14ac:dyDescent="0.25">
      <c r="B1432" s="193">
        <v>43690</v>
      </c>
      <c r="C1432" s="195">
        <v>10925.85</v>
      </c>
    </row>
    <row r="1433" spans="2:3" x14ac:dyDescent="0.25">
      <c r="B1433" s="193">
        <v>43686</v>
      </c>
      <c r="C1433" s="195">
        <v>11109.65</v>
      </c>
    </row>
    <row r="1434" spans="2:3" x14ac:dyDescent="0.25">
      <c r="B1434" s="193">
        <v>43685</v>
      </c>
      <c r="C1434" s="195">
        <v>11032.45</v>
      </c>
    </row>
    <row r="1435" spans="2:3" x14ac:dyDescent="0.25">
      <c r="B1435" s="193">
        <v>43684</v>
      </c>
      <c r="C1435" s="195">
        <v>10855.5</v>
      </c>
    </row>
    <row r="1436" spans="2:3" x14ac:dyDescent="0.25">
      <c r="B1436" s="193">
        <v>43683</v>
      </c>
      <c r="C1436" s="195">
        <v>10948.25</v>
      </c>
    </row>
    <row r="1437" spans="2:3" x14ac:dyDescent="0.25">
      <c r="B1437" s="193">
        <v>43682</v>
      </c>
      <c r="C1437" s="195">
        <v>10862.6</v>
      </c>
    </row>
    <row r="1438" spans="2:3" x14ac:dyDescent="0.25">
      <c r="B1438" s="193">
        <v>43679</v>
      </c>
      <c r="C1438" s="195">
        <v>10997.35</v>
      </c>
    </row>
    <row r="1439" spans="2:3" x14ac:dyDescent="0.25">
      <c r="B1439" s="193">
        <v>43678</v>
      </c>
      <c r="C1439" s="195">
        <v>10980</v>
      </c>
    </row>
    <row r="1440" spans="2:3" x14ac:dyDescent="0.25">
      <c r="B1440" s="193">
        <v>43677</v>
      </c>
      <c r="C1440" s="195">
        <v>11118</v>
      </c>
    </row>
    <row r="1441" spans="2:3" x14ac:dyDescent="0.25">
      <c r="B1441" s="193">
        <v>43676</v>
      </c>
      <c r="C1441" s="195">
        <v>11085.4</v>
      </c>
    </row>
    <row r="1442" spans="2:3" x14ac:dyDescent="0.25">
      <c r="B1442" s="193">
        <v>43675</v>
      </c>
      <c r="C1442" s="195">
        <v>11189.2</v>
      </c>
    </row>
    <row r="1443" spans="2:3" x14ac:dyDescent="0.25">
      <c r="B1443" s="193">
        <v>43672</v>
      </c>
      <c r="C1443" s="195">
        <v>11284.3</v>
      </c>
    </row>
    <row r="1444" spans="2:3" x14ac:dyDescent="0.25">
      <c r="B1444" s="193">
        <v>43671</v>
      </c>
      <c r="C1444" s="195">
        <v>11252.15</v>
      </c>
    </row>
    <row r="1445" spans="2:3" x14ac:dyDescent="0.25">
      <c r="B1445" s="193">
        <v>43670</v>
      </c>
      <c r="C1445" s="195">
        <v>11271.3</v>
      </c>
    </row>
    <row r="1446" spans="2:3" x14ac:dyDescent="0.25">
      <c r="B1446" s="193">
        <v>43669</v>
      </c>
      <c r="C1446" s="195">
        <v>11331.05</v>
      </c>
    </row>
    <row r="1447" spans="2:3" x14ac:dyDescent="0.25">
      <c r="B1447" s="193">
        <v>43668</v>
      </c>
      <c r="C1447" s="195">
        <v>11346.2</v>
      </c>
    </row>
    <row r="1448" spans="2:3" x14ac:dyDescent="0.25">
      <c r="B1448" s="193">
        <v>43665</v>
      </c>
      <c r="C1448" s="195">
        <v>11419.25</v>
      </c>
    </row>
    <row r="1449" spans="2:3" x14ac:dyDescent="0.25">
      <c r="B1449" s="193">
        <v>43664</v>
      </c>
      <c r="C1449" s="195">
        <v>11596.9</v>
      </c>
    </row>
    <row r="1450" spans="2:3" x14ac:dyDescent="0.25">
      <c r="B1450" s="193">
        <v>43663</v>
      </c>
      <c r="C1450" s="195">
        <v>11687.5</v>
      </c>
    </row>
    <row r="1451" spans="2:3" x14ac:dyDescent="0.25">
      <c r="B1451" s="193">
        <v>43662</v>
      </c>
      <c r="C1451" s="195">
        <v>11662.6</v>
      </c>
    </row>
    <row r="1452" spans="2:3" x14ac:dyDescent="0.25">
      <c r="B1452" s="193">
        <v>43661</v>
      </c>
      <c r="C1452" s="195">
        <v>11588.35</v>
      </c>
    </row>
    <row r="1453" spans="2:3" x14ac:dyDescent="0.25">
      <c r="B1453" s="193">
        <v>43658</v>
      </c>
      <c r="C1453" s="195">
        <v>11552.5</v>
      </c>
    </row>
    <row r="1454" spans="2:3" x14ac:dyDescent="0.25">
      <c r="B1454" s="193">
        <v>43657</v>
      </c>
      <c r="C1454" s="195">
        <v>11582.9</v>
      </c>
    </row>
    <row r="1455" spans="2:3" x14ac:dyDescent="0.25">
      <c r="B1455" s="193">
        <v>43656</v>
      </c>
      <c r="C1455" s="195">
        <v>11498.9</v>
      </c>
    </row>
    <row r="1456" spans="2:3" x14ac:dyDescent="0.25">
      <c r="B1456" s="193">
        <v>43655</v>
      </c>
      <c r="C1456" s="195">
        <v>11555.9</v>
      </c>
    </row>
    <row r="1457" spans="2:3" x14ac:dyDescent="0.25">
      <c r="B1457" s="193">
        <v>43654</v>
      </c>
      <c r="C1457" s="195">
        <v>11558.6</v>
      </c>
    </row>
    <row r="1458" spans="2:3" x14ac:dyDescent="0.25">
      <c r="B1458" s="193">
        <v>43651</v>
      </c>
      <c r="C1458" s="195">
        <v>11811.15</v>
      </c>
    </row>
    <row r="1459" spans="2:3" x14ac:dyDescent="0.25">
      <c r="B1459" s="193">
        <v>43650</v>
      </c>
      <c r="C1459" s="195">
        <v>11946.75</v>
      </c>
    </row>
    <row r="1460" spans="2:3" x14ac:dyDescent="0.25">
      <c r="B1460" s="193">
        <v>43649</v>
      </c>
      <c r="C1460" s="195">
        <v>11916.75</v>
      </c>
    </row>
    <row r="1461" spans="2:3" x14ac:dyDescent="0.25">
      <c r="B1461" s="193">
        <v>43648</v>
      </c>
      <c r="C1461" s="195">
        <v>11910.3</v>
      </c>
    </row>
    <row r="1462" spans="2:3" x14ac:dyDescent="0.25">
      <c r="B1462" s="193">
        <v>43647</v>
      </c>
      <c r="C1462" s="195">
        <v>11865.6</v>
      </c>
    </row>
    <row r="1463" spans="2:3" x14ac:dyDescent="0.25">
      <c r="B1463" s="193">
        <v>43644</v>
      </c>
      <c r="C1463" s="195">
        <v>11788.85</v>
      </c>
    </row>
    <row r="1464" spans="2:3" x14ac:dyDescent="0.25">
      <c r="B1464" s="193">
        <v>43643</v>
      </c>
      <c r="C1464" s="195">
        <v>11841.55</v>
      </c>
    </row>
    <row r="1465" spans="2:3" x14ac:dyDescent="0.25">
      <c r="B1465" s="193">
        <v>43642</v>
      </c>
      <c r="C1465" s="195">
        <v>11847.55</v>
      </c>
    </row>
    <row r="1466" spans="2:3" x14ac:dyDescent="0.25">
      <c r="B1466" s="193">
        <v>43641</v>
      </c>
      <c r="C1466" s="195">
        <v>11796.45</v>
      </c>
    </row>
    <row r="1467" spans="2:3" x14ac:dyDescent="0.25">
      <c r="B1467" s="193">
        <v>43640</v>
      </c>
      <c r="C1467" s="195">
        <v>11699.65</v>
      </c>
    </row>
    <row r="1468" spans="2:3" x14ac:dyDescent="0.25">
      <c r="B1468" s="193">
        <v>43637</v>
      </c>
      <c r="C1468" s="195">
        <v>11724.1</v>
      </c>
    </row>
    <row r="1469" spans="2:3" x14ac:dyDescent="0.25">
      <c r="B1469" s="193">
        <v>43636</v>
      </c>
      <c r="C1469" s="195">
        <v>11831.75</v>
      </c>
    </row>
    <row r="1470" spans="2:3" x14ac:dyDescent="0.25">
      <c r="B1470" s="193">
        <v>43635</v>
      </c>
      <c r="C1470" s="195">
        <v>11691.45</v>
      </c>
    </row>
    <row r="1471" spans="2:3" x14ac:dyDescent="0.25">
      <c r="B1471" s="193">
        <v>43634</v>
      </c>
      <c r="C1471" s="195">
        <v>11691.5</v>
      </c>
    </row>
    <row r="1472" spans="2:3" x14ac:dyDescent="0.25">
      <c r="B1472" s="193">
        <v>43633</v>
      </c>
      <c r="C1472" s="195">
        <v>11672.15</v>
      </c>
    </row>
    <row r="1473" spans="2:3" x14ac:dyDescent="0.25">
      <c r="B1473" s="193">
        <v>43630</v>
      </c>
      <c r="C1473" s="195">
        <v>11823.3</v>
      </c>
    </row>
    <row r="1474" spans="2:3" x14ac:dyDescent="0.25">
      <c r="B1474" s="193">
        <v>43629</v>
      </c>
      <c r="C1474" s="195">
        <v>11914.05</v>
      </c>
    </row>
    <row r="1475" spans="2:3" x14ac:dyDescent="0.25">
      <c r="B1475" s="193">
        <v>43628</v>
      </c>
      <c r="C1475" s="195">
        <v>11906.2</v>
      </c>
    </row>
    <row r="1476" spans="2:3" x14ac:dyDescent="0.25">
      <c r="B1476" s="193">
        <v>43627</v>
      </c>
      <c r="C1476" s="195">
        <v>11965.6</v>
      </c>
    </row>
    <row r="1477" spans="2:3" x14ac:dyDescent="0.25">
      <c r="B1477" s="193">
        <v>43626</v>
      </c>
      <c r="C1477" s="195">
        <v>11922.7</v>
      </c>
    </row>
    <row r="1478" spans="2:3" x14ac:dyDescent="0.25">
      <c r="B1478" s="193">
        <v>43623</v>
      </c>
      <c r="C1478" s="195">
        <v>11870.65</v>
      </c>
    </row>
    <row r="1479" spans="2:3" x14ac:dyDescent="0.25">
      <c r="B1479" s="193">
        <v>43622</v>
      </c>
      <c r="C1479" s="195">
        <v>11843.75</v>
      </c>
    </row>
    <row r="1480" spans="2:3" x14ac:dyDescent="0.25">
      <c r="B1480" s="193">
        <v>43620</v>
      </c>
      <c r="C1480" s="195">
        <v>12021.65</v>
      </c>
    </row>
    <row r="1481" spans="2:3" x14ac:dyDescent="0.25">
      <c r="B1481" s="193">
        <v>43619</v>
      </c>
      <c r="C1481" s="195">
        <v>12088.55</v>
      </c>
    </row>
    <row r="1482" spans="2:3" x14ac:dyDescent="0.25">
      <c r="B1482" s="193">
        <v>43616</v>
      </c>
      <c r="C1482" s="195">
        <v>11922.8</v>
      </c>
    </row>
    <row r="1483" spans="2:3" x14ac:dyDescent="0.25">
      <c r="B1483" s="193">
        <v>43615</v>
      </c>
      <c r="C1483" s="195">
        <v>11945.9</v>
      </c>
    </row>
    <row r="1484" spans="2:3" x14ac:dyDescent="0.25">
      <c r="B1484" s="193">
        <v>43614</v>
      </c>
      <c r="C1484" s="195">
        <v>11861.1</v>
      </c>
    </row>
    <row r="1485" spans="2:3" x14ac:dyDescent="0.25">
      <c r="B1485" s="193">
        <v>43613</v>
      </c>
      <c r="C1485" s="195">
        <v>11928.75</v>
      </c>
    </row>
    <row r="1486" spans="2:3" x14ac:dyDescent="0.25">
      <c r="B1486" s="193">
        <v>43612</v>
      </c>
      <c r="C1486" s="195">
        <v>11924.75</v>
      </c>
    </row>
    <row r="1487" spans="2:3" x14ac:dyDescent="0.25">
      <c r="B1487" s="193">
        <v>43609</v>
      </c>
      <c r="C1487" s="195">
        <v>11844.1</v>
      </c>
    </row>
    <row r="1488" spans="2:3" x14ac:dyDescent="0.25">
      <c r="B1488" s="193">
        <v>43608</v>
      </c>
      <c r="C1488" s="195">
        <v>11657.05</v>
      </c>
    </row>
    <row r="1489" spans="2:3" x14ac:dyDescent="0.25">
      <c r="B1489" s="193">
        <v>43607</v>
      </c>
      <c r="C1489" s="195">
        <v>11737.9</v>
      </c>
    </row>
    <row r="1490" spans="2:3" x14ac:dyDescent="0.25">
      <c r="B1490" s="193">
        <v>43606</v>
      </c>
      <c r="C1490" s="195">
        <v>11709.1</v>
      </c>
    </row>
    <row r="1491" spans="2:3" x14ac:dyDescent="0.25">
      <c r="B1491" s="193">
        <v>43605</v>
      </c>
      <c r="C1491" s="195">
        <v>11828.25</v>
      </c>
    </row>
    <row r="1492" spans="2:3" x14ac:dyDescent="0.25">
      <c r="B1492" s="193">
        <v>43602</v>
      </c>
      <c r="C1492" s="195">
        <v>11407.15</v>
      </c>
    </row>
    <row r="1493" spans="2:3" x14ac:dyDescent="0.25">
      <c r="B1493" s="193">
        <v>43601</v>
      </c>
      <c r="C1493" s="195">
        <v>11257.1</v>
      </c>
    </row>
    <row r="1494" spans="2:3" x14ac:dyDescent="0.25">
      <c r="B1494" s="193">
        <v>43600</v>
      </c>
      <c r="C1494" s="195">
        <v>11157</v>
      </c>
    </row>
    <row r="1495" spans="2:3" x14ac:dyDescent="0.25">
      <c r="B1495" s="193">
        <v>43599</v>
      </c>
      <c r="C1495" s="195">
        <v>11222.05</v>
      </c>
    </row>
    <row r="1496" spans="2:3" x14ac:dyDescent="0.25">
      <c r="B1496" s="193">
        <v>43598</v>
      </c>
      <c r="C1496" s="195">
        <v>11148.2</v>
      </c>
    </row>
    <row r="1497" spans="2:3" x14ac:dyDescent="0.25">
      <c r="B1497" s="193">
        <v>43595</v>
      </c>
      <c r="C1497" s="195">
        <v>11278.9</v>
      </c>
    </row>
    <row r="1498" spans="2:3" x14ac:dyDescent="0.25">
      <c r="B1498" s="193">
        <v>43594</v>
      </c>
      <c r="C1498" s="195">
        <v>11301.8</v>
      </c>
    </row>
    <row r="1499" spans="2:3" x14ac:dyDescent="0.25">
      <c r="B1499" s="193">
        <v>43593</v>
      </c>
      <c r="C1499" s="195">
        <v>11359.45</v>
      </c>
    </row>
    <row r="1500" spans="2:3" x14ac:dyDescent="0.25">
      <c r="B1500" s="193">
        <v>43592</v>
      </c>
      <c r="C1500" s="195">
        <v>11497.9</v>
      </c>
    </row>
    <row r="1501" spans="2:3" x14ac:dyDescent="0.25">
      <c r="B1501" s="193">
        <v>43591</v>
      </c>
      <c r="C1501" s="195">
        <v>11598.25</v>
      </c>
    </row>
    <row r="1502" spans="2:3" x14ac:dyDescent="0.25">
      <c r="B1502" s="193">
        <v>43588</v>
      </c>
      <c r="C1502" s="195">
        <v>11712.25</v>
      </c>
    </row>
    <row r="1503" spans="2:3" x14ac:dyDescent="0.25">
      <c r="B1503" s="193">
        <v>43587</v>
      </c>
      <c r="C1503" s="195">
        <v>11724.75</v>
      </c>
    </row>
    <row r="1504" spans="2:3" x14ac:dyDescent="0.25">
      <c r="B1504" s="193">
        <v>43585</v>
      </c>
      <c r="C1504" s="195">
        <v>11748.15</v>
      </c>
    </row>
    <row r="1505" spans="2:3" x14ac:dyDescent="0.25">
      <c r="B1505" s="193">
        <v>43581</v>
      </c>
      <c r="C1505" s="195">
        <v>11754.65</v>
      </c>
    </row>
    <row r="1506" spans="2:3" x14ac:dyDescent="0.25">
      <c r="B1506" s="193">
        <v>43580</v>
      </c>
      <c r="C1506" s="195">
        <v>11641.8</v>
      </c>
    </row>
    <row r="1507" spans="2:3" x14ac:dyDescent="0.25">
      <c r="B1507" s="193">
        <v>43579</v>
      </c>
      <c r="C1507" s="195">
        <v>11726.15</v>
      </c>
    </row>
    <row r="1508" spans="2:3" x14ac:dyDescent="0.25">
      <c r="B1508" s="193">
        <v>43578</v>
      </c>
      <c r="C1508" s="195">
        <v>11575.95</v>
      </c>
    </row>
    <row r="1509" spans="2:3" x14ac:dyDescent="0.25">
      <c r="B1509" s="193">
        <v>43577</v>
      </c>
      <c r="C1509" s="195">
        <v>11594.45</v>
      </c>
    </row>
    <row r="1510" spans="2:3" x14ac:dyDescent="0.25">
      <c r="B1510" s="193">
        <v>43573</v>
      </c>
      <c r="C1510" s="195">
        <v>11752.8</v>
      </c>
    </row>
    <row r="1511" spans="2:3" x14ac:dyDescent="0.25">
      <c r="B1511" s="193">
        <v>43571</v>
      </c>
      <c r="C1511" s="195">
        <v>11787.15</v>
      </c>
    </row>
    <row r="1512" spans="2:3" x14ac:dyDescent="0.25">
      <c r="B1512" s="193">
        <v>43570</v>
      </c>
      <c r="C1512" s="195">
        <v>11690.35</v>
      </c>
    </row>
    <row r="1513" spans="2:3" x14ac:dyDescent="0.25">
      <c r="B1513" s="193">
        <v>43567</v>
      </c>
      <c r="C1513" s="195">
        <v>11643.45</v>
      </c>
    </row>
    <row r="1514" spans="2:3" x14ac:dyDescent="0.25">
      <c r="B1514" s="193">
        <v>43566</v>
      </c>
      <c r="C1514" s="195">
        <v>11596.7</v>
      </c>
    </row>
    <row r="1515" spans="2:3" x14ac:dyDescent="0.25">
      <c r="B1515" s="193">
        <v>43565</v>
      </c>
      <c r="C1515" s="195">
        <v>11584.3</v>
      </c>
    </row>
    <row r="1516" spans="2:3" x14ac:dyDescent="0.25">
      <c r="B1516" s="193">
        <v>43564</v>
      </c>
      <c r="C1516" s="195">
        <v>11671.95</v>
      </c>
    </row>
    <row r="1517" spans="2:3" x14ac:dyDescent="0.25">
      <c r="B1517" s="193">
        <v>43563</v>
      </c>
      <c r="C1517" s="195">
        <v>11604.5</v>
      </c>
    </row>
    <row r="1518" spans="2:3" x14ac:dyDescent="0.25">
      <c r="B1518" s="193">
        <v>43560</v>
      </c>
      <c r="C1518" s="195">
        <v>11665.95</v>
      </c>
    </row>
    <row r="1519" spans="2:3" x14ac:dyDescent="0.25">
      <c r="B1519" s="193">
        <v>43559</v>
      </c>
      <c r="C1519" s="195">
        <v>11598</v>
      </c>
    </row>
    <row r="1520" spans="2:3" x14ac:dyDescent="0.25">
      <c r="B1520" s="193">
        <v>43558</v>
      </c>
      <c r="C1520" s="195">
        <v>11643.95</v>
      </c>
    </row>
    <row r="1521" spans="2:3" x14ac:dyDescent="0.25">
      <c r="B1521" s="193">
        <v>43557</v>
      </c>
      <c r="C1521" s="195">
        <v>11713.2</v>
      </c>
    </row>
    <row r="1522" spans="2:3" x14ac:dyDescent="0.25">
      <c r="B1522" s="193">
        <v>43556</v>
      </c>
      <c r="C1522" s="195">
        <v>11669.15</v>
      </c>
    </row>
    <row r="1523" spans="2:3" x14ac:dyDescent="0.25">
      <c r="B1523" s="193">
        <v>43553</v>
      </c>
      <c r="C1523" s="195">
        <v>11623.9</v>
      </c>
    </row>
    <row r="1524" spans="2:3" x14ac:dyDescent="0.25">
      <c r="B1524" s="193">
        <v>43552</v>
      </c>
      <c r="C1524" s="195">
        <v>11570</v>
      </c>
    </row>
    <row r="1525" spans="2:3" x14ac:dyDescent="0.25">
      <c r="B1525" s="193">
        <v>43551</v>
      </c>
      <c r="C1525" s="195">
        <v>11445.05</v>
      </c>
    </row>
    <row r="1526" spans="2:3" x14ac:dyDescent="0.25">
      <c r="B1526" s="193">
        <v>43550</v>
      </c>
      <c r="C1526" s="195">
        <v>11483.25</v>
      </c>
    </row>
    <row r="1527" spans="2:3" x14ac:dyDescent="0.25">
      <c r="B1527" s="193">
        <v>43549</v>
      </c>
      <c r="C1527" s="195">
        <v>11354.25</v>
      </c>
    </row>
    <row r="1528" spans="2:3" x14ac:dyDescent="0.25">
      <c r="B1528" s="193">
        <v>43546</v>
      </c>
      <c r="C1528" s="195">
        <v>11456.9</v>
      </c>
    </row>
    <row r="1529" spans="2:3" x14ac:dyDescent="0.25">
      <c r="B1529" s="193">
        <v>43544</v>
      </c>
      <c r="C1529" s="195">
        <v>11521.05</v>
      </c>
    </row>
    <row r="1530" spans="2:3" x14ac:dyDescent="0.25">
      <c r="B1530" s="193">
        <v>43543</v>
      </c>
      <c r="C1530" s="195">
        <v>11532.4</v>
      </c>
    </row>
    <row r="1531" spans="2:3" x14ac:dyDescent="0.25">
      <c r="B1531" s="193">
        <v>43542</v>
      </c>
      <c r="C1531" s="195">
        <v>11462.2</v>
      </c>
    </row>
    <row r="1532" spans="2:3" x14ac:dyDescent="0.25">
      <c r="B1532" s="193">
        <v>43539</v>
      </c>
      <c r="C1532" s="195">
        <v>11426.85</v>
      </c>
    </row>
    <row r="1533" spans="2:3" x14ac:dyDescent="0.25">
      <c r="B1533" s="193">
        <v>43538</v>
      </c>
      <c r="C1533" s="195">
        <v>11343.25</v>
      </c>
    </row>
    <row r="1534" spans="2:3" x14ac:dyDescent="0.25">
      <c r="B1534" s="193">
        <v>43537</v>
      </c>
      <c r="C1534" s="195">
        <v>11341.7</v>
      </c>
    </row>
    <row r="1535" spans="2:3" x14ac:dyDescent="0.25">
      <c r="B1535" s="193">
        <v>43536</v>
      </c>
      <c r="C1535" s="195">
        <v>11301.2</v>
      </c>
    </row>
    <row r="1536" spans="2:3" x14ac:dyDescent="0.25">
      <c r="B1536" s="193">
        <v>43535</v>
      </c>
      <c r="C1536" s="195">
        <v>11168.05</v>
      </c>
    </row>
    <row r="1537" spans="2:3" x14ac:dyDescent="0.25">
      <c r="B1537" s="193">
        <v>43532</v>
      </c>
      <c r="C1537" s="195">
        <v>11035.4</v>
      </c>
    </row>
    <row r="1538" spans="2:3" x14ac:dyDescent="0.25">
      <c r="B1538" s="193">
        <v>43531</v>
      </c>
      <c r="C1538" s="195">
        <v>11058.2</v>
      </c>
    </row>
    <row r="1539" spans="2:3" x14ac:dyDescent="0.25">
      <c r="B1539" s="193">
        <v>43530</v>
      </c>
      <c r="C1539" s="195">
        <v>11053</v>
      </c>
    </row>
    <row r="1540" spans="2:3" x14ac:dyDescent="0.25">
      <c r="B1540" s="193">
        <v>43529</v>
      </c>
      <c r="C1540" s="195">
        <v>10987.45</v>
      </c>
    </row>
    <row r="1541" spans="2:3" x14ac:dyDescent="0.25">
      <c r="B1541" s="193">
        <v>43525</v>
      </c>
      <c r="C1541" s="195">
        <v>10863.5</v>
      </c>
    </row>
    <row r="1542" spans="2:3" x14ac:dyDescent="0.25">
      <c r="B1542" s="193">
        <v>43524</v>
      </c>
      <c r="C1542" s="195">
        <v>10792.5</v>
      </c>
    </row>
    <row r="1543" spans="2:3" x14ac:dyDescent="0.25">
      <c r="B1543" s="193">
        <v>43523</v>
      </c>
      <c r="C1543" s="195">
        <v>10806.65</v>
      </c>
    </row>
    <row r="1544" spans="2:3" x14ac:dyDescent="0.25">
      <c r="B1544" s="193">
        <v>43522</v>
      </c>
      <c r="C1544" s="195">
        <v>10835.3</v>
      </c>
    </row>
    <row r="1545" spans="2:3" x14ac:dyDescent="0.25">
      <c r="B1545" s="193">
        <v>43521</v>
      </c>
      <c r="C1545" s="195">
        <v>10880.1</v>
      </c>
    </row>
    <row r="1546" spans="2:3" x14ac:dyDescent="0.25">
      <c r="B1546" s="193">
        <v>43518</v>
      </c>
      <c r="C1546" s="195">
        <v>10791.65</v>
      </c>
    </row>
    <row r="1547" spans="2:3" x14ac:dyDescent="0.25">
      <c r="B1547" s="193">
        <v>43517</v>
      </c>
      <c r="C1547" s="195">
        <v>10789.85</v>
      </c>
    </row>
    <row r="1548" spans="2:3" x14ac:dyDescent="0.25">
      <c r="B1548" s="193">
        <v>43516</v>
      </c>
      <c r="C1548" s="195">
        <v>10735.45</v>
      </c>
    </row>
    <row r="1549" spans="2:3" x14ac:dyDescent="0.25">
      <c r="B1549" s="193">
        <v>43515</v>
      </c>
      <c r="C1549" s="195">
        <v>10604.35</v>
      </c>
    </row>
    <row r="1550" spans="2:3" x14ac:dyDescent="0.25">
      <c r="B1550" s="193">
        <v>43514</v>
      </c>
      <c r="C1550" s="195">
        <v>10640.95</v>
      </c>
    </row>
    <row r="1551" spans="2:3" x14ac:dyDescent="0.25">
      <c r="B1551" s="193">
        <v>43511</v>
      </c>
      <c r="C1551" s="195">
        <v>10724.4</v>
      </c>
    </row>
    <row r="1552" spans="2:3" x14ac:dyDescent="0.25">
      <c r="B1552" s="193">
        <v>43510</v>
      </c>
      <c r="C1552" s="195">
        <v>10746.05</v>
      </c>
    </row>
    <row r="1553" spans="2:3" x14ac:dyDescent="0.25">
      <c r="B1553" s="193">
        <v>43509</v>
      </c>
      <c r="C1553" s="195">
        <v>10793.65</v>
      </c>
    </row>
    <row r="1554" spans="2:3" x14ac:dyDescent="0.25">
      <c r="B1554" s="193">
        <v>43508</v>
      </c>
      <c r="C1554" s="195">
        <v>10831.4</v>
      </c>
    </row>
    <row r="1555" spans="2:3" x14ac:dyDescent="0.25">
      <c r="B1555" s="193">
        <v>43507</v>
      </c>
      <c r="C1555" s="195">
        <v>10888.8</v>
      </c>
    </row>
    <row r="1556" spans="2:3" x14ac:dyDescent="0.25">
      <c r="B1556" s="193">
        <v>43504</v>
      </c>
      <c r="C1556" s="195">
        <v>10943.6</v>
      </c>
    </row>
    <row r="1557" spans="2:3" x14ac:dyDescent="0.25">
      <c r="B1557" s="193">
        <v>43503</v>
      </c>
      <c r="C1557" s="195">
        <v>11069.4</v>
      </c>
    </row>
    <row r="1558" spans="2:3" x14ac:dyDescent="0.25">
      <c r="B1558" s="193">
        <v>43502</v>
      </c>
      <c r="C1558" s="195">
        <v>11062.45</v>
      </c>
    </row>
    <row r="1559" spans="2:3" x14ac:dyDescent="0.25">
      <c r="B1559" s="193">
        <v>43501</v>
      </c>
      <c r="C1559" s="195">
        <v>10934.35</v>
      </c>
    </row>
    <row r="1560" spans="2:3" x14ac:dyDescent="0.25">
      <c r="B1560" s="193">
        <v>43500</v>
      </c>
      <c r="C1560" s="195">
        <v>10912.25</v>
      </c>
    </row>
    <row r="1561" spans="2:3" x14ac:dyDescent="0.25">
      <c r="B1561" s="193">
        <v>43497</v>
      </c>
      <c r="C1561" s="195">
        <v>10893.65</v>
      </c>
    </row>
    <row r="1562" spans="2:3" x14ac:dyDescent="0.25">
      <c r="B1562" s="193">
        <v>43496</v>
      </c>
      <c r="C1562" s="195">
        <v>10830.95</v>
      </c>
    </row>
    <row r="1563" spans="2:3" x14ac:dyDescent="0.25">
      <c r="B1563" s="193">
        <v>43495</v>
      </c>
      <c r="C1563" s="195">
        <v>10651.8</v>
      </c>
    </row>
    <row r="1564" spans="2:3" x14ac:dyDescent="0.25">
      <c r="B1564" s="193">
        <v>43494</v>
      </c>
      <c r="C1564" s="195">
        <v>10652.2</v>
      </c>
    </row>
    <row r="1565" spans="2:3" x14ac:dyDescent="0.25">
      <c r="B1565" s="193">
        <v>43493</v>
      </c>
      <c r="C1565" s="195">
        <v>10661.55</v>
      </c>
    </row>
    <row r="1566" spans="2:3" x14ac:dyDescent="0.25">
      <c r="B1566" s="193">
        <v>43490</v>
      </c>
      <c r="C1566" s="195">
        <v>10780.55</v>
      </c>
    </row>
    <row r="1567" spans="2:3" x14ac:dyDescent="0.25">
      <c r="B1567" s="193">
        <v>43489</v>
      </c>
      <c r="C1567" s="195">
        <v>10849.8</v>
      </c>
    </row>
    <row r="1568" spans="2:3" x14ac:dyDescent="0.25">
      <c r="B1568" s="193">
        <v>43488</v>
      </c>
      <c r="C1568" s="195">
        <v>10831.5</v>
      </c>
    </row>
    <row r="1569" spans="2:3" x14ac:dyDescent="0.25">
      <c r="B1569" s="193">
        <v>43487</v>
      </c>
      <c r="C1569" s="195">
        <v>10922.75</v>
      </c>
    </row>
    <row r="1570" spans="2:3" x14ac:dyDescent="0.25">
      <c r="B1570" s="193">
        <v>43486</v>
      </c>
      <c r="C1570" s="195">
        <v>10961.85</v>
      </c>
    </row>
    <row r="1571" spans="2:3" x14ac:dyDescent="0.25">
      <c r="B1571" s="193">
        <v>43483</v>
      </c>
      <c r="C1571" s="195">
        <v>10906.95</v>
      </c>
    </row>
    <row r="1572" spans="2:3" x14ac:dyDescent="0.25">
      <c r="B1572" s="193">
        <v>43482</v>
      </c>
      <c r="C1572" s="195">
        <v>10905.2</v>
      </c>
    </row>
    <row r="1573" spans="2:3" x14ac:dyDescent="0.25">
      <c r="B1573" s="193">
        <v>43481</v>
      </c>
      <c r="C1573" s="195">
        <v>10890.3</v>
      </c>
    </row>
    <row r="1574" spans="2:3" x14ac:dyDescent="0.25">
      <c r="B1574" s="193">
        <v>43480</v>
      </c>
      <c r="C1574" s="195">
        <v>10886.8</v>
      </c>
    </row>
    <row r="1575" spans="2:3" x14ac:dyDescent="0.25">
      <c r="B1575" s="193">
        <v>43479</v>
      </c>
      <c r="C1575" s="195">
        <v>10737.6</v>
      </c>
    </row>
    <row r="1576" spans="2:3" x14ac:dyDescent="0.25">
      <c r="B1576" s="193">
        <v>43476</v>
      </c>
      <c r="C1576" s="195">
        <v>10794.95</v>
      </c>
    </row>
    <row r="1577" spans="2:3" x14ac:dyDescent="0.25">
      <c r="B1577" s="193">
        <v>43475</v>
      </c>
      <c r="C1577" s="195">
        <v>10821.6</v>
      </c>
    </row>
    <row r="1578" spans="2:3" x14ac:dyDescent="0.25">
      <c r="B1578" s="193">
        <v>43474</v>
      </c>
      <c r="C1578" s="195">
        <v>10855.15</v>
      </c>
    </row>
    <row r="1579" spans="2:3" x14ac:dyDescent="0.25">
      <c r="B1579" s="193">
        <v>43473</v>
      </c>
      <c r="C1579" s="195">
        <v>10802.15</v>
      </c>
    </row>
    <row r="1580" spans="2:3" x14ac:dyDescent="0.25">
      <c r="B1580" s="193">
        <v>43472</v>
      </c>
      <c r="C1580" s="195">
        <v>10771.8</v>
      </c>
    </row>
    <row r="1581" spans="2:3" x14ac:dyDescent="0.25">
      <c r="B1581" s="193">
        <v>43469</v>
      </c>
      <c r="C1581" s="195">
        <v>10727.35</v>
      </c>
    </row>
    <row r="1582" spans="2:3" x14ac:dyDescent="0.25">
      <c r="B1582" s="193">
        <v>43468</v>
      </c>
      <c r="C1582" s="195">
        <v>10672.25</v>
      </c>
    </row>
    <row r="1583" spans="2:3" x14ac:dyDescent="0.25">
      <c r="B1583" s="193">
        <v>43467</v>
      </c>
      <c r="C1583" s="195">
        <v>10792.5</v>
      </c>
    </row>
    <row r="1584" spans="2:3" x14ac:dyDescent="0.25">
      <c r="B1584" s="193">
        <v>43466</v>
      </c>
      <c r="C1584" s="195">
        <v>10910.1</v>
      </c>
    </row>
    <row r="1585" spans="2:3" x14ac:dyDescent="0.25">
      <c r="B1585" s="193">
        <v>43465</v>
      </c>
      <c r="C1585" s="195">
        <v>10862.55</v>
      </c>
    </row>
    <row r="1586" spans="2:3" x14ac:dyDescent="0.25">
      <c r="B1586" s="193">
        <v>43462</v>
      </c>
      <c r="C1586" s="195">
        <v>10859.9</v>
      </c>
    </row>
    <row r="1587" spans="2:3" x14ac:dyDescent="0.25">
      <c r="B1587" s="193">
        <v>43461</v>
      </c>
      <c r="C1587" s="195">
        <v>10779.8</v>
      </c>
    </row>
    <row r="1588" spans="2:3" x14ac:dyDescent="0.25">
      <c r="B1588" s="193">
        <v>43460</v>
      </c>
      <c r="C1588" s="195">
        <v>10729.85</v>
      </c>
    </row>
    <row r="1589" spans="2:3" x14ac:dyDescent="0.25">
      <c r="B1589" s="193">
        <v>43458</v>
      </c>
      <c r="C1589" s="195">
        <v>10663.5</v>
      </c>
    </row>
    <row r="1590" spans="2:3" x14ac:dyDescent="0.25">
      <c r="B1590" s="193">
        <v>43455</v>
      </c>
      <c r="C1590" s="195">
        <v>10754</v>
      </c>
    </row>
    <row r="1591" spans="2:3" x14ac:dyDescent="0.25">
      <c r="B1591" s="193">
        <v>43454</v>
      </c>
      <c r="C1591" s="195">
        <v>10951.7</v>
      </c>
    </row>
    <row r="1592" spans="2:3" x14ac:dyDescent="0.25">
      <c r="B1592" s="193">
        <v>43453</v>
      </c>
      <c r="C1592" s="195">
        <v>10967.3</v>
      </c>
    </row>
    <row r="1593" spans="2:3" x14ac:dyDescent="0.25">
      <c r="B1593" s="193">
        <v>43452</v>
      </c>
      <c r="C1593" s="195">
        <v>10908.7</v>
      </c>
    </row>
    <row r="1594" spans="2:3" x14ac:dyDescent="0.25">
      <c r="B1594" s="193">
        <v>43451</v>
      </c>
      <c r="C1594" s="195">
        <v>10888.35</v>
      </c>
    </row>
    <row r="1595" spans="2:3" x14ac:dyDescent="0.25">
      <c r="B1595" s="193">
        <v>43448</v>
      </c>
      <c r="C1595" s="195">
        <v>10805.45</v>
      </c>
    </row>
    <row r="1596" spans="2:3" x14ac:dyDescent="0.25">
      <c r="B1596" s="193">
        <v>43447</v>
      </c>
      <c r="C1596" s="195">
        <v>10791.55</v>
      </c>
    </row>
    <row r="1597" spans="2:3" x14ac:dyDescent="0.25">
      <c r="B1597" s="193">
        <v>43446</v>
      </c>
      <c r="C1597" s="195">
        <v>10737.6</v>
      </c>
    </row>
    <row r="1598" spans="2:3" x14ac:dyDescent="0.25">
      <c r="B1598" s="193">
        <v>43445</v>
      </c>
      <c r="C1598" s="195">
        <v>10549.15</v>
      </c>
    </row>
    <row r="1599" spans="2:3" x14ac:dyDescent="0.25">
      <c r="B1599" s="193">
        <v>43444</v>
      </c>
      <c r="C1599" s="195">
        <v>10488.45</v>
      </c>
    </row>
    <row r="1600" spans="2:3" x14ac:dyDescent="0.25">
      <c r="B1600" s="193">
        <v>43441</v>
      </c>
      <c r="C1600" s="195">
        <v>10693.7</v>
      </c>
    </row>
    <row r="1601" spans="2:3" x14ac:dyDescent="0.25">
      <c r="B1601" s="193">
        <v>43440</v>
      </c>
      <c r="C1601" s="195">
        <v>10601.15</v>
      </c>
    </row>
    <row r="1602" spans="2:3" x14ac:dyDescent="0.25">
      <c r="B1602" s="193">
        <v>43439</v>
      </c>
      <c r="C1602" s="195">
        <v>10782.9</v>
      </c>
    </row>
    <row r="1603" spans="2:3" x14ac:dyDescent="0.25">
      <c r="B1603" s="193">
        <v>43438</v>
      </c>
      <c r="C1603" s="195">
        <v>10869.5</v>
      </c>
    </row>
    <row r="1604" spans="2:3" x14ac:dyDescent="0.25">
      <c r="B1604" s="193">
        <v>43437</v>
      </c>
      <c r="C1604" s="195">
        <v>10883.75</v>
      </c>
    </row>
    <row r="1605" spans="2:3" x14ac:dyDescent="0.25">
      <c r="B1605" s="193">
        <v>43434</v>
      </c>
      <c r="C1605" s="195">
        <v>10876.75</v>
      </c>
    </row>
    <row r="1606" spans="2:3" x14ac:dyDescent="0.25">
      <c r="B1606" s="193">
        <v>43433</v>
      </c>
      <c r="C1606" s="195">
        <v>10858.7</v>
      </c>
    </row>
    <row r="1607" spans="2:3" x14ac:dyDescent="0.25">
      <c r="B1607" s="193">
        <v>43432</v>
      </c>
      <c r="C1607" s="195">
        <v>10728.85</v>
      </c>
    </row>
    <row r="1608" spans="2:3" x14ac:dyDescent="0.25">
      <c r="B1608" s="193">
        <v>43431</v>
      </c>
      <c r="C1608" s="195">
        <v>10685.6</v>
      </c>
    </row>
    <row r="1609" spans="2:3" x14ac:dyDescent="0.25">
      <c r="B1609" s="193">
        <v>43430</v>
      </c>
      <c r="C1609" s="195">
        <v>10628.6</v>
      </c>
    </row>
    <row r="1610" spans="2:3" x14ac:dyDescent="0.25">
      <c r="B1610" s="193">
        <v>43426</v>
      </c>
      <c r="C1610" s="195">
        <v>10526.75</v>
      </c>
    </row>
    <row r="1611" spans="2:3" x14ac:dyDescent="0.25">
      <c r="B1611" s="193">
        <v>43425</v>
      </c>
      <c r="C1611" s="195">
        <v>10600.05</v>
      </c>
    </row>
    <row r="1612" spans="2:3" x14ac:dyDescent="0.25">
      <c r="B1612" s="193">
        <v>43424</v>
      </c>
      <c r="C1612" s="195">
        <v>10656.2</v>
      </c>
    </row>
    <row r="1613" spans="2:3" x14ac:dyDescent="0.25">
      <c r="B1613" s="193">
        <v>43423</v>
      </c>
      <c r="C1613" s="195">
        <v>10763.4</v>
      </c>
    </row>
    <row r="1614" spans="2:3" x14ac:dyDescent="0.25">
      <c r="B1614" s="193">
        <v>43420</v>
      </c>
      <c r="C1614" s="195">
        <v>10682.2</v>
      </c>
    </row>
    <row r="1615" spans="2:3" x14ac:dyDescent="0.25">
      <c r="B1615" s="193">
        <v>43419</v>
      </c>
      <c r="C1615" s="195">
        <v>10616.7</v>
      </c>
    </row>
    <row r="1616" spans="2:3" x14ac:dyDescent="0.25">
      <c r="B1616" s="193">
        <v>43418</v>
      </c>
      <c r="C1616" s="195">
        <v>10576.3</v>
      </c>
    </row>
    <row r="1617" spans="2:3" x14ac:dyDescent="0.25">
      <c r="B1617" s="193">
        <v>43417</v>
      </c>
      <c r="C1617" s="195">
        <v>10582.5</v>
      </c>
    </row>
    <row r="1618" spans="2:3" x14ac:dyDescent="0.25">
      <c r="B1618" s="193">
        <v>43416</v>
      </c>
      <c r="C1618" s="195">
        <v>10482.200000000001</v>
      </c>
    </row>
    <row r="1619" spans="2:3" x14ac:dyDescent="0.25">
      <c r="B1619" s="193">
        <v>43413</v>
      </c>
      <c r="C1619" s="195">
        <v>10585.2</v>
      </c>
    </row>
    <row r="1620" spans="2:3" x14ac:dyDescent="0.25">
      <c r="B1620" s="193">
        <v>43411</v>
      </c>
      <c r="C1620" s="195">
        <v>10598.85</v>
      </c>
    </row>
    <row r="1621" spans="2:3" x14ac:dyDescent="0.25">
      <c r="B1621" s="193">
        <v>43410</v>
      </c>
      <c r="C1621" s="195">
        <v>10530</v>
      </c>
    </row>
    <row r="1622" spans="2:3" x14ac:dyDescent="0.25">
      <c r="B1622" s="193">
        <v>43409</v>
      </c>
      <c r="C1622" s="195">
        <v>10524</v>
      </c>
    </row>
    <row r="1623" spans="2:3" x14ac:dyDescent="0.25">
      <c r="B1623" s="193">
        <v>43406</v>
      </c>
      <c r="C1623" s="195">
        <v>10553</v>
      </c>
    </row>
    <row r="1624" spans="2:3" x14ac:dyDescent="0.25">
      <c r="B1624" s="193">
        <v>43405</v>
      </c>
      <c r="C1624" s="195">
        <v>10380.450000000001</v>
      </c>
    </row>
    <row r="1625" spans="2:3" x14ac:dyDescent="0.25">
      <c r="B1625" s="193">
        <v>43404</v>
      </c>
      <c r="C1625" s="195">
        <v>10386.6</v>
      </c>
    </row>
    <row r="1626" spans="2:3" x14ac:dyDescent="0.25">
      <c r="B1626" s="193">
        <v>43403</v>
      </c>
      <c r="C1626" s="195">
        <v>10198.4</v>
      </c>
    </row>
    <row r="1627" spans="2:3" x14ac:dyDescent="0.25">
      <c r="B1627" s="193">
        <v>43402</v>
      </c>
      <c r="C1627" s="195">
        <v>10250.85</v>
      </c>
    </row>
    <row r="1628" spans="2:3" x14ac:dyDescent="0.25">
      <c r="B1628" s="193">
        <v>43399</v>
      </c>
      <c r="C1628" s="195">
        <v>10030</v>
      </c>
    </row>
    <row r="1629" spans="2:3" x14ac:dyDescent="0.25">
      <c r="B1629" s="193">
        <v>43398</v>
      </c>
      <c r="C1629" s="195">
        <v>10124.9</v>
      </c>
    </row>
    <row r="1630" spans="2:3" x14ac:dyDescent="0.25">
      <c r="B1630" s="193">
        <v>43397</v>
      </c>
      <c r="C1630" s="195">
        <v>10224.75</v>
      </c>
    </row>
    <row r="1631" spans="2:3" x14ac:dyDescent="0.25">
      <c r="B1631" s="193">
        <v>43396</v>
      </c>
      <c r="C1631" s="195">
        <v>10146.799999999999</v>
      </c>
    </row>
    <row r="1632" spans="2:3" x14ac:dyDescent="0.25">
      <c r="B1632" s="193">
        <v>43395</v>
      </c>
      <c r="C1632" s="195">
        <v>10245.25</v>
      </c>
    </row>
    <row r="1633" spans="2:3" x14ac:dyDescent="0.25">
      <c r="B1633" s="193">
        <v>43392</v>
      </c>
      <c r="C1633" s="195">
        <v>10303.549999999999</v>
      </c>
    </row>
    <row r="1634" spans="2:3" x14ac:dyDescent="0.25">
      <c r="B1634" s="193">
        <v>43390</v>
      </c>
      <c r="C1634" s="195">
        <v>10453.049999999999</v>
      </c>
    </row>
    <row r="1635" spans="2:3" x14ac:dyDescent="0.25">
      <c r="B1635" s="193">
        <v>43389</v>
      </c>
      <c r="C1635" s="195">
        <v>10584.75</v>
      </c>
    </row>
    <row r="1636" spans="2:3" x14ac:dyDescent="0.25">
      <c r="B1636" s="193">
        <v>43388</v>
      </c>
      <c r="C1636" s="195">
        <v>10512.5</v>
      </c>
    </row>
    <row r="1637" spans="2:3" x14ac:dyDescent="0.25">
      <c r="B1637" s="193">
        <v>43385</v>
      </c>
      <c r="C1637" s="195">
        <v>10472.5</v>
      </c>
    </row>
    <row r="1638" spans="2:3" x14ac:dyDescent="0.25">
      <c r="B1638" s="193">
        <v>43384</v>
      </c>
      <c r="C1638" s="195">
        <v>10234.65</v>
      </c>
    </row>
    <row r="1639" spans="2:3" x14ac:dyDescent="0.25">
      <c r="B1639" s="193">
        <v>43383</v>
      </c>
      <c r="C1639" s="195">
        <v>10460.1</v>
      </c>
    </row>
    <row r="1640" spans="2:3" x14ac:dyDescent="0.25">
      <c r="B1640" s="193">
        <v>43382</v>
      </c>
      <c r="C1640" s="195">
        <v>10301.049999999999</v>
      </c>
    </row>
    <row r="1641" spans="2:3" x14ac:dyDescent="0.25">
      <c r="B1641" s="193">
        <v>43381</v>
      </c>
      <c r="C1641" s="195">
        <v>10348.049999999999</v>
      </c>
    </row>
    <row r="1642" spans="2:3" x14ac:dyDescent="0.25">
      <c r="B1642" s="193">
        <v>43378</v>
      </c>
      <c r="C1642" s="195">
        <v>10316.450000000001</v>
      </c>
    </row>
    <row r="1643" spans="2:3" x14ac:dyDescent="0.25">
      <c r="B1643" s="193">
        <v>43377</v>
      </c>
      <c r="C1643" s="195">
        <v>10599.25</v>
      </c>
    </row>
    <row r="1644" spans="2:3" x14ac:dyDescent="0.25">
      <c r="B1644" s="193">
        <v>43376</v>
      </c>
      <c r="C1644" s="195">
        <v>10858.25</v>
      </c>
    </row>
    <row r="1645" spans="2:3" x14ac:dyDescent="0.25">
      <c r="B1645" s="193">
        <v>43374</v>
      </c>
      <c r="C1645" s="195">
        <v>11008.3</v>
      </c>
    </row>
    <row r="1646" spans="2:3" x14ac:dyDescent="0.25">
      <c r="B1646" s="193">
        <v>43371</v>
      </c>
      <c r="C1646" s="195">
        <v>10930.45</v>
      </c>
    </row>
    <row r="1647" spans="2:3" x14ac:dyDescent="0.25">
      <c r="B1647" s="193">
        <v>43370</v>
      </c>
      <c r="C1647" s="195">
        <v>10977.55</v>
      </c>
    </row>
    <row r="1648" spans="2:3" x14ac:dyDescent="0.25">
      <c r="B1648" s="193">
        <v>43369</v>
      </c>
      <c r="C1648" s="195">
        <v>11053.8</v>
      </c>
    </row>
    <row r="1649" spans="2:3" x14ac:dyDescent="0.25">
      <c r="B1649" s="193">
        <v>43368</v>
      </c>
      <c r="C1649" s="195">
        <v>11067.45</v>
      </c>
    </row>
    <row r="1650" spans="2:3" x14ac:dyDescent="0.25">
      <c r="B1650" s="193">
        <v>43367</v>
      </c>
      <c r="C1650" s="195">
        <v>10967.4</v>
      </c>
    </row>
    <row r="1651" spans="2:3" x14ac:dyDescent="0.25">
      <c r="B1651" s="193">
        <v>43364</v>
      </c>
      <c r="C1651" s="195">
        <v>11143.1</v>
      </c>
    </row>
    <row r="1652" spans="2:3" x14ac:dyDescent="0.25">
      <c r="B1652" s="193">
        <v>43362</v>
      </c>
      <c r="C1652" s="195">
        <v>11234.35</v>
      </c>
    </row>
    <row r="1653" spans="2:3" x14ac:dyDescent="0.25">
      <c r="B1653" s="193">
        <v>43361</v>
      </c>
      <c r="C1653" s="195">
        <v>11278.9</v>
      </c>
    </row>
    <row r="1654" spans="2:3" x14ac:dyDescent="0.25">
      <c r="B1654" s="193">
        <v>43360</v>
      </c>
      <c r="C1654" s="195">
        <v>11377.75</v>
      </c>
    </row>
    <row r="1655" spans="2:3" x14ac:dyDescent="0.25">
      <c r="B1655" s="193">
        <v>43357</v>
      </c>
      <c r="C1655" s="195">
        <v>11515.2</v>
      </c>
    </row>
    <row r="1656" spans="2:3" x14ac:dyDescent="0.25">
      <c r="B1656" s="193">
        <v>43355</v>
      </c>
      <c r="C1656" s="195">
        <v>11369.9</v>
      </c>
    </row>
    <row r="1657" spans="2:3" x14ac:dyDescent="0.25">
      <c r="B1657" s="193">
        <v>43354</v>
      </c>
      <c r="C1657" s="195">
        <v>11287.5</v>
      </c>
    </row>
    <row r="1658" spans="2:3" x14ac:dyDescent="0.25">
      <c r="B1658" s="193">
        <v>43353</v>
      </c>
      <c r="C1658" s="195">
        <v>11438.1</v>
      </c>
    </row>
    <row r="1659" spans="2:3" x14ac:dyDescent="0.25">
      <c r="B1659" s="193">
        <v>43350</v>
      </c>
      <c r="C1659" s="195">
        <v>11589.1</v>
      </c>
    </row>
    <row r="1660" spans="2:3" x14ac:dyDescent="0.25">
      <c r="B1660" s="193">
        <v>43349</v>
      </c>
      <c r="C1660" s="195">
        <v>11536.9</v>
      </c>
    </row>
    <row r="1661" spans="2:3" x14ac:dyDescent="0.25">
      <c r="B1661" s="193">
        <v>43348</v>
      </c>
      <c r="C1661" s="195">
        <v>11476.95</v>
      </c>
    </row>
    <row r="1662" spans="2:3" x14ac:dyDescent="0.25">
      <c r="B1662" s="193">
        <v>43347</v>
      </c>
      <c r="C1662" s="195">
        <v>11520.3</v>
      </c>
    </row>
    <row r="1663" spans="2:3" x14ac:dyDescent="0.25">
      <c r="B1663" s="193">
        <v>43346</v>
      </c>
      <c r="C1663" s="195">
        <v>11582.35</v>
      </c>
    </row>
    <row r="1664" spans="2:3" x14ac:dyDescent="0.25">
      <c r="B1664" s="193">
        <v>43343</v>
      </c>
      <c r="C1664" s="195">
        <v>11680.5</v>
      </c>
    </row>
    <row r="1665" spans="2:3" x14ac:dyDescent="0.25">
      <c r="B1665" s="193">
        <v>43342</v>
      </c>
      <c r="C1665" s="195">
        <v>11676.8</v>
      </c>
    </row>
    <row r="1666" spans="2:3" x14ac:dyDescent="0.25">
      <c r="B1666" s="193">
        <v>43341</v>
      </c>
      <c r="C1666" s="195">
        <v>11691.9</v>
      </c>
    </row>
    <row r="1667" spans="2:3" x14ac:dyDescent="0.25">
      <c r="B1667" s="193">
        <v>43340</v>
      </c>
      <c r="C1667" s="195">
        <v>11738.5</v>
      </c>
    </row>
    <row r="1668" spans="2:3" x14ac:dyDescent="0.25">
      <c r="B1668" s="193">
        <v>43339</v>
      </c>
      <c r="C1668" s="195">
        <v>11691.95</v>
      </c>
    </row>
    <row r="1669" spans="2:3" x14ac:dyDescent="0.25">
      <c r="B1669" s="193">
        <v>43336</v>
      </c>
      <c r="C1669" s="195">
        <v>11557.1</v>
      </c>
    </row>
    <row r="1670" spans="2:3" x14ac:dyDescent="0.25">
      <c r="B1670" s="193">
        <v>43335</v>
      </c>
      <c r="C1670" s="195">
        <v>11582.75</v>
      </c>
    </row>
    <row r="1671" spans="2:3" x14ac:dyDescent="0.25">
      <c r="B1671" s="193">
        <v>43333</v>
      </c>
      <c r="C1671" s="195">
        <v>11570.9</v>
      </c>
    </row>
    <row r="1672" spans="2:3" x14ac:dyDescent="0.25">
      <c r="B1672" s="193">
        <v>43332</v>
      </c>
      <c r="C1672" s="195">
        <v>11551.75</v>
      </c>
    </row>
    <row r="1673" spans="2:3" x14ac:dyDescent="0.25">
      <c r="B1673" s="193">
        <v>43329</v>
      </c>
      <c r="C1673" s="195">
        <v>11470.75</v>
      </c>
    </row>
    <row r="1674" spans="2:3" x14ac:dyDescent="0.25">
      <c r="B1674" s="193">
        <v>43328</v>
      </c>
      <c r="C1674" s="195">
        <v>11385.05</v>
      </c>
    </row>
    <row r="1675" spans="2:3" x14ac:dyDescent="0.25">
      <c r="B1675" s="193">
        <v>43326</v>
      </c>
      <c r="C1675" s="195">
        <v>11435.1</v>
      </c>
    </row>
    <row r="1676" spans="2:3" x14ac:dyDescent="0.25">
      <c r="B1676" s="193">
        <v>43325</v>
      </c>
      <c r="C1676" s="195">
        <v>11355.75</v>
      </c>
    </row>
    <row r="1677" spans="2:3" x14ac:dyDescent="0.25">
      <c r="B1677" s="193">
        <v>43322</v>
      </c>
      <c r="C1677" s="195">
        <v>11429.5</v>
      </c>
    </row>
    <row r="1678" spans="2:3" x14ac:dyDescent="0.25">
      <c r="B1678" s="193">
        <v>43321</v>
      </c>
      <c r="C1678" s="195">
        <v>11470.7</v>
      </c>
    </row>
    <row r="1679" spans="2:3" x14ac:dyDescent="0.25">
      <c r="B1679" s="193">
        <v>43320</v>
      </c>
      <c r="C1679" s="195">
        <v>11450</v>
      </c>
    </row>
    <row r="1680" spans="2:3" x14ac:dyDescent="0.25">
      <c r="B1680" s="193">
        <v>43319</v>
      </c>
      <c r="C1680" s="195">
        <v>11389.45</v>
      </c>
    </row>
    <row r="1681" spans="2:3" x14ac:dyDescent="0.25">
      <c r="B1681" s="193">
        <v>43318</v>
      </c>
      <c r="C1681" s="195">
        <v>11387.1</v>
      </c>
    </row>
    <row r="1682" spans="2:3" x14ac:dyDescent="0.25">
      <c r="B1682" s="193">
        <v>43315</v>
      </c>
      <c r="C1682" s="195">
        <v>11360.8</v>
      </c>
    </row>
    <row r="1683" spans="2:3" x14ac:dyDescent="0.25">
      <c r="B1683" s="193">
        <v>43314</v>
      </c>
      <c r="C1683" s="195">
        <v>11244.7</v>
      </c>
    </row>
    <row r="1684" spans="2:3" x14ac:dyDescent="0.25">
      <c r="B1684" s="193">
        <v>43313</v>
      </c>
      <c r="C1684" s="195">
        <v>11346.2</v>
      </c>
    </row>
    <row r="1685" spans="2:3" x14ac:dyDescent="0.25">
      <c r="B1685" s="193">
        <v>43312</v>
      </c>
      <c r="C1685" s="195">
        <v>11356.5</v>
      </c>
    </row>
    <row r="1686" spans="2:3" x14ac:dyDescent="0.25">
      <c r="B1686" s="193">
        <v>43311</v>
      </c>
      <c r="C1686" s="195">
        <v>11319.55</v>
      </c>
    </row>
    <row r="1687" spans="2:3" x14ac:dyDescent="0.25">
      <c r="B1687" s="193">
        <v>43308</v>
      </c>
      <c r="C1687" s="195">
        <v>11278.35</v>
      </c>
    </row>
    <row r="1688" spans="2:3" x14ac:dyDescent="0.25">
      <c r="B1688" s="193">
        <v>43307</v>
      </c>
      <c r="C1688" s="195">
        <v>11167.3</v>
      </c>
    </row>
    <row r="1689" spans="2:3" x14ac:dyDescent="0.25">
      <c r="B1689" s="193">
        <v>43306</v>
      </c>
      <c r="C1689" s="195">
        <v>11132</v>
      </c>
    </row>
    <row r="1690" spans="2:3" x14ac:dyDescent="0.25">
      <c r="B1690" s="193">
        <v>43305</v>
      </c>
      <c r="C1690" s="195">
        <v>11134.3</v>
      </c>
    </row>
    <row r="1691" spans="2:3" x14ac:dyDescent="0.25">
      <c r="B1691" s="193">
        <v>43304</v>
      </c>
      <c r="C1691" s="195">
        <v>11084.75</v>
      </c>
    </row>
    <row r="1692" spans="2:3" x14ac:dyDescent="0.25">
      <c r="B1692" s="193">
        <v>43301</v>
      </c>
      <c r="C1692" s="195">
        <v>11010.2</v>
      </c>
    </row>
    <row r="1693" spans="2:3" x14ac:dyDescent="0.25">
      <c r="B1693" s="193">
        <v>43300</v>
      </c>
      <c r="C1693" s="195">
        <v>10957.1</v>
      </c>
    </row>
    <row r="1694" spans="2:3" x14ac:dyDescent="0.25">
      <c r="B1694" s="193">
        <v>43299</v>
      </c>
      <c r="C1694" s="195">
        <v>10980.45</v>
      </c>
    </row>
    <row r="1695" spans="2:3" x14ac:dyDescent="0.25">
      <c r="B1695" s="193">
        <v>43298</v>
      </c>
      <c r="C1695" s="195">
        <v>11008.05</v>
      </c>
    </row>
    <row r="1696" spans="2:3" x14ac:dyDescent="0.25">
      <c r="B1696" s="193">
        <v>43297</v>
      </c>
      <c r="C1696" s="195">
        <v>10936.85</v>
      </c>
    </row>
    <row r="1697" spans="2:3" x14ac:dyDescent="0.25">
      <c r="B1697" s="193">
        <v>43294</v>
      </c>
      <c r="C1697" s="195">
        <v>11018.9</v>
      </c>
    </row>
    <row r="1698" spans="2:3" x14ac:dyDescent="0.25">
      <c r="B1698" s="193">
        <v>43293</v>
      </c>
      <c r="C1698" s="195">
        <v>11023.2</v>
      </c>
    </row>
    <row r="1699" spans="2:3" x14ac:dyDescent="0.25">
      <c r="B1699" s="193">
        <v>43292</v>
      </c>
      <c r="C1699" s="195">
        <v>10948.3</v>
      </c>
    </row>
    <row r="1700" spans="2:3" x14ac:dyDescent="0.25">
      <c r="B1700" s="193">
        <v>43291</v>
      </c>
      <c r="C1700" s="195">
        <v>10947.25</v>
      </c>
    </row>
    <row r="1701" spans="2:3" x14ac:dyDescent="0.25">
      <c r="B1701" s="193">
        <v>43290</v>
      </c>
      <c r="C1701" s="195">
        <v>10852.9</v>
      </c>
    </row>
    <row r="1702" spans="2:3" x14ac:dyDescent="0.25">
      <c r="B1702" s="193">
        <v>43287</v>
      </c>
      <c r="C1702" s="195">
        <v>10772.65</v>
      </c>
    </row>
    <row r="1703" spans="2:3" x14ac:dyDescent="0.25">
      <c r="B1703" s="193">
        <v>43286</v>
      </c>
      <c r="C1703" s="195">
        <v>10749.75</v>
      </c>
    </row>
    <row r="1704" spans="2:3" x14ac:dyDescent="0.25">
      <c r="B1704" s="193">
        <v>43285</v>
      </c>
      <c r="C1704" s="195">
        <v>10769.9</v>
      </c>
    </row>
    <row r="1705" spans="2:3" x14ac:dyDescent="0.25">
      <c r="B1705" s="193">
        <v>43284</v>
      </c>
      <c r="C1705" s="195">
        <v>10699.9</v>
      </c>
    </row>
    <row r="1706" spans="2:3" x14ac:dyDescent="0.25">
      <c r="B1706" s="193">
        <v>43283</v>
      </c>
      <c r="C1706" s="195">
        <v>10657.3</v>
      </c>
    </row>
    <row r="1707" spans="2:3" x14ac:dyDescent="0.25">
      <c r="B1707" s="193">
        <v>43280</v>
      </c>
      <c r="C1707" s="195">
        <v>10714.3</v>
      </c>
    </row>
    <row r="1708" spans="2:3" x14ac:dyDescent="0.25">
      <c r="B1708" s="193">
        <v>43279</v>
      </c>
      <c r="C1708" s="195">
        <v>10589.1</v>
      </c>
    </row>
    <row r="1709" spans="2:3" x14ac:dyDescent="0.25">
      <c r="B1709" s="193">
        <v>43278</v>
      </c>
      <c r="C1709" s="195">
        <v>10671.4</v>
      </c>
    </row>
    <row r="1710" spans="2:3" x14ac:dyDescent="0.25">
      <c r="B1710" s="193">
        <v>43277</v>
      </c>
      <c r="C1710" s="195">
        <v>10769.15</v>
      </c>
    </row>
    <row r="1711" spans="2:3" x14ac:dyDescent="0.25">
      <c r="B1711" s="193">
        <v>43276</v>
      </c>
      <c r="C1711" s="195">
        <v>10762.45</v>
      </c>
    </row>
    <row r="1712" spans="2:3" x14ac:dyDescent="0.25">
      <c r="B1712" s="193">
        <v>43273</v>
      </c>
      <c r="C1712" s="195">
        <v>10821.85</v>
      </c>
    </row>
    <row r="1713" spans="2:3" x14ac:dyDescent="0.25">
      <c r="B1713" s="193">
        <v>43272</v>
      </c>
      <c r="C1713" s="195">
        <v>10741.1</v>
      </c>
    </row>
    <row r="1714" spans="2:3" x14ac:dyDescent="0.25">
      <c r="B1714" s="193">
        <v>43271</v>
      </c>
      <c r="C1714" s="195">
        <v>10772.05</v>
      </c>
    </row>
    <row r="1715" spans="2:3" x14ac:dyDescent="0.25">
      <c r="B1715" s="193">
        <v>43270</v>
      </c>
      <c r="C1715" s="195">
        <v>10710.45</v>
      </c>
    </row>
    <row r="1716" spans="2:3" x14ac:dyDescent="0.25">
      <c r="B1716" s="193">
        <v>43269</v>
      </c>
      <c r="C1716" s="195">
        <v>10799.85</v>
      </c>
    </row>
    <row r="1717" spans="2:3" x14ac:dyDescent="0.25">
      <c r="B1717" s="193">
        <v>43266</v>
      </c>
      <c r="C1717" s="195">
        <v>10817.7</v>
      </c>
    </row>
    <row r="1718" spans="2:3" x14ac:dyDescent="0.25">
      <c r="B1718" s="193">
        <v>43265</v>
      </c>
      <c r="C1718" s="195">
        <v>10808.05</v>
      </c>
    </row>
    <row r="1719" spans="2:3" x14ac:dyDescent="0.25">
      <c r="B1719" s="193">
        <v>43264</v>
      </c>
      <c r="C1719" s="195">
        <v>10856.7</v>
      </c>
    </row>
    <row r="1720" spans="2:3" x14ac:dyDescent="0.25">
      <c r="B1720" s="193">
        <v>43263</v>
      </c>
      <c r="C1720" s="195">
        <v>10842.85</v>
      </c>
    </row>
    <row r="1721" spans="2:3" x14ac:dyDescent="0.25">
      <c r="B1721" s="193">
        <v>43262</v>
      </c>
      <c r="C1721" s="195">
        <v>10786.95</v>
      </c>
    </row>
    <row r="1722" spans="2:3" x14ac:dyDescent="0.25">
      <c r="B1722" s="193">
        <v>43259</v>
      </c>
      <c r="C1722" s="195">
        <v>10767.65</v>
      </c>
    </row>
    <row r="1723" spans="2:3" x14ac:dyDescent="0.25">
      <c r="B1723" s="193">
        <v>43258</v>
      </c>
      <c r="C1723" s="195">
        <v>10768.35</v>
      </c>
    </row>
    <row r="1724" spans="2:3" x14ac:dyDescent="0.25">
      <c r="B1724" s="193">
        <v>43257</v>
      </c>
      <c r="C1724" s="195">
        <v>10684.65</v>
      </c>
    </row>
    <row r="1725" spans="2:3" x14ac:dyDescent="0.25">
      <c r="B1725" s="193">
        <v>43256</v>
      </c>
      <c r="C1725" s="195">
        <v>10593.15</v>
      </c>
    </row>
    <row r="1726" spans="2:3" x14ac:dyDescent="0.25">
      <c r="B1726" s="193">
        <v>43255</v>
      </c>
      <c r="C1726" s="195">
        <v>10628.5</v>
      </c>
    </row>
    <row r="1727" spans="2:3" x14ac:dyDescent="0.25">
      <c r="B1727" s="193">
        <v>43252</v>
      </c>
      <c r="C1727" s="195">
        <v>10696.2</v>
      </c>
    </row>
    <row r="1728" spans="2:3" x14ac:dyDescent="0.25">
      <c r="B1728" s="193">
        <v>43251</v>
      </c>
      <c r="C1728" s="195">
        <v>10736.15</v>
      </c>
    </row>
    <row r="1729" spans="2:3" x14ac:dyDescent="0.25">
      <c r="B1729" s="193">
        <v>43250</v>
      </c>
      <c r="C1729" s="195">
        <v>10614.35</v>
      </c>
    </row>
    <row r="1730" spans="2:3" x14ac:dyDescent="0.25">
      <c r="B1730" s="193">
        <v>43249</v>
      </c>
      <c r="C1730" s="195">
        <v>10633.3</v>
      </c>
    </row>
    <row r="1731" spans="2:3" x14ac:dyDescent="0.25">
      <c r="B1731" s="193">
        <v>43248</v>
      </c>
      <c r="C1731" s="195">
        <v>10688.65</v>
      </c>
    </row>
    <row r="1732" spans="2:3" x14ac:dyDescent="0.25">
      <c r="B1732" s="193">
        <v>43245</v>
      </c>
      <c r="C1732" s="195">
        <v>10605.15</v>
      </c>
    </row>
    <row r="1733" spans="2:3" x14ac:dyDescent="0.25">
      <c r="B1733" s="193">
        <v>43244</v>
      </c>
      <c r="C1733" s="195">
        <v>10513.85</v>
      </c>
    </row>
    <row r="1734" spans="2:3" x14ac:dyDescent="0.25">
      <c r="B1734" s="193">
        <v>43243</v>
      </c>
      <c r="C1734" s="195">
        <v>10430.35</v>
      </c>
    </row>
    <row r="1735" spans="2:3" x14ac:dyDescent="0.25">
      <c r="B1735" s="193">
        <v>43242</v>
      </c>
      <c r="C1735" s="195">
        <v>10536.7</v>
      </c>
    </row>
    <row r="1736" spans="2:3" x14ac:dyDescent="0.25">
      <c r="B1736" s="193">
        <v>43241</v>
      </c>
      <c r="C1736" s="195">
        <v>10516.7</v>
      </c>
    </row>
    <row r="1737" spans="2:3" x14ac:dyDescent="0.25">
      <c r="B1737" s="193">
        <v>43238</v>
      </c>
      <c r="C1737" s="195">
        <v>10596.4</v>
      </c>
    </row>
    <row r="1738" spans="2:3" x14ac:dyDescent="0.25">
      <c r="B1738" s="193">
        <v>43237</v>
      </c>
      <c r="C1738" s="195">
        <v>10682.7</v>
      </c>
    </row>
    <row r="1739" spans="2:3" x14ac:dyDescent="0.25">
      <c r="B1739" s="193">
        <v>43236</v>
      </c>
      <c r="C1739" s="195">
        <v>10741.1</v>
      </c>
    </row>
    <row r="1740" spans="2:3" x14ac:dyDescent="0.25">
      <c r="B1740" s="193">
        <v>43235</v>
      </c>
      <c r="C1740" s="195">
        <v>10801.85</v>
      </c>
    </row>
    <row r="1741" spans="2:3" x14ac:dyDescent="0.25">
      <c r="B1741" s="193">
        <v>43234</v>
      </c>
      <c r="C1741" s="195">
        <v>10806.6</v>
      </c>
    </row>
    <row r="1742" spans="2:3" x14ac:dyDescent="0.25">
      <c r="B1742" s="193">
        <v>43231</v>
      </c>
      <c r="C1742" s="195">
        <v>10806.5</v>
      </c>
    </row>
    <row r="1743" spans="2:3" x14ac:dyDescent="0.25">
      <c r="B1743" s="193">
        <v>43230</v>
      </c>
      <c r="C1743" s="195">
        <v>10716.55</v>
      </c>
    </row>
    <row r="1744" spans="2:3" x14ac:dyDescent="0.25">
      <c r="B1744" s="193">
        <v>43229</v>
      </c>
      <c r="C1744" s="195">
        <v>10741.7</v>
      </c>
    </row>
    <row r="1745" spans="2:3" x14ac:dyDescent="0.25">
      <c r="B1745" s="193">
        <v>43228</v>
      </c>
      <c r="C1745" s="195">
        <v>10717.8</v>
      </c>
    </row>
    <row r="1746" spans="2:3" x14ac:dyDescent="0.25">
      <c r="B1746" s="193">
        <v>43227</v>
      </c>
      <c r="C1746" s="195">
        <v>10715.5</v>
      </c>
    </row>
    <row r="1747" spans="2:3" x14ac:dyDescent="0.25">
      <c r="B1747" s="193">
        <v>43224</v>
      </c>
      <c r="C1747" s="195">
        <v>10618.25</v>
      </c>
    </row>
    <row r="1748" spans="2:3" x14ac:dyDescent="0.25">
      <c r="B1748" s="193">
        <v>43223</v>
      </c>
      <c r="C1748" s="195">
        <v>10679.65</v>
      </c>
    </row>
    <row r="1749" spans="2:3" x14ac:dyDescent="0.25">
      <c r="B1749" s="193">
        <v>43222</v>
      </c>
      <c r="C1749" s="195">
        <v>10718.05</v>
      </c>
    </row>
    <row r="1750" spans="2:3" x14ac:dyDescent="0.25">
      <c r="B1750" s="193">
        <v>43220</v>
      </c>
      <c r="C1750" s="195">
        <v>10739.35</v>
      </c>
    </row>
    <row r="1751" spans="2:3" x14ac:dyDescent="0.25">
      <c r="B1751" s="193">
        <v>43217</v>
      </c>
      <c r="C1751" s="195">
        <v>10692.3</v>
      </c>
    </row>
    <row r="1752" spans="2:3" x14ac:dyDescent="0.25">
      <c r="B1752" s="193">
        <v>43216</v>
      </c>
      <c r="C1752" s="195">
        <v>10617.8</v>
      </c>
    </row>
    <row r="1753" spans="2:3" x14ac:dyDescent="0.25">
      <c r="B1753" s="193">
        <v>43215</v>
      </c>
      <c r="C1753" s="195">
        <v>10570.55</v>
      </c>
    </row>
    <row r="1754" spans="2:3" x14ac:dyDescent="0.25">
      <c r="B1754" s="193">
        <v>43214</v>
      </c>
      <c r="C1754" s="195">
        <v>10614.35</v>
      </c>
    </row>
    <row r="1755" spans="2:3" x14ac:dyDescent="0.25">
      <c r="B1755" s="193">
        <v>43213</v>
      </c>
      <c r="C1755" s="195">
        <v>10584.7</v>
      </c>
    </row>
    <row r="1756" spans="2:3" x14ac:dyDescent="0.25">
      <c r="B1756" s="193">
        <v>43210</v>
      </c>
      <c r="C1756" s="195">
        <v>10564.05</v>
      </c>
    </row>
    <row r="1757" spans="2:3" x14ac:dyDescent="0.25">
      <c r="B1757" s="193">
        <v>43209</v>
      </c>
      <c r="C1757" s="195">
        <v>10565.3</v>
      </c>
    </row>
    <row r="1758" spans="2:3" x14ac:dyDescent="0.25">
      <c r="B1758" s="193">
        <v>43208</v>
      </c>
      <c r="C1758" s="195">
        <v>10526.2</v>
      </c>
    </row>
    <row r="1759" spans="2:3" x14ac:dyDescent="0.25">
      <c r="B1759" s="193">
        <v>43207</v>
      </c>
      <c r="C1759" s="195">
        <v>10548.7</v>
      </c>
    </row>
    <row r="1760" spans="2:3" x14ac:dyDescent="0.25">
      <c r="B1760" s="193">
        <v>43206</v>
      </c>
      <c r="C1760" s="195">
        <v>10528.35</v>
      </c>
    </row>
    <row r="1761" spans="2:3" x14ac:dyDescent="0.25">
      <c r="B1761" s="193">
        <v>43203</v>
      </c>
      <c r="C1761" s="195">
        <v>10480.6</v>
      </c>
    </row>
    <row r="1762" spans="2:3" x14ac:dyDescent="0.25">
      <c r="B1762" s="193">
        <v>43202</v>
      </c>
      <c r="C1762" s="195">
        <v>10458.65</v>
      </c>
    </row>
    <row r="1763" spans="2:3" x14ac:dyDescent="0.25">
      <c r="B1763" s="193">
        <v>43201</v>
      </c>
      <c r="C1763" s="195">
        <v>10417.15</v>
      </c>
    </row>
    <row r="1764" spans="2:3" x14ac:dyDescent="0.25">
      <c r="B1764" s="193">
        <v>43200</v>
      </c>
      <c r="C1764" s="195">
        <v>10402.25</v>
      </c>
    </row>
    <row r="1765" spans="2:3" x14ac:dyDescent="0.25">
      <c r="B1765" s="193">
        <v>43199</v>
      </c>
      <c r="C1765" s="195">
        <v>10379.35</v>
      </c>
    </row>
    <row r="1766" spans="2:3" x14ac:dyDescent="0.25">
      <c r="B1766" s="193">
        <v>43196</v>
      </c>
      <c r="C1766" s="195">
        <v>10331.6</v>
      </c>
    </row>
    <row r="1767" spans="2:3" x14ac:dyDescent="0.25">
      <c r="B1767" s="193">
        <v>43195</v>
      </c>
      <c r="C1767" s="195">
        <v>10325.15</v>
      </c>
    </row>
    <row r="1768" spans="2:3" x14ac:dyDescent="0.25">
      <c r="B1768" s="193">
        <v>43194</v>
      </c>
      <c r="C1768" s="195">
        <v>10128.4</v>
      </c>
    </row>
    <row r="1769" spans="2:3" x14ac:dyDescent="0.25">
      <c r="B1769" s="193">
        <v>43193</v>
      </c>
      <c r="C1769" s="195">
        <v>10245</v>
      </c>
    </row>
    <row r="1770" spans="2:3" x14ac:dyDescent="0.25">
      <c r="B1770" s="193">
        <v>43192</v>
      </c>
      <c r="C1770" s="195">
        <v>10211.799999999999</v>
      </c>
    </row>
    <row r="1771" spans="2:3" x14ac:dyDescent="0.25">
      <c r="B1771" s="193">
        <v>43187</v>
      </c>
      <c r="C1771" s="195">
        <v>10113.700000000001</v>
      </c>
    </row>
    <row r="1772" spans="2:3" x14ac:dyDescent="0.25">
      <c r="B1772" s="193">
        <v>43186</v>
      </c>
      <c r="C1772" s="195">
        <v>10184.15</v>
      </c>
    </row>
    <row r="1773" spans="2:3" x14ac:dyDescent="0.25">
      <c r="B1773" s="193">
        <v>43185</v>
      </c>
      <c r="C1773" s="195">
        <v>10130.65</v>
      </c>
    </row>
    <row r="1774" spans="2:3" x14ac:dyDescent="0.25">
      <c r="B1774" s="193">
        <v>43182</v>
      </c>
      <c r="C1774" s="195">
        <v>9998.0499999999993</v>
      </c>
    </row>
    <row r="1775" spans="2:3" x14ac:dyDescent="0.25">
      <c r="B1775" s="193">
        <v>43181</v>
      </c>
      <c r="C1775" s="195">
        <v>10114.75</v>
      </c>
    </row>
    <row r="1776" spans="2:3" x14ac:dyDescent="0.25">
      <c r="B1776" s="193">
        <v>43180</v>
      </c>
      <c r="C1776" s="195">
        <v>10155.25</v>
      </c>
    </row>
    <row r="1777" spans="2:3" x14ac:dyDescent="0.25">
      <c r="B1777" s="193">
        <v>43179</v>
      </c>
      <c r="C1777" s="195">
        <v>10124.35</v>
      </c>
    </row>
    <row r="1778" spans="2:3" x14ac:dyDescent="0.25">
      <c r="B1778" s="193">
        <v>43178</v>
      </c>
      <c r="C1778" s="195">
        <v>10094.25</v>
      </c>
    </row>
    <row r="1779" spans="2:3" x14ac:dyDescent="0.25">
      <c r="B1779" s="193">
        <v>43175</v>
      </c>
      <c r="C1779" s="195">
        <v>10195.15</v>
      </c>
    </row>
    <row r="1780" spans="2:3" x14ac:dyDescent="0.25">
      <c r="B1780" s="193">
        <v>43174</v>
      </c>
      <c r="C1780" s="195">
        <v>10360.15</v>
      </c>
    </row>
    <row r="1781" spans="2:3" x14ac:dyDescent="0.25">
      <c r="B1781" s="193">
        <v>43173</v>
      </c>
      <c r="C1781" s="195">
        <v>10410.9</v>
      </c>
    </row>
    <row r="1782" spans="2:3" x14ac:dyDescent="0.25">
      <c r="B1782" s="193">
        <v>43172</v>
      </c>
      <c r="C1782" s="195">
        <v>10426.85</v>
      </c>
    </row>
    <row r="1783" spans="2:3" x14ac:dyDescent="0.25">
      <c r="B1783" s="193">
        <v>43171</v>
      </c>
      <c r="C1783" s="195">
        <v>10421.4</v>
      </c>
    </row>
    <row r="1784" spans="2:3" x14ac:dyDescent="0.25">
      <c r="B1784" s="193">
        <v>43168</v>
      </c>
      <c r="C1784" s="195">
        <v>10226.85</v>
      </c>
    </row>
    <row r="1785" spans="2:3" x14ac:dyDescent="0.25">
      <c r="B1785" s="193">
        <v>43167</v>
      </c>
      <c r="C1785" s="195">
        <v>10242.65</v>
      </c>
    </row>
    <row r="1786" spans="2:3" x14ac:dyDescent="0.25">
      <c r="B1786" s="193">
        <v>43166</v>
      </c>
      <c r="C1786" s="195">
        <v>10154.200000000001</v>
      </c>
    </row>
    <row r="1787" spans="2:3" x14ac:dyDescent="0.25">
      <c r="B1787" s="193">
        <v>43165</v>
      </c>
      <c r="C1787" s="195">
        <v>10249.25</v>
      </c>
    </row>
    <row r="1788" spans="2:3" x14ac:dyDescent="0.25">
      <c r="B1788" s="193">
        <v>43164</v>
      </c>
      <c r="C1788" s="195">
        <v>10358.85</v>
      </c>
    </row>
    <row r="1789" spans="2:3" x14ac:dyDescent="0.25">
      <c r="B1789" s="193">
        <v>43160</v>
      </c>
      <c r="C1789" s="195">
        <v>10458.35</v>
      </c>
    </row>
    <row r="1790" spans="2:3" x14ac:dyDescent="0.25">
      <c r="B1790" s="193">
        <v>43159</v>
      </c>
      <c r="C1790" s="195">
        <v>10492.85</v>
      </c>
    </row>
    <row r="1791" spans="2:3" x14ac:dyDescent="0.25">
      <c r="B1791" s="193">
        <v>43158</v>
      </c>
      <c r="C1791" s="195">
        <v>10554.3</v>
      </c>
    </row>
    <row r="1792" spans="2:3" x14ac:dyDescent="0.25">
      <c r="B1792" s="193">
        <v>43157</v>
      </c>
      <c r="C1792" s="195">
        <v>10582.6</v>
      </c>
    </row>
    <row r="1793" spans="2:3" x14ac:dyDescent="0.25">
      <c r="B1793" s="193">
        <v>43154</v>
      </c>
      <c r="C1793" s="195">
        <v>10491.05</v>
      </c>
    </row>
    <row r="1794" spans="2:3" x14ac:dyDescent="0.25">
      <c r="B1794" s="193">
        <v>43153</v>
      </c>
      <c r="C1794" s="195">
        <v>10382.700000000001</v>
      </c>
    </row>
    <row r="1795" spans="2:3" x14ac:dyDescent="0.25">
      <c r="B1795" s="193">
        <v>43152</v>
      </c>
      <c r="C1795" s="195">
        <v>10397.450000000001</v>
      </c>
    </row>
    <row r="1796" spans="2:3" x14ac:dyDescent="0.25">
      <c r="B1796" s="193">
        <v>43151</v>
      </c>
      <c r="C1796" s="195">
        <v>10360.4</v>
      </c>
    </row>
    <row r="1797" spans="2:3" x14ac:dyDescent="0.25">
      <c r="B1797" s="193">
        <v>43150</v>
      </c>
      <c r="C1797" s="195">
        <v>10378.4</v>
      </c>
    </row>
    <row r="1798" spans="2:3" x14ac:dyDescent="0.25">
      <c r="B1798" s="193">
        <v>43147</v>
      </c>
      <c r="C1798" s="195">
        <v>10452.299999999999</v>
      </c>
    </row>
    <row r="1799" spans="2:3" x14ac:dyDescent="0.25">
      <c r="B1799" s="193">
        <v>43146</v>
      </c>
      <c r="C1799" s="195">
        <v>10545.5</v>
      </c>
    </row>
    <row r="1800" spans="2:3" x14ac:dyDescent="0.25">
      <c r="B1800" s="193">
        <v>43145</v>
      </c>
      <c r="C1800" s="195">
        <v>10500.9</v>
      </c>
    </row>
    <row r="1801" spans="2:3" x14ac:dyDescent="0.25">
      <c r="B1801" s="193">
        <v>43143</v>
      </c>
      <c r="C1801" s="195">
        <v>10539.75</v>
      </c>
    </row>
    <row r="1802" spans="2:3" x14ac:dyDescent="0.25">
      <c r="B1802" s="193">
        <v>43140</v>
      </c>
      <c r="C1802" s="195">
        <v>10454.950000000001</v>
      </c>
    </row>
    <row r="1803" spans="2:3" x14ac:dyDescent="0.25">
      <c r="B1803" s="193">
        <v>43139</v>
      </c>
      <c r="C1803" s="195">
        <v>10576.85</v>
      </c>
    </row>
    <row r="1804" spans="2:3" x14ac:dyDescent="0.25">
      <c r="B1804" s="193">
        <v>43138</v>
      </c>
      <c r="C1804" s="195">
        <v>10476.700000000001</v>
      </c>
    </row>
    <row r="1805" spans="2:3" x14ac:dyDescent="0.25">
      <c r="B1805" s="193">
        <v>43137</v>
      </c>
      <c r="C1805" s="195">
        <v>10498.25</v>
      </c>
    </row>
    <row r="1806" spans="2:3" x14ac:dyDescent="0.25">
      <c r="B1806" s="193">
        <v>43136</v>
      </c>
      <c r="C1806" s="195">
        <v>10666.55</v>
      </c>
    </row>
    <row r="1807" spans="2:3" x14ac:dyDescent="0.25">
      <c r="B1807" s="193">
        <v>43133</v>
      </c>
      <c r="C1807" s="195">
        <v>10760.6</v>
      </c>
    </row>
    <row r="1808" spans="2:3" x14ac:dyDescent="0.25">
      <c r="B1808" s="193">
        <v>43132</v>
      </c>
      <c r="C1808" s="195">
        <v>11016.9</v>
      </c>
    </row>
    <row r="1809" spans="2:3" x14ac:dyDescent="0.25">
      <c r="B1809" s="193">
        <v>43131</v>
      </c>
      <c r="C1809" s="195">
        <v>11027.7</v>
      </c>
    </row>
    <row r="1810" spans="2:3" x14ac:dyDescent="0.25">
      <c r="B1810" s="193">
        <v>43130</v>
      </c>
      <c r="C1810" s="195">
        <v>11049.65</v>
      </c>
    </row>
    <row r="1811" spans="2:3" x14ac:dyDescent="0.25">
      <c r="B1811" s="193">
        <v>43129</v>
      </c>
      <c r="C1811" s="195">
        <v>11130.4</v>
      </c>
    </row>
    <row r="1812" spans="2:3" x14ac:dyDescent="0.25">
      <c r="B1812" s="193">
        <v>43125</v>
      </c>
      <c r="C1812" s="195">
        <v>11069.65</v>
      </c>
    </row>
    <row r="1813" spans="2:3" x14ac:dyDescent="0.25">
      <c r="B1813" s="193">
        <v>43124</v>
      </c>
      <c r="C1813" s="195">
        <v>11086</v>
      </c>
    </row>
    <row r="1814" spans="2:3" x14ac:dyDescent="0.25">
      <c r="B1814" s="193">
        <v>43123</v>
      </c>
      <c r="C1814" s="195">
        <v>11083.7</v>
      </c>
    </row>
    <row r="1815" spans="2:3" x14ac:dyDescent="0.25">
      <c r="B1815" s="193">
        <v>43122</v>
      </c>
      <c r="C1815" s="195">
        <v>10966.2</v>
      </c>
    </row>
    <row r="1816" spans="2:3" x14ac:dyDescent="0.25">
      <c r="B1816" s="193">
        <v>43119</v>
      </c>
      <c r="C1816" s="195">
        <v>10894.7</v>
      </c>
    </row>
    <row r="1817" spans="2:3" x14ac:dyDescent="0.25">
      <c r="B1817" s="193">
        <v>43118</v>
      </c>
      <c r="C1817" s="195">
        <v>10817</v>
      </c>
    </row>
    <row r="1818" spans="2:3" x14ac:dyDescent="0.25">
      <c r="B1818" s="193">
        <v>43117</v>
      </c>
      <c r="C1818" s="195">
        <v>10788.55</v>
      </c>
    </row>
    <row r="1819" spans="2:3" x14ac:dyDescent="0.25">
      <c r="B1819" s="193">
        <v>43116</v>
      </c>
      <c r="C1819" s="195">
        <v>10700.45</v>
      </c>
    </row>
    <row r="1820" spans="2:3" x14ac:dyDescent="0.25">
      <c r="B1820" s="193">
        <v>43115</v>
      </c>
      <c r="C1820" s="195">
        <v>10741.55</v>
      </c>
    </row>
    <row r="1821" spans="2:3" x14ac:dyDescent="0.25">
      <c r="B1821" s="193">
        <v>43112</v>
      </c>
      <c r="C1821" s="195">
        <v>10681.25</v>
      </c>
    </row>
    <row r="1822" spans="2:3" x14ac:dyDescent="0.25">
      <c r="B1822" s="193">
        <v>43111</v>
      </c>
      <c r="C1822" s="195">
        <v>10651.2</v>
      </c>
    </row>
    <row r="1823" spans="2:3" x14ac:dyDescent="0.25">
      <c r="B1823" s="193">
        <v>43110</v>
      </c>
      <c r="C1823" s="195">
        <v>10632.2</v>
      </c>
    </row>
    <row r="1824" spans="2:3" x14ac:dyDescent="0.25">
      <c r="B1824" s="193">
        <v>43109</v>
      </c>
      <c r="C1824" s="195">
        <v>10637</v>
      </c>
    </row>
    <row r="1825" spans="2:3" x14ac:dyDescent="0.25">
      <c r="B1825" s="193">
        <v>43108</v>
      </c>
      <c r="C1825" s="195">
        <v>10623.6</v>
      </c>
    </row>
    <row r="1826" spans="2:3" x14ac:dyDescent="0.25">
      <c r="B1826" s="193">
        <v>43105</v>
      </c>
      <c r="C1826" s="195">
        <v>10558.85</v>
      </c>
    </row>
    <row r="1827" spans="2:3" x14ac:dyDescent="0.25">
      <c r="B1827" s="193">
        <v>43104</v>
      </c>
      <c r="C1827" s="195">
        <v>10504.8</v>
      </c>
    </row>
    <row r="1828" spans="2:3" x14ac:dyDescent="0.25">
      <c r="B1828" s="193">
        <v>43103</v>
      </c>
      <c r="C1828" s="195">
        <v>10443.200000000001</v>
      </c>
    </row>
    <row r="1829" spans="2:3" x14ac:dyDescent="0.25">
      <c r="B1829" s="193">
        <v>43102</v>
      </c>
      <c r="C1829" s="195">
        <v>10442.200000000001</v>
      </c>
    </row>
    <row r="1830" spans="2:3" x14ac:dyDescent="0.25">
      <c r="B1830" s="193">
        <v>43101</v>
      </c>
      <c r="C1830" s="195">
        <v>10435.549999999999</v>
      </c>
    </row>
    <row r="1831" spans="2:3" x14ac:dyDescent="0.25">
      <c r="B1831" s="193">
        <v>43098</v>
      </c>
      <c r="C1831" s="195">
        <v>10530.7</v>
      </c>
    </row>
    <row r="1832" spans="2:3" x14ac:dyDescent="0.25">
      <c r="B1832" s="193">
        <v>43097</v>
      </c>
      <c r="C1832" s="195">
        <v>10477.9</v>
      </c>
    </row>
    <row r="1833" spans="2:3" x14ac:dyDescent="0.25">
      <c r="B1833" s="193">
        <v>43096</v>
      </c>
      <c r="C1833" s="195">
        <v>10490.75</v>
      </c>
    </row>
    <row r="1834" spans="2:3" x14ac:dyDescent="0.25">
      <c r="B1834" s="193">
        <v>43095</v>
      </c>
      <c r="C1834" s="195">
        <v>10531.5</v>
      </c>
    </row>
    <row r="1835" spans="2:3" x14ac:dyDescent="0.25">
      <c r="B1835" s="193">
        <v>43091</v>
      </c>
      <c r="C1835" s="195">
        <v>10493</v>
      </c>
    </row>
    <row r="1836" spans="2:3" x14ac:dyDescent="0.25">
      <c r="B1836" s="193">
        <v>43090</v>
      </c>
      <c r="C1836" s="195">
        <v>10440.299999999999</v>
      </c>
    </row>
    <row r="1837" spans="2:3" x14ac:dyDescent="0.25">
      <c r="B1837" s="193">
        <v>43089</v>
      </c>
      <c r="C1837" s="195">
        <v>10444.200000000001</v>
      </c>
    </row>
    <row r="1838" spans="2:3" x14ac:dyDescent="0.25">
      <c r="B1838" s="193">
        <v>43088</v>
      </c>
      <c r="C1838" s="195">
        <v>10463.200000000001</v>
      </c>
    </row>
    <row r="1839" spans="2:3" x14ac:dyDescent="0.25">
      <c r="B1839" s="193">
        <v>43087</v>
      </c>
      <c r="C1839" s="195">
        <v>10388.75</v>
      </c>
    </row>
    <row r="1840" spans="2:3" x14ac:dyDescent="0.25">
      <c r="B1840" s="193">
        <v>43084</v>
      </c>
      <c r="C1840" s="195">
        <v>10333.25</v>
      </c>
    </row>
    <row r="1841" spans="2:3" x14ac:dyDescent="0.25">
      <c r="B1841" s="193">
        <v>43083</v>
      </c>
      <c r="C1841" s="195">
        <v>10252.1</v>
      </c>
    </row>
    <row r="1842" spans="2:3" x14ac:dyDescent="0.25">
      <c r="B1842" s="193">
        <v>43082</v>
      </c>
      <c r="C1842" s="195">
        <v>10192.950000000001</v>
      </c>
    </row>
    <row r="1843" spans="2:3" x14ac:dyDescent="0.25">
      <c r="B1843" s="193">
        <v>43081</v>
      </c>
      <c r="C1843" s="195">
        <v>10240.15</v>
      </c>
    </row>
    <row r="1844" spans="2:3" x14ac:dyDescent="0.25">
      <c r="B1844" s="193">
        <v>43080</v>
      </c>
      <c r="C1844" s="195">
        <v>10322.25</v>
      </c>
    </row>
    <row r="1845" spans="2:3" x14ac:dyDescent="0.25">
      <c r="B1845" s="193">
        <v>43077</v>
      </c>
      <c r="C1845" s="195">
        <v>10265.65</v>
      </c>
    </row>
    <row r="1846" spans="2:3" x14ac:dyDescent="0.25">
      <c r="B1846" s="193">
        <v>43076</v>
      </c>
      <c r="C1846" s="195">
        <v>10166.700000000001</v>
      </c>
    </row>
    <row r="1847" spans="2:3" x14ac:dyDescent="0.25">
      <c r="B1847" s="193">
        <v>43075</v>
      </c>
      <c r="C1847" s="195">
        <v>10044.1</v>
      </c>
    </row>
    <row r="1848" spans="2:3" x14ac:dyDescent="0.25">
      <c r="B1848" s="193">
        <v>43074</v>
      </c>
      <c r="C1848" s="195">
        <v>10118.25</v>
      </c>
    </row>
    <row r="1849" spans="2:3" x14ac:dyDescent="0.25">
      <c r="B1849" s="193">
        <v>43073</v>
      </c>
      <c r="C1849" s="195">
        <v>10127.75</v>
      </c>
    </row>
    <row r="1850" spans="2:3" x14ac:dyDescent="0.25">
      <c r="B1850" s="193">
        <v>43070</v>
      </c>
      <c r="C1850" s="195">
        <v>10121.799999999999</v>
      </c>
    </row>
    <row r="1851" spans="2:3" x14ac:dyDescent="0.25">
      <c r="B1851" s="193">
        <v>43069</v>
      </c>
      <c r="C1851" s="195">
        <v>10226.549999999999</v>
      </c>
    </row>
    <row r="1852" spans="2:3" x14ac:dyDescent="0.25">
      <c r="B1852" s="193">
        <v>43068</v>
      </c>
      <c r="C1852" s="195">
        <v>10361.299999999999</v>
      </c>
    </row>
    <row r="1853" spans="2:3" x14ac:dyDescent="0.25">
      <c r="B1853" s="193">
        <v>43067</v>
      </c>
      <c r="C1853" s="195">
        <v>10370.25</v>
      </c>
    </row>
    <row r="1854" spans="2:3" x14ac:dyDescent="0.25">
      <c r="B1854" s="193">
        <v>43066</v>
      </c>
      <c r="C1854" s="195">
        <v>10399.549999999999</v>
      </c>
    </row>
    <row r="1855" spans="2:3" x14ac:dyDescent="0.25">
      <c r="B1855" s="193">
        <v>43063</v>
      </c>
      <c r="C1855" s="195">
        <v>10389.700000000001</v>
      </c>
    </row>
    <row r="1856" spans="2:3" x14ac:dyDescent="0.25">
      <c r="B1856" s="193">
        <v>43062</v>
      </c>
      <c r="C1856" s="195">
        <v>10348.75</v>
      </c>
    </row>
    <row r="1857" spans="2:3" x14ac:dyDescent="0.25">
      <c r="B1857" s="193">
        <v>43061</v>
      </c>
      <c r="C1857" s="195">
        <v>10342.299999999999</v>
      </c>
    </row>
    <row r="1858" spans="2:3" x14ac:dyDescent="0.25">
      <c r="B1858" s="193">
        <v>43060</v>
      </c>
      <c r="C1858" s="195">
        <v>10326.9</v>
      </c>
    </row>
    <row r="1859" spans="2:3" x14ac:dyDescent="0.25">
      <c r="B1859" s="193">
        <v>43059</v>
      </c>
      <c r="C1859" s="195">
        <v>10298.75</v>
      </c>
    </row>
    <row r="1860" spans="2:3" x14ac:dyDescent="0.25">
      <c r="B1860" s="193">
        <v>43056</v>
      </c>
      <c r="C1860" s="195">
        <v>10283.6</v>
      </c>
    </row>
    <row r="1861" spans="2:3" x14ac:dyDescent="0.25">
      <c r="B1861" s="193">
        <v>43055</v>
      </c>
      <c r="C1861" s="195">
        <v>10214.75</v>
      </c>
    </row>
    <row r="1862" spans="2:3" x14ac:dyDescent="0.25">
      <c r="B1862" s="193">
        <v>43054</v>
      </c>
      <c r="C1862" s="195">
        <v>10118.049999999999</v>
      </c>
    </row>
    <row r="1863" spans="2:3" x14ac:dyDescent="0.25">
      <c r="B1863" s="193">
        <v>43053</v>
      </c>
      <c r="C1863" s="195">
        <v>10186.6</v>
      </c>
    </row>
    <row r="1864" spans="2:3" x14ac:dyDescent="0.25">
      <c r="B1864" s="193">
        <v>43052</v>
      </c>
      <c r="C1864" s="195">
        <v>10224.950000000001</v>
      </c>
    </row>
    <row r="1865" spans="2:3" x14ac:dyDescent="0.25">
      <c r="B1865" s="193">
        <v>43049</v>
      </c>
      <c r="C1865" s="195">
        <v>10321.75</v>
      </c>
    </row>
    <row r="1866" spans="2:3" x14ac:dyDescent="0.25">
      <c r="B1866" s="193">
        <v>43048</v>
      </c>
      <c r="C1866" s="195">
        <v>10308.950000000001</v>
      </c>
    </row>
    <row r="1867" spans="2:3" x14ac:dyDescent="0.25">
      <c r="B1867" s="193">
        <v>43047</v>
      </c>
      <c r="C1867" s="195">
        <v>10303.15</v>
      </c>
    </row>
    <row r="1868" spans="2:3" x14ac:dyDescent="0.25">
      <c r="B1868" s="193">
        <v>43046</v>
      </c>
      <c r="C1868" s="195">
        <v>10350.15</v>
      </c>
    </row>
    <row r="1869" spans="2:3" x14ac:dyDescent="0.25">
      <c r="B1869" s="193">
        <v>43045</v>
      </c>
      <c r="C1869" s="195">
        <v>10451.799999999999</v>
      </c>
    </row>
    <row r="1870" spans="2:3" x14ac:dyDescent="0.25">
      <c r="B1870" s="193">
        <v>43042</v>
      </c>
      <c r="C1870" s="195">
        <v>10452.5</v>
      </c>
    </row>
    <row r="1871" spans="2:3" x14ac:dyDescent="0.25">
      <c r="B1871" s="193">
        <v>43041</v>
      </c>
      <c r="C1871" s="195">
        <v>10423.799999999999</v>
      </c>
    </row>
    <row r="1872" spans="2:3" x14ac:dyDescent="0.25">
      <c r="B1872" s="193">
        <v>43040</v>
      </c>
      <c r="C1872" s="195">
        <v>10440.5</v>
      </c>
    </row>
    <row r="1873" spans="2:3" x14ac:dyDescent="0.25">
      <c r="B1873" s="193">
        <v>43039</v>
      </c>
      <c r="C1873" s="195">
        <v>10335.299999999999</v>
      </c>
    </row>
    <row r="1874" spans="2:3" x14ac:dyDescent="0.25">
      <c r="B1874" s="193">
        <v>43038</v>
      </c>
      <c r="C1874" s="195">
        <v>10363.65</v>
      </c>
    </row>
    <row r="1875" spans="2:3" x14ac:dyDescent="0.25">
      <c r="B1875" s="193">
        <v>43035</v>
      </c>
      <c r="C1875" s="195">
        <v>10323.049999999999</v>
      </c>
    </row>
    <row r="1876" spans="2:3" x14ac:dyDescent="0.25">
      <c r="B1876" s="193">
        <v>43034</v>
      </c>
      <c r="C1876" s="195">
        <v>10343.799999999999</v>
      </c>
    </row>
    <row r="1877" spans="2:3" x14ac:dyDescent="0.25">
      <c r="B1877" s="193">
        <v>43033</v>
      </c>
      <c r="C1877" s="195">
        <v>10295.35</v>
      </c>
    </row>
    <row r="1878" spans="2:3" x14ac:dyDescent="0.25">
      <c r="B1878" s="193">
        <v>43032</v>
      </c>
      <c r="C1878" s="195">
        <v>10207.700000000001</v>
      </c>
    </row>
    <row r="1879" spans="2:3" x14ac:dyDescent="0.25">
      <c r="B1879" s="193">
        <v>43031</v>
      </c>
      <c r="C1879" s="195">
        <v>10184.85</v>
      </c>
    </row>
    <row r="1880" spans="2:3" x14ac:dyDescent="0.25">
      <c r="B1880" s="193">
        <v>43027</v>
      </c>
      <c r="C1880" s="195">
        <v>10146.549999999999</v>
      </c>
    </row>
    <row r="1881" spans="2:3" x14ac:dyDescent="0.25">
      <c r="B1881" s="193">
        <v>43026</v>
      </c>
      <c r="C1881" s="195">
        <v>10210.85</v>
      </c>
    </row>
    <row r="1882" spans="2:3" x14ac:dyDescent="0.25">
      <c r="B1882" s="193">
        <v>43025</v>
      </c>
      <c r="C1882" s="195">
        <v>10234.450000000001</v>
      </c>
    </row>
    <row r="1883" spans="2:3" x14ac:dyDescent="0.25">
      <c r="B1883" s="193">
        <v>43024</v>
      </c>
      <c r="C1883" s="195">
        <v>10230.85</v>
      </c>
    </row>
    <row r="1884" spans="2:3" x14ac:dyDescent="0.25">
      <c r="B1884" s="193">
        <v>43021</v>
      </c>
      <c r="C1884" s="195">
        <v>10167.450000000001</v>
      </c>
    </row>
    <row r="1885" spans="2:3" x14ac:dyDescent="0.25">
      <c r="B1885" s="193">
        <v>43020</v>
      </c>
      <c r="C1885" s="195">
        <v>10096.4</v>
      </c>
    </row>
    <row r="1886" spans="2:3" x14ac:dyDescent="0.25">
      <c r="B1886" s="193">
        <v>43019</v>
      </c>
      <c r="C1886" s="195">
        <v>9984.7999999999993</v>
      </c>
    </row>
    <row r="1887" spans="2:3" x14ac:dyDescent="0.25">
      <c r="B1887" s="193">
        <v>43018</v>
      </c>
      <c r="C1887" s="195">
        <v>10016.950000000001</v>
      </c>
    </row>
    <row r="1888" spans="2:3" x14ac:dyDescent="0.25">
      <c r="B1888" s="193">
        <v>43017</v>
      </c>
      <c r="C1888" s="195">
        <v>9988.75</v>
      </c>
    </row>
    <row r="1889" spans="2:3" x14ac:dyDescent="0.25">
      <c r="B1889" s="193">
        <v>43014</v>
      </c>
      <c r="C1889" s="195">
        <v>9979.7000000000007</v>
      </c>
    </row>
    <row r="1890" spans="2:3" x14ac:dyDescent="0.25">
      <c r="B1890" s="193">
        <v>43013</v>
      </c>
      <c r="C1890" s="195">
        <v>9888.7000000000007</v>
      </c>
    </row>
    <row r="1891" spans="2:3" x14ac:dyDescent="0.25">
      <c r="B1891" s="193">
        <v>43012</v>
      </c>
      <c r="C1891" s="195">
        <v>9914.9</v>
      </c>
    </row>
    <row r="1892" spans="2:3" x14ac:dyDescent="0.25">
      <c r="B1892" s="193">
        <v>43011</v>
      </c>
      <c r="C1892" s="195">
        <v>9859.5</v>
      </c>
    </row>
    <row r="1893" spans="2:3" x14ac:dyDescent="0.25">
      <c r="B1893" s="193">
        <v>43007</v>
      </c>
      <c r="C1893" s="195">
        <v>9788.6</v>
      </c>
    </row>
    <row r="1894" spans="2:3" x14ac:dyDescent="0.25">
      <c r="B1894" s="193">
        <v>43006</v>
      </c>
      <c r="C1894" s="195">
        <v>9768.9500000000007</v>
      </c>
    </row>
    <row r="1895" spans="2:3" x14ac:dyDescent="0.25">
      <c r="B1895" s="193">
        <v>43005</v>
      </c>
      <c r="C1895" s="195">
        <v>9735.75</v>
      </c>
    </row>
    <row r="1896" spans="2:3" x14ac:dyDescent="0.25">
      <c r="B1896" s="193">
        <v>43004</v>
      </c>
      <c r="C1896" s="195">
        <v>9871.5</v>
      </c>
    </row>
    <row r="1897" spans="2:3" x14ac:dyDescent="0.25">
      <c r="B1897" s="193">
        <v>43003</v>
      </c>
      <c r="C1897" s="195">
        <v>9872.6</v>
      </c>
    </row>
    <row r="1898" spans="2:3" x14ac:dyDescent="0.25">
      <c r="B1898" s="193">
        <v>43000</v>
      </c>
      <c r="C1898" s="195">
        <v>9964.4</v>
      </c>
    </row>
    <row r="1899" spans="2:3" x14ac:dyDescent="0.25">
      <c r="B1899" s="193">
        <v>42999</v>
      </c>
      <c r="C1899" s="195">
        <v>10121.9</v>
      </c>
    </row>
    <row r="1900" spans="2:3" x14ac:dyDescent="0.25">
      <c r="B1900" s="193">
        <v>42998</v>
      </c>
      <c r="C1900" s="195">
        <v>10141.15</v>
      </c>
    </row>
    <row r="1901" spans="2:3" x14ac:dyDescent="0.25">
      <c r="B1901" s="193">
        <v>42997</v>
      </c>
      <c r="C1901" s="195">
        <v>10147.549999999999</v>
      </c>
    </row>
    <row r="1902" spans="2:3" x14ac:dyDescent="0.25">
      <c r="B1902" s="193">
        <v>42996</v>
      </c>
      <c r="C1902" s="195">
        <v>10153.1</v>
      </c>
    </row>
    <row r="1903" spans="2:3" x14ac:dyDescent="0.25">
      <c r="B1903" s="193">
        <v>42993</v>
      </c>
      <c r="C1903" s="195">
        <v>10085.4</v>
      </c>
    </row>
    <row r="1904" spans="2:3" x14ac:dyDescent="0.25">
      <c r="B1904" s="193">
        <v>42992</v>
      </c>
      <c r="C1904" s="195">
        <v>10086.6</v>
      </c>
    </row>
    <row r="1905" spans="2:3" x14ac:dyDescent="0.25">
      <c r="B1905" s="193">
        <v>42991</v>
      </c>
      <c r="C1905" s="195">
        <v>10079.299999999999</v>
      </c>
    </row>
    <row r="1906" spans="2:3" x14ac:dyDescent="0.25">
      <c r="B1906" s="193">
        <v>42990</v>
      </c>
      <c r="C1906" s="195">
        <v>10093.049999999999</v>
      </c>
    </row>
    <row r="1907" spans="2:3" x14ac:dyDescent="0.25">
      <c r="B1907" s="193">
        <v>42989</v>
      </c>
      <c r="C1907" s="195">
        <v>10006.049999999999</v>
      </c>
    </row>
    <row r="1908" spans="2:3" x14ac:dyDescent="0.25">
      <c r="B1908" s="193">
        <v>42986</v>
      </c>
      <c r="C1908" s="195">
        <v>9934.7999999999993</v>
      </c>
    </row>
    <row r="1909" spans="2:3" x14ac:dyDescent="0.25">
      <c r="B1909" s="193">
        <v>42985</v>
      </c>
      <c r="C1909" s="195">
        <v>9929.9</v>
      </c>
    </row>
    <row r="1910" spans="2:3" x14ac:dyDescent="0.25">
      <c r="B1910" s="193">
        <v>42984</v>
      </c>
      <c r="C1910" s="195">
        <v>9916.2000000000007</v>
      </c>
    </row>
    <row r="1911" spans="2:3" x14ac:dyDescent="0.25">
      <c r="B1911" s="193">
        <v>42983</v>
      </c>
      <c r="C1911" s="195">
        <v>9952.2000000000007</v>
      </c>
    </row>
    <row r="1912" spans="2:3" x14ac:dyDescent="0.25">
      <c r="B1912" s="193">
        <v>42982</v>
      </c>
      <c r="C1912" s="195">
        <v>9912.85</v>
      </c>
    </row>
    <row r="1913" spans="2:3" x14ac:dyDescent="0.25">
      <c r="B1913" s="193">
        <v>42979</v>
      </c>
      <c r="C1913" s="195">
        <v>9974.4</v>
      </c>
    </row>
    <row r="1914" spans="2:3" x14ac:dyDescent="0.25">
      <c r="B1914" s="193">
        <v>42978</v>
      </c>
      <c r="C1914" s="195">
        <v>9917.9</v>
      </c>
    </row>
    <row r="1915" spans="2:3" x14ac:dyDescent="0.25">
      <c r="B1915" s="193">
        <v>42977</v>
      </c>
      <c r="C1915" s="195">
        <v>9884.4</v>
      </c>
    </row>
    <row r="1916" spans="2:3" x14ac:dyDescent="0.25">
      <c r="B1916" s="193">
        <v>42976</v>
      </c>
      <c r="C1916" s="195">
        <v>9796.0499999999993</v>
      </c>
    </row>
    <row r="1917" spans="2:3" x14ac:dyDescent="0.25">
      <c r="B1917" s="193">
        <v>42975</v>
      </c>
      <c r="C1917" s="195">
        <v>9912.7999999999993</v>
      </c>
    </row>
    <row r="1918" spans="2:3" x14ac:dyDescent="0.25">
      <c r="B1918" s="193">
        <v>42971</v>
      </c>
      <c r="C1918" s="195">
        <v>9857.0499999999993</v>
      </c>
    </row>
    <row r="1919" spans="2:3" x14ac:dyDescent="0.25">
      <c r="B1919" s="193">
        <v>42970</v>
      </c>
      <c r="C1919" s="195">
        <v>9852.5</v>
      </c>
    </row>
    <row r="1920" spans="2:3" x14ac:dyDescent="0.25">
      <c r="B1920" s="193">
        <v>42969</v>
      </c>
      <c r="C1920" s="195">
        <v>9765.5499999999993</v>
      </c>
    </row>
    <row r="1921" spans="2:3" x14ac:dyDescent="0.25">
      <c r="B1921" s="193">
        <v>42968</v>
      </c>
      <c r="C1921" s="195">
        <v>9754.35</v>
      </c>
    </row>
    <row r="1922" spans="2:3" x14ac:dyDescent="0.25">
      <c r="B1922" s="193">
        <v>42965</v>
      </c>
      <c r="C1922" s="195">
        <v>9837.4</v>
      </c>
    </row>
    <row r="1923" spans="2:3" x14ac:dyDescent="0.25">
      <c r="B1923" s="193">
        <v>42964</v>
      </c>
      <c r="C1923" s="195">
        <v>9904.15</v>
      </c>
    </row>
    <row r="1924" spans="2:3" x14ac:dyDescent="0.25">
      <c r="B1924" s="193">
        <v>42963</v>
      </c>
      <c r="C1924" s="195">
        <v>9897.2999999999993</v>
      </c>
    </row>
    <row r="1925" spans="2:3" x14ac:dyDescent="0.25">
      <c r="B1925" s="193">
        <v>42961</v>
      </c>
      <c r="C1925" s="195">
        <v>9794.15</v>
      </c>
    </row>
    <row r="1926" spans="2:3" x14ac:dyDescent="0.25">
      <c r="B1926" s="193">
        <v>42958</v>
      </c>
      <c r="C1926" s="195">
        <v>9710.7999999999993</v>
      </c>
    </row>
    <row r="1927" spans="2:3" x14ac:dyDescent="0.25">
      <c r="B1927" s="193">
        <v>42957</v>
      </c>
      <c r="C1927" s="195">
        <v>9820.25</v>
      </c>
    </row>
    <row r="1928" spans="2:3" x14ac:dyDescent="0.25">
      <c r="B1928" s="193">
        <v>42956</v>
      </c>
      <c r="C1928" s="195">
        <v>9908.0499999999993</v>
      </c>
    </row>
    <row r="1929" spans="2:3" x14ac:dyDescent="0.25">
      <c r="B1929" s="193">
        <v>42955</v>
      </c>
      <c r="C1929" s="195">
        <v>9978.5499999999993</v>
      </c>
    </row>
    <row r="1930" spans="2:3" x14ac:dyDescent="0.25">
      <c r="B1930" s="193">
        <v>42954</v>
      </c>
      <c r="C1930" s="195">
        <v>10057.4</v>
      </c>
    </row>
    <row r="1931" spans="2:3" x14ac:dyDescent="0.25">
      <c r="B1931" s="193">
        <v>42951</v>
      </c>
      <c r="C1931" s="195">
        <v>10066.4</v>
      </c>
    </row>
    <row r="1932" spans="2:3" x14ac:dyDescent="0.25">
      <c r="B1932" s="193">
        <v>42950</v>
      </c>
      <c r="C1932" s="195">
        <v>10013.65</v>
      </c>
    </row>
    <row r="1933" spans="2:3" x14ac:dyDescent="0.25">
      <c r="B1933" s="193">
        <v>42949</v>
      </c>
      <c r="C1933" s="195">
        <v>10081.5</v>
      </c>
    </row>
    <row r="1934" spans="2:3" x14ac:dyDescent="0.25">
      <c r="B1934" s="193">
        <v>42948</v>
      </c>
      <c r="C1934" s="195">
        <v>10114.65</v>
      </c>
    </row>
    <row r="1935" spans="2:3" x14ac:dyDescent="0.25">
      <c r="B1935" s="193">
        <v>42947</v>
      </c>
      <c r="C1935" s="195">
        <v>10077.1</v>
      </c>
    </row>
    <row r="1936" spans="2:3" x14ac:dyDescent="0.25">
      <c r="B1936" s="193">
        <v>42944</v>
      </c>
      <c r="C1936" s="195">
        <v>10014.5</v>
      </c>
    </row>
    <row r="1937" spans="2:3" x14ac:dyDescent="0.25">
      <c r="B1937" s="193">
        <v>42943</v>
      </c>
      <c r="C1937" s="195">
        <v>10020.549999999999</v>
      </c>
    </row>
    <row r="1938" spans="2:3" x14ac:dyDescent="0.25">
      <c r="B1938" s="193">
        <v>42942</v>
      </c>
      <c r="C1938" s="195">
        <v>10020.65</v>
      </c>
    </row>
    <row r="1939" spans="2:3" x14ac:dyDescent="0.25">
      <c r="B1939" s="193">
        <v>42941</v>
      </c>
      <c r="C1939" s="195">
        <v>9964.5499999999993</v>
      </c>
    </row>
    <row r="1940" spans="2:3" x14ac:dyDescent="0.25">
      <c r="B1940" s="193">
        <v>42940</v>
      </c>
      <c r="C1940" s="195">
        <v>9966.4</v>
      </c>
    </row>
    <row r="1941" spans="2:3" x14ac:dyDescent="0.25">
      <c r="B1941" s="193">
        <v>42937</v>
      </c>
      <c r="C1941" s="195">
        <v>9915.25</v>
      </c>
    </row>
    <row r="1942" spans="2:3" x14ac:dyDescent="0.25">
      <c r="B1942" s="193">
        <v>42936</v>
      </c>
      <c r="C1942" s="195">
        <v>9873.2999999999993</v>
      </c>
    </row>
    <row r="1943" spans="2:3" x14ac:dyDescent="0.25">
      <c r="B1943" s="193">
        <v>42935</v>
      </c>
      <c r="C1943" s="195">
        <v>9899.6</v>
      </c>
    </row>
    <row r="1944" spans="2:3" x14ac:dyDescent="0.25">
      <c r="B1944" s="193">
        <v>42934</v>
      </c>
      <c r="C1944" s="195">
        <v>9827.15</v>
      </c>
    </row>
    <row r="1945" spans="2:3" x14ac:dyDescent="0.25">
      <c r="B1945" s="193">
        <v>42933</v>
      </c>
      <c r="C1945" s="195">
        <v>9915.9500000000007</v>
      </c>
    </row>
    <row r="1946" spans="2:3" x14ac:dyDescent="0.25">
      <c r="B1946" s="193">
        <v>42930</v>
      </c>
      <c r="C1946" s="195">
        <v>9886.35</v>
      </c>
    </row>
    <row r="1947" spans="2:3" x14ac:dyDescent="0.25">
      <c r="B1947" s="193">
        <v>42929</v>
      </c>
      <c r="C1947" s="195">
        <v>9891.7000000000007</v>
      </c>
    </row>
    <row r="1948" spans="2:3" x14ac:dyDescent="0.25">
      <c r="B1948" s="193">
        <v>42928</v>
      </c>
      <c r="C1948" s="195">
        <v>9816.1</v>
      </c>
    </row>
    <row r="1949" spans="2:3" x14ac:dyDescent="0.25">
      <c r="B1949" s="193">
        <v>42927</v>
      </c>
      <c r="C1949" s="195">
        <v>9786.0499999999993</v>
      </c>
    </row>
    <row r="1950" spans="2:3" x14ac:dyDescent="0.25">
      <c r="B1950" s="193">
        <v>42926</v>
      </c>
      <c r="C1950" s="195">
        <v>9771.0499999999993</v>
      </c>
    </row>
    <row r="1951" spans="2:3" x14ac:dyDescent="0.25">
      <c r="B1951" s="193">
        <v>42923</v>
      </c>
      <c r="C1951" s="195">
        <v>9665.7999999999993</v>
      </c>
    </row>
    <row r="1952" spans="2:3" x14ac:dyDescent="0.25">
      <c r="B1952" s="193">
        <v>42922</v>
      </c>
      <c r="C1952" s="195">
        <v>9674.5499999999993</v>
      </c>
    </row>
    <row r="1953" spans="2:3" x14ac:dyDescent="0.25">
      <c r="B1953" s="193">
        <v>42921</v>
      </c>
      <c r="C1953" s="195">
        <v>9637.6</v>
      </c>
    </row>
    <row r="1954" spans="2:3" x14ac:dyDescent="0.25">
      <c r="B1954" s="193">
        <v>42920</v>
      </c>
      <c r="C1954" s="195">
        <v>9613.2999999999993</v>
      </c>
    </row>
    <row r="1955" spans="2:3" x14ac:dyDescent="0.25">
      <c r="B1955" s="193">
        <v>42919</v>
      </c>
      <c r="C1955" s="195">
        <v>9615</v>
      </c>
    </row>
    <row r="1956" spans="2:3" x14ac:dyDescent="0.25">
      <c r="B1956" s="193">
        <v>42916</v>
      </c>
      <c r="C1956" s="195">
        <v>9520.9</v>
      </c>
    </row>
    <row r="1957" spans="2:3" x14ac:dyDescent="0.25">
      <c r="B1957" s="193">
        <v>42915</v>
      </c>
      <c r="C1957" s="195">
        <v>9504.1</v>
      </c>
    </row>
    <row r="1958" spans="2:3" x14ac:dyDescent="0.25">
      <c r="B1958" s="193">
        <v>42914</v>
      </c>
      <c r="C1958" s="195">
        <v>9491.25</v>
      </c>
    </row>
    <row r="1959" spans="2:3" x14ac:dyDescent="0.25">
      <c r="B1959" s="193">
        <v>42913</v>
      </c>
      <c r="C1959" s="195">
        <v>9511.4</v>
      </c>
    </row>
    <row r="1960" spans="2:3" x14ac:dyDescent="0.25">
      <c r="B1960" s="193">
        <v>42909</v>
      </c>
      <c r="C1960" s="195">
        <v>9574.9500000000007</v>
      </c>
    </row>
    <row r="1961" spans="2:3" x14ac:dyDescent="0.25">
      <c r="B1961" s="193">
        <v>42908</v>
      </c>
      <c r="C1961" s="195">
        <v>9630</v>
      </c>
    </row>
    <row r="1962" spans="2:3" x14ac:dyDescent="0.25">
      <c r="B1962" s="193">
        <v>42907</v>
      </c>
      <c r="C1962" s="195">
        <v>9633.6</v>
      </c>
    </row>
    <row r="1963" spans="2:3" x14ac:dyDescent="0.25">
      <c r="B1963" s="193">
        <v>42906</v>
      </c>
      <c r="C1963" s="195">
        <v>9653.5</v>
      </c>
    </row>
    <row r="1964" spans="2:3" x14ac:dyDescent="0.25">
      <c r="B1964" s="193">
        <v>42905</v>
      </c>
      <c r="C1964" s="195">
        <v>9657.5499999999993</v>
      </c>
    </row>
    <row r="1965" spans="2:3" x14ac:dyDescent="0.25">
      <c r="B1965" s="193">
        <v>42902</v>
      </c>
      <c r="C1965" s="195">
        <v>9588.0499999999993</v>
      </c>
    </row>
    <row r="1966" spans="2:3" x14ac:dyDescent="0.25">
      <c r="B1966" s="193">
        <v>42901</v>
      </c>
      <c r="C1966" s="195">
        <v>9578.0499999999993</v>
      </c>
    </row>
    <row r="1967" spans="2:3" x14ac:dyDescent="0.25">
      <c r="B1967" s="193">
        <v>42900</v>
      </c>
      <c r="C1967" s="195">
        <v>9618.15</v>
      </c>
    </row>
    <row r="1968" spans="2:3" x14ac:dyDescent="0.25">
      <c r="B1968" s="193">
        <v>42899</v>
      </c>
      <c r="C1968" s="195">
        <v>9606.9</v>
      </c>
    </row>
    <row r="1969" spans="2:3" x14ac:dyDescent="0.25">
      <c r="B1969" s="193">
        <v>42898</v>
      </c>
      <c r="C1969" s="195">
        <v>9616.4</v>
      </c>
    </row>
    <row r="1970" spans="2:3" x14ac:dyDescent="0.25">
      <c r="B1970" s="193">
        <v>42895</v>
      </c>
      <c r="C1970" s="195">
        <v>9668.25</v>
      </c>
    </row>
    <row r="1971" spans="2:3" x14ac:dyDescent="0.25">
      <c r="B1971" s="193">
        <v>42894</v>
      </c>
      <c r="C1971" s="195">
        <v>9647.25</v>
      </c>
    </row>
    <row r="1972" spans="2:3" x14ac:dyDescent="0.25">
      <c r="B1972" s="193">
        <v>42893</v>
      </c>
      <c r="C1972" s="195">
        <v>9663.9</v>
      </c>
    </row>
    <row r="1973" spans="2:3" x14ac:dyDescent="0.25">
      <c r="B1973" s="193">
        <v>42892</v>
      </c>
      <c r="C1973" s="195">
        <v>9637.15</v>
      </c>
    </row>
    <row r="1974" spans="2:3" x14ac:dyDescent="0.25">
      <c r="B1974" s="193">
        <v>42891</v>
      </c>
      <c r="C1974" s="195">
        <v>9675.1</v>
      </c>
    </row>
    <row r="1975" spans="2:3" x14ac:dyDescent="0.25">
      <c r="B1975" s="193">
        <v>42888</v>
      </c>
      <c r="C1975" s="195">
        <v>9653.5</v>
      </c>
    </row>
    <row r="1976" spans="2:3" x14ac:dyDescent="0.25">
      <c r="B1976" s="193">
        <v>42887</v>
      </c>
      <c r="C1976" s="195">
        <v>9616.1</v>
      </c>
    </row>
    <row r="1977" spans="2:3" x14ac:dyDescent="0.25">
      <c r="B1977" s="193">
        <v>42886</v>
      </c>
      <c r="C1977" s="195">
        <v>9621.25</v>
      </c>
    </row>
    <row r="1978" spans="2:3" x14ac:dyDescent="0.25">
      <c r="B1978" s="193">
        <v>42885</v>
      </c>
      <c r="C1978" s="195">
        <v>9624.5499999999993</v>
      </c>
    </row>
    <row r="1979" spans="2:3" x14ac:dyDescent="0.25">
      <c r="B1979" s="193">
        <v>42884</v>
      </c>
      <c r="C1979" s="195">
        <v>9604.9</v>
      </c>
    </row>
    <row r="1980" spans="2:3" x14ac:dyDescent="0.25">
      <c r="B1980" s="193">
        <v>42881</v>
      </c>
      <c r="C1980" s="195">
        <v>9595.1</v>
      </c>
    </row>
    <row r="1981" spans="2:3" x14ac:dyDescent="0.25">
      <c r="B1981" s="193">
        <v>42880</v>
      </c>
      <c r="C1981" s="195">
        <v>9509.75</v>
      </c>
    </row>
    <row r="1982" spans="2:3" x14ac:dyDescent="0.25">
      <c r="B1982" s="193">
        <v>42879</v>
      </c>
      <c r="C1982" s="195">
        <v>9360.5499999999993</v>
      </c>
    </row>
    <row r="1983" spans="2:3" x14ac:dyDescent="0.25">
      <c r="B1983" s="193">
        <v>42878</v>
      </c>
      <c r="C1983" s="195">
        <v>9386.15</v>
      </c>
    </row>
    <row r="1984" spans="2:3" x14ac:dyDescent="0.25">
      <c r="B1984" s="193">
        <v>42877</v>
      </c>
      <c r="C1984" s="195">
        <v>9438.25</v>
      </c>
    </row>
    <row r="1985" spans="2:3" x14ac:dyDescent="0.25">
      <c r="B1985" s="193">
        <v>42874</v>
      </c>
      <c r="C1985" s="195">
        <v>9427.9</v>
      </c>
    </row>
    <row r="1986" spans="2:3" x14ac:dyDescent="0.25">
      <c r="B1986" s="193">
        <v>42873</v>
      </c>
      <c r="C1986" s="195">
        <v>9429.4500000000007</v>
      </c>
    </row>
    <row r="1987" spans="2:3" x14ac:dyDescent="0.25">
      <c r="B1987" s="193">
        <v>42872</v>
      </c>
      <c r="C1987" s="195">
        <v>9525.75</v>
      </c>
    </row>
    <row r="1988" spans="2:3" x14ac:dyDescent="0.25">
      <c r="B1988" s="193">
        <v>42871</v>
      </c>
      <c r="C1988" s="195">
        <v>9512.25</v>
      </c>
    </row>
    <row r="1989" spans="2:3" x14ac:dyDescent="0.25">
      <c r="B1989" s="193">
        <v>42870</v>
      </c>
      <c r="C1989" s="195">
        <v>9445.4</v>
      </c>
    </row>
    <row r="1990" spans="2:3" x14ac:dyDescent="0.25">
      <c r="B1990" s="193">
        <v>42867</v>
      </c>
      <c r="C1990" s="195">
        <v>9400.9</v>
      </c>
    </row>
    <row r="1991" spans="2:3" x14ac:dyDescent="0.25">
      <c r="B1991" s="193">
        <v>42866</v>
      </c>
      <c r="C1991" s="195">
        <v>9422.4</v>
      </c>
    </row>
    <row r="1992" spans="2:3" x14ac:dyDescent="0.25">
      <c r="B1992" s="193">
        <v>42865</v>
      </c>
      <c r="C1992" s="195">
        <v>9407.2999999999993</v>
      </c>
    </row>
    <row r="1993" spans="2:3" x14ac:dyDescent="0.25">
      <c r="B1993" s="193">
        <v>42864</v>
      </c>
      <c r="C1993" s="195">
        <v>9316.85</v>
      </c>
    </row>
    <row r="1994" spans="2:3" x14ac:dyDescent="0.25">
      <c r="B1994" s="193">
        <v>42863</v>
      </c>
      <c r="C1994" s="195">
        <v>9314.0499999999993</v>
      </c>
    </row>
    <row r="1995" spans="2:3" x14ac:dyDescent="0.25">
      <c r="B1995" s="193">
        <v>42860</v>
      </c>
      <c r="C1995" s="195">
        <v>9285.2999999999993</v>
      </c>
    </row>
    <row r="1996" spans="2:3" x14ac:dyDescent="0.25">
      <c r="B1996" s="193">
        <v>42859</v>
      </c>
      <c r="C1996" s="195">
        <v>9359.9</v>
      </c>
    </row>
    <row r="1997" spans="2:3" x14ac:dyDescent="0.25">
      <c r="B1997" s="193">
        <v>42858</v>
      </c>
      <c r="C1997" s="195">
        <v>9311.9500000000007</v>
      </c>
    </row>
    <row r="1998" spans="2:3" x14ac:dyDescent="0.25">
      <c r="B1998" s="193">
        <v>42857</v>
      </c>
      <c r="C1998" s="195">
        <v>9313.7999999999993</v>
      </c>
    </row>
    <row r="1999" spans="2:3" x14ac:dyDescent="0.25">
      <c r="B1999" s="193">
        <v>42853</v>
      </c>
      <c r="C1999" s="195">
        <v>9304.0499999999993</v>
      </c>
    </row>
    <row r="2000" spans="2:3" x14ac:dyDescent="0.25">
      <c r="B2000" s="193">
        <v>42852</v>
      </c>
      <c r="C2000" s="195">
        <v>9342.15</v>
      </c>
    </row>
    <row r="2001" spans="2:3" x14ac:dyDescent="0.25">
      <c r="B2001" s="193">
        <v>42851</v>
      </c>
      <c r="C2001" s="195">
        <v>9351.85</v>
      </c>
    </row>
    <row r="2002" spans="2:3" x14ac:dyDescent="0.25">
      <c r="B2002" s="193">
        <v>42850</v>
      </c>
      <c r="C2002" s="195">
        <v>9306.6</v>
      </c>
    </row>
    <row r="2003" spans="2:3" x14ac:dyDescent="0.25">
      <c r="B2003" s="193">
        <v>42849</v>
      </c>
      <c r="C2003" s="195">
        <v>9217.9500000000007</v>
      </c>
    </row>
    <row r="2004" spans="2:3" x14ac:dyDescent="0.25">
      <c r="B2004" s="193">
        <v>42846</v>
      </c>
      <c r="C2004" s="195">
        <v>9119.4</v>
      </c>
    </row>
    <row r="2005" spans="2:3" x14ac:dyDescent="0.25">
      <c r="B2005" s="193">
        <v>42845</v>
      </c>
      <c r="C2005" s="195">
        <v>9136.4</v>
      </c>
    </row>
    <row r="2006" spans="2:3" x14ac:dyDescent="0.25">
      <c r="B2006" s="193">
        <v>42844</v>
      </c>
      <c r="C2006" s="195">
        <v>9103.5</v>
      </c>
    </row>
    <row r="2007" spans="2:3" x14ac:dyDescent="0.25">
      <c r="B2007" s="193">
        <v>42843</v>
      </c>
      <c r="C2007" s="195">
        <v>9105.15</v>
      </c>
    </row>
    <row r="2008" spans="2:3" x14ac:dyDescent="0.25">
      <c r="B2008" s="193">
        <v>42842</v>
      </c>
      <c r="C2008" s="195">
        <v>9139.2999999999993</v>
      </c>
    </row>
    <row r="2009" spans="2:3" x14ac:dyDescent="0.25">
      <c r="B2009" s="193">
        <v>42838</v>
      </c>
      <c r="C2009" s="195">
        <v>9150.7999999999993</v>
      </c>
    </row>
    <row r="2010" spans="2:3" x14ac:dyDescent="0.25">
      <c r="B2010" s="193">
        <v>42837</v>
      </c>
      <c r="C2010" s="195">
        <v>9203.4500000000007</v>
      </c>
    </row>
    <row r="2011" spans="2:3" x14ac:dyDescent="0.25">
      <c r="B2011" s="193">
        <v>42836</v>
      </c>
      <c r="C2011" s="195">
        <v>9237</v>
      </c>
    </row>
    <row r="2012" spans="2:3" x14ac:dyDescent="0.25">
      <c r="B2012" s="193">
        <v>42835</v>
      </c>
      <c r="C2012" s="195">
        <v>9181.4500000000007</v>
      </c>
    </row>
    <row r="2013" spans="2:3" x14ac:dyDescent="0.25">
      <c r="B2013" s="193">
        <v>42832</v>
      </c>
      <c r="C2013" s="195">
        <v>9198.2999999999993</v>
      </c>
    </row>
    <row r="2014" spans="2:3" x14ac:dyDescent="0.25">
      <c r="B2014" s="193">
        <v>42831</v>
      </c>
      <c r="C2014" s="195">
        <v>9261.9500000000007</v>
      </c>
    </row>
    <row r="2015" spans="2:3" x14ac:dyDescent="0.25">
      <c r="B2015" s="193">
        <v>42830</v>
      </c>
      <c r="C2015" s="195">
        <v>9265.15</v>
      </c>
    </row>
    <row r="2016" spans="2:3" x14ac:dyDescent="0.25">
      <c r="B2016" s="193">
        <v>42828</v>
      </c>
      <c r="C2016" s="195">
        <v>9237.85</v>
      </c>
    </row>
    <row r="2017" spans="2:3" x14ac:dyDescent="0.25">
      <c r="B2017" s="193">
        <v>42825</v>
      </c>
      <c r="C2017" s="195">
        <v>9173.75</v>
      </c>
    </row>
    <row r="2018" spans="2:3" x14ac:dyDescent="0.25">
      <c r="B2018" s="193">
        <v>42824</v>
      </c>
      <c r="C2018" s="195">
        <v>9173.75</v>
      </c>
    </row>
    <row r="2019" spans="2:3" x14ac:dyDescent="0.25">
      <c r="B2019" s="193">
        <v>42823</v>
      </c>
      <c r="C2019" s="195">
        <v>9143.7999999999993</v>
      </c>
    </row>
    <row r="2020" spans="2:3" x14ac:dyDescent="0.25">
      <c r="B2020" s="193">
        <v>42822</v>
      </c>
      <c r="C2020" s="195">
        <v>9100.7999999999993</v>
      </c>
    </row>
    <row r="2021" spans="2:3" x14ac:dyDescent="0.25">
      <c r="B2021" s="193">
        <v>42821</v>
      </c>
      <c r="C2021" s="195">
        <v>9045.2000000000007</v>
      </c>
    </row>
    <row r="2022" spans="2:3" x14ac:dyDescent="0.25">
      <c r="B2022" s="193">
        <v>42818</v>
      </c>
      <c r="C2022" s="195">
        <v>9108</v>
      </c>
    </row>
    <row r="2023" spans="2:3" x14ac:dyDescent="0.25">
      <c r="B2023" s="193">
        <v>42817</v>
      </c>
      <c r="C2023" s="195">
        <v>9086.2999999999993</v>
      </c>
    </row>
    <row r="2024" spans="2:3" x14ac:dyDescent="0.25">
      <c r="B2024" s="193">
        <v>42816</v>
      </c>
      <c r="C2024" s="195">
        <v>9030.4500000000007</v>
      </c>
    </row>
    <row r="2025" spans="2:3" x14ac:dyDescent="0.25">
      <c r="B2025" s="193">
        <v>42815</v>
      </c>
      <c r="C2025" s="195">
        <v>9121.5</v>
      </c>
    </row>
    <row r="2026" spans="2:3" x14ac:dyDescent="0.25">
      <c r="B2026" s="193">
        <v>42814</v>
      </c>
      <c r="C2026" s="195">
        <v>9126.85</v>
      </c>
    </row>
    <row r="2027" spans="2:3" x14ac:dyDescent="0.25">
      <c r="B2027" s="193">
        <v>42811</v>
      </c>
      <c r="C2027" s="195">
        <v>9160.0499999999993</v>
      </c>
    </row>
    <row r="2028" spans="2:3" x14ac:dyDescent="0.25">
      <c r="B2028" s="193">
        <v>42810</v>
      </c>
      <c r="C2028" s="195">
        <v>9153.7000000000007</v>
      </c>
    </row>
    <row r="2029" spans="2:3" x14ac:dyDescent="0.25">
      <c r="B2029" s="193">
        <v>42809</v>
      </c>
      <c r="C2029" s="195">
        <v>9084.7999999999993</v>
      </c>
    </row>
    <row r="2030" spans="2:3" x14ac:dyDescent="0.25">
      <c r="B2030" s="193">
        <v>42808</v>
      </c>
      <c r="C2030" s="195">
        <v>9087</v>
      </c>
    </row>
    <row r="2031" spans="2:3" x14ac:dyDescent="0.25">
      <c r="B2031" s="193">
        <v>42804</v>
      </c>
      <c r="C2031" s="195">
        <v>8934.5499999999993</v>
      </c>
    </row>
    <row r="2032" spans="2:3" x14ac:dyDescent="0.25">
      <c r="B2032" s="193">
        <v>42803</v>
      </c>
      <c r="C2032" s="195">
        <v>8927</v>
      </c>
    </row>
    <row r="2033" spans="2:3" x14ac:dyDescent="0.25">
      <c r="B2033" s="193">
        <v>42802</v>
      </c>
      <c r="C2033" s="195">
        <v>8924.2999999999993</v>
      </c>
    </row>
    <row r="2034" spans="2:3" x14ac:dyDescent="0.25">
      <c r="B2034" s="193">
        <v>42801</v>
      </c>
      <c r="C2034" s="195">
        <v>8946.9</v>
      </c>
    </row>
    <row r="2035" spans="2:3" x14ac:dyDescent="0.25">
      <c r="B2035" s="193">
        <v>42800</v>
      </c>
      <c r="C2035" s="195">
        <v>8963.4500000000007</v>
      </c>
    </row>
    <row r="2036" spans="2:3" x14ac:dyDescent="0.25">
      <c r="B2036" s="193">
        <v>42797</v>
      </c>
      <c r="C2036" s="195">
        <v>8897.5499999999993</v>
      </c>
    </row>
    <row r="2037" spans="2:3" x14ac:dyDescent="0.25">
      <c r="B2037" s="193">
        <v>42796</v>
      </c>
      <c r="C2037" s="195">
        <v>8899.75</v>
      </c>
    </row>
    <row r="2038" spans="2:3" x14ac:dyDescent="0.25">
      <c r="B2038" s="193">
        <v>42795</v>
      </c>
      <c r="C2038" s="195">
        <v>8945.7999999999993</v>
      </c>
    </row>
    <row r="2039" spans="2:3" x14ac:dyDescent="0.25">
      <c r="B2039" s="193">
        <v>42794</v>
      </c>
      <c r="C2039" s="195">
        <v>8879.6</v>
      </c>
    </row>
    <row r="2040" spans="2:3" x14ac:dyDescent="0.25">
      <c r="B2040" s="193">
        <v>42793</v>
      </c>
      <c r="C2040" s="195">
        <v>8896.7000000000007</v>
      </c>
    </row>
    <row r="2041" spans="2:3" x14ac:dyDescent="0.25">
      <c r="B2041" s="193">
        <v>42789</v>
      </c>
      <c r="C2041" s="195">
        <v>8939.5</v>
      </c>
    </row>
    <row r="2042" spans="2:3" x14ac:dyDescent="0.25">
      <c r="B2042" s="193">
        <v>42788</v>
      </c>
      <c r="C2042" s="195">
        <v>8926.9</v>
      </c>
    </row>
    <row r="2043" spans="2:3" x14ac:dyDescent="0.25">
      <c r="B2043" s="193">
        <v>42787</v>
      </c>
      <c r="C2043" s="195">
        <v>8907.85</v>
      </c>
    </row>
    <row r="2044" spans="2:3" x14ac:dyDescent="0.25">
      <c r="B2044" s="193">
        <v>42786</v>
      </c>
      <c r="C2044" s="195">
        <v>8879.2000000000007</v>
      </c>
    </row>
    <row r="2045" spans="2:3" x14ac:dyDescent="0.25">
      <c r="B2045" s="193">
        <v>42783</v>
      </c>
      <c r="C2045" s="195">
        <v>8821.7000000000007</v>
      </c>
    </row>
    <row r="2046" spans="2:3" x14ac:dyDescent="0.25">
      <c r="B2046" s="193">
        <v>42782</v>
      </c>
      <c r="C2046" s="195">
        <v>8778</v>
      </c>
    </row>
    <row r="2047" spans="2:3" x14ac:dyDescent="0.25">
      <c r="B2047" s="193">
        <v>42781</v>
      </c>
      <c r="C2047" s="195">
        <v>8724.7000000000007</v>
      </c>
    </row>
    <row r="2048" spans="2:3" x14ac:dyDescent="0.25">
      <c r="B2048" s="193">
        <v>42780</v>
      </c>
      <c r="C2048" s="195">
        <v>8792.2999999999993</v>
      </c>
    </row>
    <row r="2049" spans="2:3" x14ac:dyDescent="0.25">
      <c r="B2049" s="193">
        <v>42779</v>
      </c>
      <c r="C2049" s="195">
        <v>8805.0499999999993</v>
      </c>
    </row>
    <row r="2050" spans="2:3" x14ac:dyDescent="0.25">
      <c r="B2050" s="193">
        <v>42776</v>
      </c>
      <c r="C2050" s="195">
        <v>8793.5499999999993</v>
      </c>
    </row>
    <row r="2051" spans="2:3" x14ac:dyDescent="0.25">
      <c r="B2051" s="193">
        <v>42775</v>
      </c>
      <c r="C2051" s="195">
        <v>8778.4</v>
      </c>
    </row>
    <row r="2052" spans="2:3" x14ac:dyDescent="0.25">
      <c r="B2052" s="193">
        <v>42774</v>
      </c>
      <c r="C2052" s="195">
        <v>8769.0499999999993</v>
      </c>
    </row>
    <row r="2053" spans="2:3" x14ac:dyDescent="0.25">
      <c r="B2053" s="193">
        <v>42773</v>
      </c>
      <c r="C2053" s="195">
        <v>8768.2999999999993</v>
      </c>
    </row>
    <row r="2054" spans="2:3" x14ac:dyDescent="0.25">
      <c r="B2054" s="193">
        <v>42772</v>
      </c>
      <c r="C2054" s="195">
        <v>8801.0499999999993</v>
      </c>
    </row>
    <row r="2055" spans="2:3" x14ac:dyDescent="0.25">
      <c r="B2055" s="193">
        <v>42769</v>
      </c>
      <c r="C2055" s="195">
        <v>8740.9500000000007</v>
      </c>
    </row>
    <row r="2056" spans="2:3" x14ac:dyDescent="0.25">
      <c r="B2056" s="193">
        <v>42768</v>
      </c>
      <c r="C2056" s="195">
        <v>8734.25</v>
      </c>
    </row>
    <row r="2057" spans="2:3" x14ac:dyDescent="0.25">
      <c r="B2057" s="193">
        <v>42767</v>
      </c>
      <c r="C2057" s="195">
        <v>8716.4</v>
      </c>
    </row>
    <row r="2058" spans="2:3" x14ac:dyDescent="0.25">
      <c r="B2058" s="193">
        <v>42766</v>
      </c>
      <c r="C2058" s="195">
        <v>8561.2999999999993</v>
      </c>
    </row>
    <row r="2059" spans="2:3" x14ac:dyDescent="0.25">
      <c r="B2059" s="193">
        <v>42765</v>
      </c>
      <c r="C2059" s="195">
        <v>8632.75</v>
      </c>
    </row>
    <row r="2060" spans="2:3" x14ac:dyDescent="0.25">
      <c r="B2060" s="193">
        <v>42762</v>
      </c>
      <c r="C2060" s="195">
        <v>8641.25</v>
      </c>
    </row>
    <row r="2061" spans="2:3" x14ac:dyDescent="0.25">
      <c r="B2061" s="193">
        <v>42760</v>
      </c>
      <c r="C2061" s="195">
        <v>8602.75</v>
      </c>
    </row>
    <row r="2062" spans="2:3" x14ac:dyDescent="0.25">
      <c r="B2062" s="193">
        <v>42759</v>
      </c>
      <c r="C2062" s="195">
        <v>8475.7999999999993</v>
      </c>
    </row>
    <row r="2063" spans="2:3" x14ac:dyDescent="0.25">
      <c r="B2063" s="193">
        <v>42758</v>
      </c>
      <c r="C2063" s="195">
        <v>8391.5</v>
      </c>
    </row>
    <row r="2064" spans="2:3" x14ac:dyDescent="0.25">
      <c r="B2064" s="193">
        <v>42755</v>
      </c>
      <c r="C2064" s="195">
        <v>8349.35</v>
      </c>
    </row>
    <row r="2065" spans="2:3" x14ac:dyDescent="0.25">
      <c r="B2065" s="193">
        <v>42754</v>
      </c>
      <c r="C2065" s="195">
        <v>8435.1</v>
      </c>
    </row>
    <row r="2066" spans="2:3" x14ac:dyDescent="0.25">
      <c r="B2066" s="193">
        <v>42753</v>
      </c>
      <c r="C2066" s="195">
        <v>8417</v>
      </c>
    </row>
    <row r="2067" spans="2:3" x14ac:dyDescent="0.25">
      <c r="B2067" s="193">
        <v>42752</v>
      </c>
      <c r="C2067" s="195">
        <v>8398</v>
      </c>
    </row>
    <row r="2068" spans="2:3" x14ac:dyDescent="0.25">
      <c r="B2068" s="193">
        <v>42751</v>
      </c>
      <c r="C2068" s="195">
        <v>8412.7999999999993</v>
      </c>
    </row>
    <row r="2069" spans="2:3" x14ac:dyDescent="0.25">
      <c r="B2069" s="193">
        <v>42748</v>
      </c>
      <c r="C2069" s="195">
        <v>8400.35</v>
      </c>
    </row>
    <row r="2070" spans="2:3" x14ac:dyDescent="0.25">
      <c r="B2070" s="193">
        <v>42747</v>
      </c>
      <c r="C2070" s="195">
        <v>8407.2000000000007</v>
      </c>
    </row>
    <row r="2071" spans="2:3" x14ac:dyDescent="0.25">
      <c r="B2071" s="193">
        <v>42746</v>
      </c>
      <c r="C2071" s="195">
        <v>8380.65</v>
      </c>
    </row>
    <row r="2072" spans="2:3" x14ac:dyDescent="0.25">
      <c r="B2072" s="193">
        <v>42745</v>
      </c>
      <c r="C2072" s="195">
        <v>8288.6</v>
      </c>
    </row>
    <row r="2073" spans="2:3" x14ac:dyDescent="0.25">
      <c r="B2073" s="193">
        <v>42744</v>
      </c>
      <c r="C2073" s="195">
        <v>8236.0499999999993</v>
      </c>
    </row>
    <row r="2074" spans="2:3" x14ac:dyDescent="0.25">
      <c r="B2074" s="193">
        <v>42741</v>
      </c>
      <c r="C2074" s="195">
        <v>8243.7999999999993</v>
      </c>
    </row>
    <row r="2075" spans="2:3" x14ac:dyDescent="0.25">
      <c r="B2075" s="193">
        <v>42740</v>
      </c>
      <c r="C2075" s="195">
        <v>8273.7999999999993</v>
      </c>
    </row>
    <row r="2076" spans="2:3" x14ac:dyDescent="0.25">
      <c r="B2076" s="193">
        <v>42739</v>
      </c>
      <c r="C2076" s="195">
        <v>8190.5</v>
      </c>
    </row>
    <row r="2077" spans="2:3" x14ac:dyDescent="0.25">
      <c r="B2077" s="193">
        <v>42738</v>
      </c>
      <c r="C2077" s="195">
        <v>8192.25</v>
      </c>
    </row>
    <row r="2078" spans="2:3" x14ac:dyDescent="0.25">
      <c r="B2078" s="193">
        <v>42737</v>
      </c>
      <c r="C2078" s="195">
        <v>8179.5</v>
      </c>
    </row>
    <row r="2079" spans="2:3" x14ac:dyDescent="0.25">
      <c r="B2079" s="193">
        <v>42734</v>
      </c>
      <c r="C2079" s="195">
        <v>8185.8</v>
      </c>
    </row>
    <row r="2080" spans="2:3" x14ac:dyDescent="0.25">
      <c r="B2080" s="193">
        <v>42733</v>
      </c>
      <c r="C2080" s="195">
        <v>8103.6</v>
      </c>
    </row>
    <row r="2081" spans="2:3" x14ac:dyDescent="0.25">
      <c r="B2081" s="193">
        <v>42732</v>
      </c>
      <c r="C2081" s="195">
        <v>8034.85</v>
      </c>
    </row>
    <row r="2082" spans="2:3" x14ac:dyDescent="0.25">
      <c r="B2082" s="193">
        <v>42731</v>
      </c>
      <c r="C2082" s="195">
        <v>8032.85</v>
      </c>
    </row>
    <row r="2083" spans="2:3" x14ac:dyDescent="0.25">
      <c r="B2083" s="193">
        <v>42730</v>
      </c>
      <c r="C2083" s="195">
        <v>7908.25</v>
      </c>
    </row>
    <row r="2084" spans="2:3" x14ac:dyDescent="0.25">
      <c r="B2084" s="193">
        <v>42727</v>
      </c>
      <c r="C2084" s="195">
        <v>7985.75</v>
      </c>
    </row>
    <row r="2085" spans="2:3" x14ac:dyDescent="0.25">
      <c r="B2085" s="193">
        <v>42726</v>
      </c>
      <c r="C2085" s="195">
        <v>7979.1</v>
      </c>
    </row>
    <row r="2086" spans="2:3" x14ac:dyDescent="0.25">
      <c r="B2086" s="193">
        <v>42725</v>
      </c>
      <c r="C2086" s="195">
        <v>8061.3</v>
      </c>
    </row>
    <row r="2087" spans="2:3" x14ac:dyDescent="0.25">
      <c r="B2087" s="193">
        <v>42724</v>
      </c>
      <c r="C2087" s="195">
        <v>8082.4</v>
      </c>
    </row>
    <row r="2088" spans="2:3" x14ac:dyDescent="0.25">
      <c r="B2088" s="193">
        <v>42723</v>
      </c>
      <c r="C2088" s="195">
        <v>8104.35</v>
      </c>
    </row>
    <row r="2089" spans="2:3" x14ac:dyDescent="0.25">
      <c r="B2089" s="193">
        <v>42720</v>
      </c>
      <c r="C2089" s="195">
        <v>8139.45</v>
      </c>
    </row>
    <row r="2090" spans="2:3" x14ac:dyDescent="0.25">
      <c r="B2090" s="193">
        <v>42719</v>
      </c>
      <c r="C2090" s="195">
        <v>8153.6</v>
      </c>
    </row>
    <row r="2091" spans="2:3" x14ac:dyDescent="0.25">
      <c r="B2091" s="193">
        <v>42718</v>
      </c>
      <c r="C2091" s="195">
        <v>8182.45</v>
      </c>
    </row>
    <row r="2092" spans="2:3" x14ac:dyDescent="0.25">
      <c r="B2092" s="193">
        <v>42717</v>
      </c>
      <c r="C2092" s="195">
        <v>8221.7999999999993</v>
      </c>
    </row>
    <row r="2093" spans="2:3" x14ac:dyDescent="0.25">
      <c r="B2093" s="193">
        <v>42716</v>
      </c>
      <c r="C2093" s="195">
        <v>8170.8</v>
      </c>
    </row>
    <row r="2094" spans="2:3" x14ac:dyDescent="0.25">
      <c r="B2094" s="193">
        <v>42713</v>
      </c>
      <c r="C2094" s="195">
        <v>8261.75</v>
      </c>
    </row>
    <row r="2095" spans="2:3" x14ac:dyDescent="0.25">
      <c r="B2095" s="193">
        <v>42712</v>
      </c>
      <c r="C2095" s="195">
        <v>8246.85</v>
      </c>
    </row>
    <row r="2096" spans="2:3" x14ac:dyDescent="0.25">
      <c r="B2096" s="193">
        <v>42711</v>
      </c>
      <c r="C2096" s="195">
        <v>8102.05</v>
      </c>
    </row>
    <row r="2097" spans="2:3" x14ac:dyDescent="0.25">
      <c r="B2097" s="193">
        <v>42710</v>
      </c>
      <c r="C2097" s="195">
        <v>8143.15</v>
      </c>
    </row>
    <row r="2098" spans="2:3" x14ac:dyDescent="0.25">
      <c r="B2098" s="193">
        <v>42709</v>
      </c>
      <c r="C2098" s="195">
        <v>8128.75</v>
      </c>
    </row>
    <row r="2099" spans="2:3" x14ac:dyDescent="0.25">
      <c r="B2099" s="193">
        <v>42706</v>
      </c>
      <c r="C2099" s="195">
        <v>8086.8</v>
      </c>
    </row>
    <row r="2100" spans="2:3" x14ac:dyDescent="0.25">
      <c r="B2100" s="193">
        <v>42705</v>
      </c>
      <c r="C2100" s="195">
        <v>8192.9</v>
      </c>
    </row>
    <row r="2101" spans="2:3" x14ac:dyDescent="0.25">
      <c r="B2101" s="193">
        <v>42704</v>
      </c>
      <c r="C2101" s="195">
        <v>8224.5</v>
      </c>
    </row>
    <row r="2102" spans="2:3" x14ac:dyDescent="0.25">
      <c r="B2102" s="193">
        <v>42703</v>
      </c>
      <c r="C2102" s="195">
        <v>8142.15</v>
      </c>
    </row>
    <row r="2103" spans="2:3" x14ac:dyDescent="0.25">
      <c r="B2103" s="193">
        <v>42702</v>
      </c>
      <c r="C2103" s="195">
        <v>8126.9</v>
      </c>
    </row>
    <row r="2104" spans="2:3" x14ac:dyDescent="0.25">
      <c r="B2104" s="193">
        <v>42699</v>
      </c>
      <c r="C2104" s="195">
        <v>8114.3</v>
      </c>
    </row>
    <row r="2105" spans="2:3" x14ac:dyDescent="0.25">
      <c r="B2105" s="193">
        <v>42698</v>
      </c>
      <c r="C2105" s="195">
        <v>7965.5</v>
      </c>
    </row>
    <row r="2106" spans="2:3" x14ac:dyDescent="0.25">
      <c r="B2106" s="193">
        <v>42697</v>
      </c>
      <c r="C2106" s="195">
        <v>8033.3</v>
      </c>
    </row>
    <row r="2107" spans="2:3" x14ac:dyDescent="0.25">
      <c r="B2107" s="193">
        <v>42696</v>
      </c>
      <c r="C2107" s="195">
        <v>8002.3</v>
      </c>
    </row>
    <row r="2108" spans="2:3" x14ac:dyDescent="0.25">
      <c r="B2108" s="193">
        <v>42695</v>
      </c>
      <c r="C2108" s="195">
        <v>7929.1</v>
      </c>
    </row>
    <row r="2109" spans="2:3" x14ac:dyDescent="0.25">
      <c r="B2109" s="193">
        <v>42692</v>
      </c>
      <c r="C2109" s="195">
        <v>8074.1</v>
      </c>
    </row>
    <row r="2110" spans="2:3" x14ac:dyDescent="0.25">
      <c r="B2110" s="193">
        <v>42691</v>
      </c>
      <c r="C2110" s="195">
        <v>8079.95</v>
      </c>
    </row>
    <row r="2111" spans="2:3" x14ac:dyDescent="0.25">
      <c r="B2111" s="193">
        <v>42690</v>
      </c>
      <c r="C2111" s="195">
        <v>8111.6</v>
      </c>
    </row>
    <row r="2112" spans="2:3" x14ac:dyDescent="0.25">
      <c r="B2112" s="193">
        <v>42689</v>
      </c>
      <c r="C2112" s="195">
        <v>8108.45</v>
      </c>
    </row>
    <row r="2113" spans="2:3" x14ac:dyDescent="0.25">
      <c r="B2113" s="193">
        <v>42685</v>
      </c>
      <c r="C2113" s="195">
        <v>8296.2999999999993</v>
      </c>
    </row>
    <row r="2114" spans="2:3" x14ac:dyDescent="0.25">
      <c r="B2114" s="193">
        <v>42684</v>
      </c>
      <c r="C2114" s="195">
        <v>8525.75</v>
      </c>
    </row>
    <row r="2115" spans="2:3" x14ac:dyDescent="0.25">
      <c r="B2115" s="193">
        <v>42683</v>
      </c>
      <c r="C2115" s="195">
        <v>8432</v>
      </c>
    </row>
    <row r="2116" spans="2:3" x14ac:dyDescent="0.25">
      <c r="B2116" s="193">
        <v>42682</v>
      </c>
      <c r="C2116" s="195">
        <v>8543.5499999999993</v>
      </c>
    </row>
    <row r="2117" spans="2:3" x14ac:dyDescent="0.25">
      <c r="B2117" s="193">
        <v>42681</v>
      </c>
      <c r="C2117" s="195">
        <v>8497.0499999999993</v>
      </c>
    </row>
    <row r="2118" spans="2:3" x14ac:dyDescent="0.25">
      <c r="B2118" s="193">
        <v>42678</v>
      </c>
      <c r="C2118" s="195">
        <v>8433.75</v>
      </c>
    </row>
    <row r="2119" spans="2:3" x14ac:dyDescent="0.25">
      <c r="B2119" s="193">
        <v>42677</v>
      </c>
      <c r="C2119" s="195">
        <v>8484.9500000000007</v>
      </c>
    </row>
    <row r="2120" spans="2:3" x14ac:dyDescent="0.25">
      <c r="B2120" s="193">
        <v>42676</v>
      </c>
      <c r="C2120" s="195">
        <v>8514</v>
      </c>
    </row>
    <row r="2121" spans="2:3" x14ac:dyDescent="0.25">
      <c r="B2121" s="193">
        <v>42675</v>
      </c>
      <c r="C2121" s="195">
        <v>8626.25</v>
      </c>
    </row>
    <row r="2122" spans="2:3" x14ac:dyDescent="0.25">
      <c r="B2122" s="193">
        <v>42673</v>
      </c>
      <c r="C2122" s="195">
        <v>8625.7000000000007</v>
      </c>
    </row>
    <row r="2123" spans="2:3" x14ac:dyDescent="0.25">
      <c r="B2123" s="193">
        <v>42671</v>
      </c>
      <c r="C2123" s="195">
        <v>8638</v>
      </c>
    </row>
    <row r="2124" spans="2:3" x14ac:dyDescent="0.25">
      <c r="B2124" s="193">
        <v>42670</v>
      </c>
      <c r="C2124" s="195">
        <v>8615.25</v>
      </c>
    </row>
    <row r="2125" spans="2:3" x14ac:dyDescent="0.25">
      <c r="B2125" s="193">
        <v>42669</v>
      </c>
      <c r="C2125" s="195">
        <v>8615.25</v>
      </c>
    </row>
    <row r="2126" spans="2:3" x14ac:dyDescent="0.25">
      <c r="B2126" s="193">
        <v>42668</v>
      </c>
      <c r="C2126" s="195">
        <v>8691.2999999999993</v>
      </c>
    </row>
    <row r="2127" spans="2:3" x14ac:dyDescent="0.25">
      <c r="B2127" s="193">
        <v>42667</v>
      </c>
      <c r="C2127" s="195">
        <v>8708.9500000000007</v>
      </c>
    </row>
    <row r="2128" spans="2:3" x14ac:dyDescent="0.25">
      <c r="B2128" s="193">
        <v>42664</v>
      </c>
      <c r="C2128" s="195">
        <v>8693.0499999999993</v>
      </c>
    </row>
    <row r="2129" spans="2:3" x14ac:dyDescent="0.25">
      <c r="B2129" s="193">
        <v>42663</v>
      </c>
      <c r="C2129" s="195">
        <v>8699.4</v>
      </c>
    </row>
    <row r="2130" spans="2:3" x14ac:dyDescent="0.25">
      <c r="B2130" s="193">
        <v>42662</v>
      </c>
      <c r="C2130" s="195">
        <v>8659.1</v>
      </c>
    </row>
    <row r="2131" spans="2:3" x14ac:dyDescent="0.25">
      <c r="B2131" s="193">
        <v>42661</v>
      </c>
      <c r="C2131" s="195">
        <v>8677.9</v>
      </c>
    </row>
    <row r="2132" spans="2:3" x14ac:dyDescent="0.25">
      <c r="B2132" s="193">
        <v>42660</v>
      </c>
      <c r="C2132" s="195">
        <v>8520.4</v>
      </c>
    </row>
    <row r="2133" spans="2:3" x14ac:dyDescent="0.25">
      <c r="B2133" s="193">
        <v>42657</v>
      </c>
      <c r="C2133" s="195">
        <v>8583.4</v>
      </c>
    </row>
    <row r="2134" spans="2:3" x14ac:dyDescent="0.25">
      <c r="B2134" s="193">
        <v>42656</v>
      </c>
      <c r="C2134" s="195">
        <v>8573.35</v>
      </c>
    </row>
    <row r="2135" spans="2:3" x14ac:dyDescent="0.25">
      <c r="B2135" s="193">
        <v>42653</v>
      </c>
      <c r="C2135" s="195">
        <v>8708.7999999999993</v>
      </c>
    </row>
    <row r="2136" spans="2:3" x14ac:dyDescent="0.25">
      <c r="B2136" s="193">
        <v>42650</v>
      </c>
      <c r="C2136" s="195">
        <v>8697.6</v>
      </c>
    </row>
    <row r="2137" spans="2:3" x14ac:dyDescent="0.25">
      <c r="B2137" s="193">
        <v>42649</v>
      </c>
      <c r="C2137" s="195">
        <v>8709.5499999999993</v>
      </c>
    </row>
    <row r="2138" spans="2:3" x14ac:dyDescent="0.25">
      <c r="B2138" s="193">
        <v>42648</v>
      </c>
      <c r="C2138" s="195">
        <v>8743.9500000000007</v>
      </c>
    </row>
    <row r="2139" spans="2:3" x14ac:dyDescent="0.25">
      <c r="B2139" s="193">
        <v>42647</v>
      </c>
      <c r="C2139" s="195">
        <v>8769.15</v>
      </c>
    </row>
    <row r="2140" spans="2:3" x14ac:dyDescent="0.25">
      <c r="B2140" s="193">
        <v>42646</v>
      </c>
      <c r="C2140" s="195">
        <v>8738.1</v>
      </c>
    </row>
    <row r="2141" spans="2:3" x14ac:dyDescent="0.25">
      <c r="B2141" s="193">
        <v>42643</v>
      </c>
      <c r="C2141" s="195">
        <v>8611.15</v>
      </c>
    </row>
    <row r="2142" spans="2:3" x14ac:dyDescent="0.25">
      <c r="B2142" s="193">
        <v>42642</v>
      </c>
      <c r="C2142" s="195">
        <v>8591.25</v>
      </c>
    </row>
    <row r="2143" spans="2:3" x14ac:dyDescent="0.25">
      <c r="B2143" s="193">
        <v>42641</v>
      </c>
      <c r="C2143" s="195">
        <v>8745.15</v>
      </c>
    </row>
    <row r="2144" spans="2:3" x14ac:dyDescent="0.25">
      <c r="B2144" s="193">
        <v>42640</v>
      </c>
      <c r="C2144" s="195">
        <v>8706.4</v>
      </c>
    </row>
    <row r="2145" spans="2:3" x14ac:dyDescent="0.25">
      <c r="B2145" s="193">
        <v>42639</v>
      </c>
      <c r="C2145" s="195">
        <v>8723.0499999999993</v>
      </c>
    </row>
    <row r="2146" spans="2:3" x14ac:dyDescent="0.25">
      <c r="B2146" s="193">
        <v>42636</v>
      </c>
      <c r="C2146" s="195">
        <v>8831.5499999999993</v>
      </c>
    </row>
    <row r="2147" spans="2:3" x14ac:dyDescent="0.25">
      <c r="B2147" s="193">
        <v>42635</v>
      </c>
      <c r="C2147" s="195">
        <v>8867.4500000000007</v>
      </c>
    </row>
    <row r="2148" spans="2:3" x14ac:dyDescent="0.25">
      <c r="B2148" s="193">
        <v>42634</v>
      </c>
      <c r="C2148" s="195">
        <v>8777.15</v>
      </c>
    </row>
    <row r="2149" spans="2:3" x14ac:dyDescent="0.25">
      <c r="B2149" s="193">
        <v>42633</v>
      </c>
      <c r="C2149" s="195">
        <v>8775.9</v>
      </c>
    </row>
    <row r="2150" spans="2:3" x14ac:dyDescent="0.25">
      <c r="B2150" s="193">
        <v>42632</v>
      </c>
      <c r="C2150" s="195">
        <v>8808.4</v>
      </c>
    </row>
    <row r="2151" spans="2:3" x14ac:dyDescent="0.25">
      <c r="B2151" s="193">
        <v>42629</v>
      </c>
      <c r="C2151" s="195">
        <v>8779.85</v>
      </c>
    </row>
    <row r="2152" spans="2:3" x14ac:dyDescent="0.25">
      <c r="B2152" s="193">
        <v>42628</v>
      </c>
      <c r="C2152" s="195">
        <v>8742.5499999999993</v>
      </c>
    </row>
    <row r="2153" spans="2:3" x14ac:dyDescent="0.25">
      <c r="B2153" s="193">
        <v>42627</v>
      </c>
      <c r="C2153" s="195">
        <v>8726.6</v>
      </c>
    </row>
    <row r="2154" spans="2:3" x14ac:dyDescent="0.25">
      <c r="B2154" s="193">
        <v>42625</v>
      </c>
      <c r="C2154" s="195">
        <v>8715.6</v>
      </c>
    </row>
    <row r="2155" spans="2:3" x14ac:dyDescent="0.25">
      <c r="B2155" s="193">
        <v>42622</v>
      </c>
      <c r="C2155" s="195">
        <v>8866.7000000000007</v>
      </c>
    </row>
    <row r="2156" spans="2:3" x14ac:dyDescent="0.25">
      <c r="B2156" s="193">
        <v>42621</v>
      </c>
      <c r="C2156" s="195">
        <v>8952.5</v>
      </c>
    </row>
    <row r="2157" spans="2:3" x14ac:dyDescent="0.25">
      <c r="B2157" s="193">
        <v>42620</v>
      </c>
      <c r="C2157" s="195">
        <v>8917.9500000000007</v>
      </c>
    </row>
    <row r="2158" spans="2:3" x14ac:dyDescent="0.25">
      <c r="B2158" s="193">
        <v>42619</v>
      </c>
      <c r="C2158" s="195">
        <v>8943</v>
      </c>
    </row>
    <row r="2159" spans="2:3" x14ac:dyDescent="0.25">
      <c r="B2159" s="193">
        <v>42615</v>
      </c>
      <c r="C2159" s="195">
        <v>8809.65</v>
      </c>
    </row>
    <row r="2160" spans="2:3" x14ac:dyDescent="0.25">
      <c r="B2160" s="193">
        <v>42614</v>
      </c>
      <c r="C2160" s="195">
        <v>8774.65</v>
      </c>
    </row>
    <row r="2161" spans="2:3" x14ac:dyDescent="0.25">
      <c r="B2161" s="193">
        <v>42613</v>
      </c>
      <c r="C2161" s="195">
        <v>8786.2000000000007</v>
      </c>
    </row>
    <row r="2162" spans="2:3" x14ac:dyDescent="0.25">
      <c r="B2162" s="193">
        <v>42612</v>
      </c>
      <c r="C2162" s="195">
        <v>8744.35</v>
      </c>
    </row>
    <row r="2163" spans="2:3" x14ac:dyDescent="0.25">
      <c r="B2163" s="193">
        <v>42611</v>
      </c>
      <c r="C2163" s="195">
        <v>8607.4500000000007</v>
      </c>
    </row>
    <row r="2164" spans="2:3" x14ac:dyDescent="0.25">
      <c r="B2164" s="193">
        <v>42608</v>
      </c>
      <c r="C2164" s="195">
        <v>8572.5499999999993</v>
      </c>
    </row>
    <row r="2165" spans="2:3" x14ac:dyDescent="0.25">
      <c r="B2165" s="193">
        <v>42607</v>
      </c>
      <c r="C2165" s="195">
        <v>8592.2000000000007</v>
      </c>
    </row>
    <row r="2166" spans="2:3" x14ac:dyDescent="0.25">
      <c r="B2166" s="193">
        <v>42606</v>
      </c>
      <c r="C2166" s="195">
        <v>8650.2999999999993</v>
      </c>
    </row>
    <row r="2167" spans="2:3" x14ac:dyDescent="0.25">
      <c r="B2167" s="193">
        <v>42605</v>
      </c>
      <c r="C2167" s="195">
        <v>8632.6</v>
      </c>
    </row>
    <row r="2168" spans="2:3" x14ac:dyDescent="0.25">
      <c r="B2168" s="193">
        <v>42604</v>
      </c>
      <c r="C2168" s="195">
        <v>8629.15</v>
      </c>
    </row>
    <row r="2169" spans="2:3" x14ac:dyDescent="0.25">
      <c r="B2169" s="193">
        <v>42601</v>
      </c>
      <c r="C2169" s="195">
        <v>8666.9</v>
      </c>
    </row>
    <row r="2170" spans="2:3" x14ac:dyDescent="0.25">
      <c r="B2170" s="193">
        <v>42600</v>
      </c>
      <c r="C2170" s="195">
        <v>8673.25</v>
      </c>
    </row>
    <row r="2171" spans="2:3" x14ac:dyDescent="0.25">
      <c r="B2171" s="193">
        <v>42599</v>
      </c>
      <c r="C2171" s="195">
        <v>8624.0499999999993</v>
      </c>
    </row>
    <row r="2172" spans="2:3" x14ac:dyDescent="0.25">
      <c r="B2172" s="193">
        <v>42598</v>
      </c>
      <c r="C2172" s="195">
        <v>8642.5499999999993</v>
      </c>
    </row>
    <row r="2173" spans="2:3" x14ac:dyDescent="0.25">
      <c r="B2173" s="193">
        <v>42594</v>
      </c>
      <c r="C2173" s="195">
        <v>8672.15</v>
      </c>
    </row>
    <row r="2174" spans="2:3" x14ac:dyDescent="0.25">
      <c r="B2174" s="193">
        <v>42593</v>
      </c>
      <c r="C2174" s="195">
        <v>8592.15</v>
      </c>
    </row>
    <row r="2175" spans="2:3" x14ac:dyDescent="0.25">
      <c r="B2175" s="193">
        <v>42592</v>
      </c>
      <c r="C2175" s="195">
        <v>8575.2999999999993</v>
      </c>
    </row>
    <row r="2176" spans="2:3" x14ac:dyDescent="0.25">
      <c r="B2176" s="193">
        <v>42591</v>
      </c>
      <c r="C2176" s="195">
        <v>8678.25</v>
      </c>
    </row>
    <row r="2177" spans="2:3" x14ac:dyDescent="0.25">
      <c r="B2177" s="193">
        <v>42590</v>
      </c>
      <c r="C2177" s="195">
        <v>8711.35</v>
      </c>
    </row>
    <row r="2178" spans="2:3" x14ac:dyDescent="0.25">
      <c r="B2178" s="193">
        <v>42587</v>
      </c>
      <c r="C2178" s="195">
        <v>8683.15</v>
      </c>
    </row>
    <row r="2179" spans="2:3" x14ac:dyDescent="0.25">
      <c r="B2179" s="193">
        <v>42586</v>
      </c>
      <c r="C2179" s="195">
        <v>8551.1</v>
      </c>
    </row>
    <row r="2180" spans="2:3" x14ac:dyDescent="0.25">
      <c r="B2180" s="193">
        <v>42585</v>
      </c>
      <c r="C2180" s="195">
        <v>8544.85</v>
      </c>
    </row>
    <row r="2181" spans="2:3" x14ac:dyDescent="0.25">
      <c r="B2181" s="193">
        <v>42584</v>
      </c>
      <c r="C2181" s="195">
        <v>8622.9</v>
      </c>
    </row>
    <row r="2182" spans="2:3" x14ac:dyDescent="0.25">
      <c r="B2182" s="193">
        <v>42583</v>
      </c>
      <c r="C2182" s="195">
        <v>8636.5499999999993</v>
      </c>
    </row>
    <row r="2183" spans="2:3" x14ac:dyDescent="0.25">
      <c r="B2183" s="193">
        <v>42580</v>
      </c>
      <c r="C2183" s="195">
        <v>8638.5</v>
      </c>
    </row>
    <row r="2184" spans="2:3" x14ac:dyDescent="0.25">
      <c r="B2184" s="193">
        <v>42579</v>
      </c>
      <c r="C2184" s="195">
        <v>8666.2999999999993</v>
      </c>
    </row>
    <row r="2185" spans="2:3" x14ac:dyDescent="0.25">
      <c r="B2185" s="193">
        <v>42578</v>
      </c>
      <c r="C2185" s="195">
        <v>8615.7999999999993</v>
      </c>
    </row>
    <row r="2186" spans="2:3" x14ac:dyDescent="0.25">
      <c r="B2186" s="193">
        <v>42577</v>
      </c>
      <c r="C2186" s="195">
        <v>8590.65</v>
      </c>
    </row>
    <row r="2187" spans="2:3" x14ac:dyDescent="0.25">
      <c r="B2187" s="193">
        <v>42576</v>
      </c>
      <c r="C2187" s="195">
        <v>8635.65</v>
      </c>
    </row>
    <row r="2188" spans="2:3" x14ac:dyDescent="0.25">
      <c r="B2188" s="193">
        <v>42573</v>
      </c>
      <c r="C2188" s="195">
        <v>8541.2000000000007</v>
      </c>
    </row>
    <row r="2189" spans="2:3" x14ac:dyDescent="0.25">
      <c r="B2189" s="193">
        <v>42572</v>
      </c>
      <c r="C2189" s="195">
        <v>8510.1</v>
      </c>
    </row>
    <row r="2190" spans="2:3" x14ac:dyDescent="0.25">
      <c r="B2190" s="193">
        <v>42571</v>
      </c>
      <c r="C2190" s="195">
        <v>8565.85</v>
      </c>
    </row>
    <row r="2191" spans="2:3" x14ac:dyDescent="0.25">
      <c r="B2191" s="193">
        <v>42570</v>
      </c>
      <c r="C2191" s="195">
        <v>8528.5499999999993</v>
      </c>
    </row>
    <row r="2192" spans="2:3" x14ac:dyDescent="0.25">
      <c r="B2192" s="193">
        <v>42569</v>
      </c>
      <c r="C2192" s="195">
        <v>8508.7000000000007</v>
      </c>
    </row>
    <row r="2193" spans="2:3" x14ac:dyDescent="0.25">
      <c r="B2193" s="193">
        <v>42566</v>
      </c>
      <c r="C2193" s="195">
        <v>8541.4</v>
      </c>
    </row>
    <row r="2194" spans="2:3" x14ac:dyDescent="0.25">
      <c r="B2194" s="193">
        <v>42565</v>
      </c>
      <c r="C2194" s="195">
        <v>8565</v>
      </c>
    </row>
    <row r="2195" spans="2:3" x14ac:dyDescent="0.25">
      <c r="B2195" s="193">
        <v>42564</v>
      </c>
      <c r="C2195" s="195">
        <v>8519.5</v>
      </c>
    </row>
    <row r="2196" spans="2:3" x14ac:dyDescent="0.25">
      <c r="B2196" s="193">
        <v>42563</v>
      </c>
      <c r="C2196" s="195">
        <v>8521.0499999999993</v>
      </c>
    </row>
    <row r="2197" spans="2:3" x14ac:dyDescent="0.25">
      <c r="B2197" s="193">
        <v>42562</v>
      </c>
      <c r="C2197" s="195">
        <v>8467.9</v>
      </c>
    </row>
    <row r="2198" spans="2:3" x14ac:dyDescent="0.25">
      <c r="B2198" s="193">
        <v>42559</v>
      </c>
      <c r="C2198" s="195">
        <v>8323.2000000000007</v>
      </c>
    </row>
    <row r="2199" spans="2:3" x14ac:dyDescent="0.25">
      <c r="B2199" s="193">
        <v>42558</v>
      </c>
      <c r="C2199" s="195">
        <v>8337.9</v>
      </c>
    </row>
    <row r="2200" spans="2:3" x14ac:dyDescent="0.25">
      <c r="B2200" s="193">
        <v>42556</v>
      </c>
      <c r="C2200" s="195">
        <v>8335.9500000000007</v>
      </c>
    </row>
    <row r="2201" spans="2:3" x14ac:dyDescent="0.25">
      <c r="B2201" s="193">
        <v>42555</v>
      </c>
      <c r="C2201" s="195">
        <v>8370.7000000000007</v>
      </c>
    </row>
    <row r="2202" spans="2:3" x14ac:dyDescent="0.25">
      <c r="B2202" s="193">
        <v>42552</v>
      </c>
      <c r="C2202" s="195">
        <v>8328.35</v>
      </c>
    </row>
    <row r="2203" spans="2:3" x14ac:dyDescent="0.25">
      <c r="B2203" s="193">
        <v>42551</v>
      </c>
      <c r="C2203" s="195">
        <v>8287.75</v>
      </c>
    </row>
    <row r="2204" spans="2:3" x14ac:dyDescent="0.25">
      <c r="B2204" s="193">
        <v>42550</v>
      </c>
      <c r="C2204" s="195">
        <v>8204</v>
      </c>
    </row>
    <row r="2205" spans="2:3" x14ac:dyDescent="0.25">
      <c r="B2205" s="193">
        <v>42549</v>
      </c>
      <c r="C2205" s="195">
        <v>8127.85</v>
      </c>
    </row>
    <row r="2206" spans="2:3" x14ac:dyDescent="0.25">
      <c r="B2206" s="193">
        <v>42548</v>
      </c>
      <c r="C2206" s="195">
        <v>8094.7</v>
      </c>
    </row>
    <row r="2207" spans="2:3" x14ac:dyDescent="0.25">
      <c r="B2207" s="193">
        <v>42545</v>
      </c>
      <c r="C2207" s="195">
        <v>8088.6</v>
      </c>
    </row>
    <row r="2208" spans="2:3" x14ac:dyDescent="0.25">
      <c r="B2208" s="193">
        <v>42544</v>
      </c>
      <c r="C2208" s="195">
        <v>8270.4500000000007</v>
      </c>
    </row>
    <row r="2209" spans="2:3" x14ac:dyDescent="0.25">
      <c r="B2209" s="193">
        <v>42543</v>
      </c>
      <c r="C2209" s="195">
        <v>8203.7000000000007</v>
      </c>
    </row>
    <row r="2210" spans="2:3" x14ac:dyDescent="0.25">
      <c r="B2210" s="193">
        <v>42542</v>
      </c>
      <c r="C2210" s="195">
        <v>8219.9</v>
      </c>
    </row>
    <row r="2211" spans="2:3" x14ac:dyDescent="0.25">
      <c r="B2211" s="193">
        <v>42541</v>
      </c>
      <c r="C2211" s="195">
        <v>8238.5</v>
      </c>
    </row>
    <row r="2212" spans="2:3" x14ac:dyDescent="0.25">
      <c r="B2212" s="193">
        <v>42538</v>
      </c>
      <c r="C2212" s="195">
        <v>8170.2</v>
      </c>
    </row>
    <row r="2213" spans="2:3" x14ac:dyDescent="0.25">
      <c r="B2213" s="193">
        <v>42537</v>
      </c>
      <c r="C2213" s="195">
        <v>8140.75</v>
      </c>
    </row>
    <row r="2214" spans="2:3" x14ac:dyDescent="0.25">
      <c r="B2214" s="193">
        <v>42536</v>
      </c>
      <c r="C2214" s="195">
        <v>8206.6</v>
      </c>
    </row>
    <row r="2215" spans="2:3" x14ac:dyDescent="0.25">
      <c r="B2215" s="193">
        <v>42535</v>
      </c>
      <c r="C2215" s="195">
        <v>8108.85</v>
      </c>
    </row>
    <row r="2216" spans="2:3" x14ac:dyDescent="0.25">
      <c r="B2216" s="193">
        <v>42534</v>
      </c>
      <c r="C2216" s="195">
        <v>8110.6</v>
      </c>
    </row>
    <row r="2217" spans="2:3" x14ac:dyDescent="0.25">
      <c r="B2217" s="193">
        <v>42531</v>
      </c>
      <c r="C2217" s="195">
        <v>8170.05</v>
      </c>
    </row>
    <row r="2218" spans="2:3" x14ac:dyDescent="0.25">
      <c r="B2218" s="193">
        <v>42530</v>
      </c>
      <c r="C2218" s="195">
        <v>8203.6</v>
      </c>
    </row>
    <row r="2219" spans="2:3" x14ac:dyDescent="0.25">
      <c r="B2219" s="193">
        <v>42529</v>
      </c>
      <c r="C2219" s="195">
        <v>8273.0499999999993</v>
      </c>
    </row>
    <row r="2220" spans="2:3" x14ac:dyDescent="0.25">
      <c r="B2220" s="193">
        <v>42528</v>
      </c>
      <c r="C2220" s="195">
        <v>8266.4500000000007</v>
      </c>
    </row>
    <row r="2221" spans="2:3" x14ac:dyDescent="0.25">
      <c r="B2221" s="193">
        <v>42527</v>
      </c>
      <c r="C2221" s="195">
        <v>8201.0499999999993</v>
      </c>
    </row>
    <row r="2222" spans="2:3" x14ac:dyDescent="0.25">
      <c r="B2222" s="193">
        <v>42524</v>
      </c>
      <c r="C2222" s="195">
        <v>8220.7999999999993</v>
      </c>
    </row>
    <row r="2223" spans="2:3" x14ac:dyDescent="0.25">
      <c r="B2223" s="193">
        <v>42523</v>
      </c>
      <c r="C2223" s="195">
        <v>8218.9500000000007</v>
      </c>
    </row>
    <row r="2224" spans="2:3" x14ac:dyDescent="0.25">
      <c r="B2224" s="193">
        <v>42522</v>
      </c>
      <c r="C2224" s="195">
        <v>8179.95</v>
      </c>
    </row>
    <row r="2225" spans="2:3" x14ac:dyDescent="0.25">
      <c r="B2225" s="193">
        <v>42521</v>
      </c>
      <c r="C2225" s="195">
        <v>8160.1</v>
      </c>
    </row>
    <row r="2226" spans="2:3" x14ac:dyDescent="0.25">
      <c r="B2226" s="193">
        <v>42520</v>
      </c>
      <c r="C2226" s="195">
        <v>8178.5</v>
      </c>
    </row>
    <row r="2227" spans="2:3" x14ac:dyDescent="0.25">
      <c r="B2227" s="193">
        <v>42517</v>
      </c>
      <c r="C2227" s="195">
        <v>8156.65</v>
      </c>
    </row>
    <row r="2228" spans="2:3" x14ac:dyDescent="0.25">
      <c r="B2228" s="193">
        <v>42516</v>
      </c>
      <c r="C2228" s="195">
        <v>8069.65</v>
      </c>
    </row>
    <row r="2229" spans="2:3" x14ac:dyDescent="0.25">
      <c r="B2229" s="193">
        <v>42515</v>
      </c>
      <c r="C2229" s="195">
        <v>7934.9</v>
      </c>
    </row>
    <row r="2230" spans="2:3" x14ac:dyDescent="0.25">
      <c r="B2230" s="193">
        <v>42514</v>
      </c>
      <c r="C2230" s="195">
        <v>7748.85</v>
      </c>
    </row>
    <row r="2231" spans="2:3" x14ac:dyDescent="0.25">
      <c r="B2231" s="193">
        <v>42513</v>
      </c>
      <c r="C2231" s="195">
        <v>7731.05</v>
      </c>
    </row>
    <row r="2232" spans="2:3" x14ac:dyDescent="0.25">
      <c r="B2232" s="193">
        <v>42510</v>
      </c>
      <c r="C2232" s="195">
        <v>7749.7</v>
      </c>
    </row>
    <row r="2233" spans="2:3" x14ac:dyDescent="0.25">
      <c r="B2233" s="193">
        <v>42509</v>
      </c>
      <c r="C2233" s="195">
        <v>7783.4</v>
      </c>
    </row>
    <row r="2234" spans="2:3" x14ac:dyDescent="0.25">
      <c r="B2234" s="193">
        <v>42508</v>
      </c>
      <c r="C2234" s="195">
        <v>7870.15</v>
      </c>
    </row>
    <row r="2235" spans="2:3" x14ac:dyDescent="0.25">
      <c r="B2235" s="193">
        <v>42507</v>
      </c>
      <c r="C2235" s="195">
        <v>7890.75</v>
      </c>
    </row>
    <row r="2236" spans="2:3" x14ac:dyDescent="0.25">
      <c r="B2236" s="193">
        <v>42506</v>
      </c>
      <c r="C2236" s="195">
        <v>7860.75</v>
      </c>
    </row>
    <row r="2237" spans="2:3" x14ac:dyDescent="0.25">
      <c r="B2237" s="193">
        <v>42503</v>
      </c>
      <c r="C2237" s="195">
        <v>7814.9</v>
      </c>
    </row>
    <row r="2238" spans="2:3" x14ac:dyDescent="0.25">
      <c r="B2238" s="193">
        <v>42502</v>
      </c>
      <c r="C2238" s="195">
        <v>7900.4</v>
      </c>
    </row>
    <row r="2239" spans="2:3" x14ac:dyDescent="0.25">
      <c r="B2239" s="193">
        <v>42501</v>
      </c>
      <c r="C2239" s="195">
        <v>7848.85</v>
      </c>
    </row>
    <row r="2240" spans="2:3" x14ac:dyDescent="0.25">
      <c r="B2240" s="193">
        <v>42500</v>
      </c>
      <c r="C2240" s="195">
        <v>7887.8</v>
      </c>
    </row>
    <row r="2241" spans="2:3" x14ac:dyDescent="0.25">
      <c r="B2241" s="193">
        <v>42499</v>
      </c>
      <c r="C2241" s="195">
        <v>7866.05</v>
      </c>
    </row>
    <row r="2242" spans="2:3" x14ac:dyDescent="0.25">
      <c r="B2242" s="193">
        <v>42496</v>
      </c>
      <c r="C2242" s="195">
        <v>7733.45</v>
      </c>
    </row>
    <row r="2243" spans="2:3" x14ac:dyDescent="0.25">
      <c r="B2243" s="193">
        <v>42495</v>
      </c>
      <c r="C2243" s="195">
        <v>7735.5</v>
      </c>
    </row>
    <row r="2244" spans="2:3" x14ac:dyDescent="0.25">
      <c r="B2244" s="193">
        <v>42494</v>
      </c>
      <c r="C2244" s="195">
        <v>7706.55</v>
      </c>
    </row>
    <row r="2245" spans="2:3" x14ac:dyDescent="0.25">
      <c r="B2245" s="193">
        <v>42493</v>
      </c>
      <c r="C2245" s="195">
        <v>7747</v>
      </c>
    </row>
    <row r="2246" spans="2:3" x14ac:dyDescent="0.25">
      <c r="B2246" s="193">
        <v>42492</v>
      </c>
      <c r="C2246" s="195">
        <v>7805.9</v>
      </c>
    </row>
    <row r="2247" spans="2:3" x14ac:dyDescent="0.25">
      <c r="B2247" s="193">
        <v>42489</v>
      </c>
      <c r="C2247" s="195">
        <v>7849.8</v>
      </c>
    </row>
    <row r="2248" spans="2:3" x14ac:dyDescent="0.25">
      <c r="B2248" s="193">
        <v>42488</v>
      </c>
      <c r="C2248" s="195">
        <v>7847.25</v>
      </c>
    </row>
    <row r="2249" spans="2:3" x14ac:dyDescent="0.25">
      <c r="B2249" s="193">
        <v>42487</v>
      </c>
      <c r="C2249" s="195">
        <v>7979.9</v>
      </c>
    </row>
    <row r="2250" spans="2:3" x14ac:dyDescent="0.25">
      <c r="B2250" s="193">
        <v>42486</v>
      </c>
      <c r="C2250" s="195">
        <v>7962.65</v>
      </c>
    </row>
    <row r="2251" spans="2:3" x14ac:dyDescent="0.25">
      <c r="B2251" s="193">
        <v>42485</v>
      </c>
      <c r="C2251" s="195">
        <v>7855.05</v>
      </c>
    </row>
    <row r="2252" spans="2:3" x14ac:dyDescent="0.25">
      <c r="B2252" s="193">
        <v>42482</v>
      </c>
      <c r="C2252" s="195">
        <v>7899.3</v>
      </c>
    </row>
    <row r="2253" spans="2:3" x14ac:dyDescent="0.25">
      <c r="B2253" s="193">
        <v>42481</v>
      </c>
      <c r="C2253" s="195">
        <v>7912.05</v>
      </c>
    </row>
    <row r="2254" spans="2:3" x14ac:dyDescent="0.25">
      <c r="B2254" s="193">
        <v>42480</v>
      </c>
      <c r="C2254" s="195">
        <v>7914.75</v>
      </c>
    </row>
    <row r="2255" spans="2:3" x14ac:dyDescent="0.25">
      <c r="B2255" s="193">
        <v>42478</v>
      </c>
      <c r="C2255" s="195">
        <v>7914.7</v>
      </c>
    </row>
    <row r="2256" spans="2:3" x14ac:dyDescent="0.25">
      <c r="B2256" s="193">
        <v>42473</v>
      </c>
      <c r="C2256" s="195">
        <v>7850.45</v>
      </c>
    </row>
    <row r="2257" spans="2:3" x14ac:dyDescent="0.25">
      <c r="B2257" s="193">
        <v>42472</v>
      </c>
      <c r="C2257" s="195">
        <v>7708.95</v>
      </c>
    </row>
    <row r="2258" spans="2:3" x14ac:dyDescent="0.25">
      <c r="B2258" s="193">
        <v>42471</v>
      </c>
      <c r="C2258" s="195">
        <v>7671.4</v>
      </c>
    </row>
    <row r="2259" spans="2:3" x14ac:dyDescent="0.25">
      <c r="B2259" s="193">
        <v>42468</v>
      </c>
      <c r="C2259" s="195">
        <v>7555.2</v>
      </c>
    </row>
    <row r="2260" spans="2:3" x14ac:dyDescent="0.25">
      <c r="B2260" s="193">
        <v>42467</v>
      </c>
      <c r="C2260" s="195">
        <v>7546.45</v>
      </c>
    </row>
    <row r="2261" spans="2:3" x14ac:dyDescent="0.25">
      <c r="B2261" s="193">
        <v>42466</v>
      </c>
      <c r="C2261" s="195">
        <v>7614.35</v>
      </c>
    </row>
    <row r="2262" spans="2:3" x14ac:dyDescent="0.25">
      <c r="B2262" s="193">
        <v>42465</v>
      </c>
      <c r="C2262" s="195">
        <v>7603.2</v>
      </c>
    </row>
    <row r="2263" spans="2:3" x14ac:dyDescent="0.25">
      <c r="B2263" s="193">
        <v>42464</v>
      </c>
      <c r="C2263" s="195">
        <v>7758.8</v>
      </c>
    </row>
    <row r="2264" spans="2:3" x14ac:dyDescent="0.25">
      <c r="B2264" s="193">
        <v>42461</v>
      </c>
      <c r="C2264" s="195">
        <v>7713.05</v>
      </c>
    </row>
    <row r="2265" spans="2:3" x14ac:dyDescent="0.25">
      <c r="B2265" s="193">
        <v>42460</v>
      </c>
      <c r="C2265" s="195">
        <v>7738.4</v>
      </c>
    </row>
    <row r="2266" spans="2:3" x14ac:dyDescent="0.25">
      <c r="B2266" s="193">
        <v>42459</v>
      </c>
      <c r="C2266" s="195">
        <v>7735.2</v>
      </c>
    </row>
    <row r="2267" spans="2:3" x14ac:dyDescent="0.25">
      <c r="B2267" s="193">
        <v>42458</v>
      </c>
      <c r="C2267" s="195">
        <v>7597</v>
      </c>
    </row>
    <row r="2268" spans="2:3" x14ac:dyDescent="0.25">
      <c r="B2268" s="193">
        <v>42457</v>
      </c>
      <c r="C2268" s="195">
        <v>7615.1</v>
      </c>
    </row>
    <row r="2269" spans="2:3" x14ac:dyDescent="0.25">
      <c r="B2269" s="193">
        <v>42452</v>
      </c>
      <c r="C2269" s="195">
        <v>7716.5</v>
      </c>
    </row>
    <row r="2270" spans="2:3" x14ac:dyDescent="0.25">
      <c r="B2270" s="193">
        <v>42451</v>
      </c>
      <c r="C2270" s="195">
        <v>7714.9</v>
      </c>
    </row>
    <row r="2271" spans="2:3" x14ac:dyDescent="0.25">
      <c r="B2271" s="193">
        <v>42450</v>
      </c>
      <c r="C2271" s="195">
        <v>7704.25</v>
      </c>
    </row>
    <row r="2272" spans="2:3" x14ac:dyDescent="0.25">
      <c r="B2272" s="193">
        <v>42447</v>
      </c>
      <c r="C2272" s="195">
        <v>7604.35</v>
      </c>
    </row>
    <row r="2273" spans="2:3" x14ac:dyDescent="0.25">
      <c r="B2273" s="193">
        <v>42446</v>
      </c>
      <c r="C2273" s="195">
        <v>7512.55</v>
      </c>
    </row>
    <row r="2274" spans="2:3" x14ac:dyDescent="0.25">
      <c r="B2274" s="193">
        <v>42445</v>
      </c>
      <c r="C2274" s="195">
        <v>7498.75</v>
      </c>
    </row>
    <row r="2275" spans="2:3" x14ac:dyDescent="0.25">
      <c r="B2275" s="193">
        <v>42444</v>
      </c>
      <c r="C2275" s="195">
        <v>7460.6</v>
      </c>
    </row>
    <row r="2276" spans="2:3" x14ac:dyDescent="0.25">
      <c r="B2276" s="193">
        <v>42443</v>
      </c>
      <c r="C2276" s="195">
        <v>7538.75</v>
      </c>
    </row>
    <row r="2277" spans="2:3" x14ac:dyDescent="0.25">
      <c r="B2277" s="193">
        <v>42440</v>
      </c>
      <c r="C2277" s="195">
        <v>7510.2</v>
      </c>
    </row>
    <row r="2278" spans="2:3" x14ac:dyDescent="0.25">
      <c r="B2278" s="193">
        <v>42439</v>
      </c>
      <c r="C2278" s="195">
        <v>7486.15</v>
      </c>
    </row>
    <row r="2279" spans="2:3" x14ac:dyDescent="0.25">
      <c r="B2279" s="193">
        <v>42438</v>
      </c>
      <c r="C2279" s="195">
        <v>7531.8</v>
      </c>
    </row>
    <row r="2280" spans="2:3" x14ac:dyDescent="0.25">
      <c r="B2280" s="193">
        <v>42437</v>
      </c>
      <c r="C2280" s="195">
        <v>7485.3</v>
      </c>
    </row>
    <row r="2281" spans="2:3" x14ac:dyDescent="0.25">
      <c r="B2281" s="193">
        <v>42433</v>
      </c>
      <c r="C2281" s="195">
        <v>7485.35</v>
      </c>
    </row>
    <row r="2282" spans="2:3" x14ac:dyDescent="0.25">
      <c r="B2282" s="193">
        <v>42432</v>
      </c>
      <c r="C2282" s="195">
        <v>7475.6</v>
      </c>
    </row>
    <row r="2283" spans="2:3" x14ac:dyDescent="0.25">
      <c r="B2283" s="193">
        <v>42431</v>
      </c>
      <c r="C2283" s="195">
        <v>7368.85</v>
      </c>
    </row>
    <row r="2284" spans="2:3" x14ac:dyDescent="0.25">
      <c r="B2284" s="193">
        <v>42430</v>
      </c>
      <c r="C2284" s="195">
        <v>7222.3</v>
      </c>
    </row>
    <row r="2285" spans="2:3" x14ac:dyDescent="0.25">
      <c r="B2285" s="193">
        <v>42429</v>
      </c>
      <c r="C2285" s="195">
        <v>6987.05</v>
      </c>
    </row>
    <row r="2286" spans="2:3" x14ac:dyDescent="0.25">
      <c r="B2286" s="193">
        <v>42426</v>
      </c>
      <c r="C2286" s="195">
        <v>7029.75</v>
      </c>
    </row>
    <row r="2287" spans="2:3" x14ac:dyDescent="0.25">
      <c r="B2287" s="193">
        <v>42425</v>
      </c>
      <c r="C2287" s="195">
        <v>6970.6</v>
      </c>
    </row>
    <row r="2288" spans="2:3" x14ac:dyDescent="0.25">
      <c r="B2288" s="193">
        <v>42424</v>
      </c>
      <c r="C2288" s="195">
        <v>7018.7</v>
      </c>
    </row>
    <row r="2289" spans="2:3" x14ac:dyDescent="0.25">
      <c r="B2289" s="193">
        <v>42423</v>
      </c>
      <c r="C2289" s="195">
        <v>7109.55</v>
      </c>
    </row>
    <row r="2290" spans="2:3" x14ac:dyDescent="0.25">
      <c r="B2290" s="193">
        <v>42422</v>
      </c>
      <c r="C2290" s="195">
        <v>7234.55</v>
      </c>
    </row>
    <row r="2291" spans="2:3" x14ac:dyDescent="0.25">
      <c r="B2291" s="193">
        <v>42419</v>
      </c>
      <c r="C2291" s="195">
        <v>7210.75</v>
      </c>
    </row>
    <row r="2292" spans="2:3" x14ac:dyDescent="0.25">
      <c r="B2292" s="193">
        <v>42418</v>
      </c>
      <c r="C2292" s="195">
        <v>7191.75</v>
      </c>
    </row>
    <row r="2293" spans="2:3" x14ac:dyDescent="0.25">
      <c r="B2293" s="193">
        <v>42417</v>
      </c>
      <c r="C2293" s="195">
        <v>7108.45</v>
      </c>
    </row>
    <row r="2294" spans="2:3" x14ac:dyDescent="0.25">
      <c r="B2294" s="193">
        <v>42416</v>
      </c>
      <c r="C2294" s="195">
        <v>7048.25</v>
      </c>
    </row>
    <row r="2295" spans="2:3" x14ac:dyDescent="0.25">
      <c r="B2295" s="193">
        <v>42415</v>
      </c>
      <c r="C2295" s="195">
        <v>7162.95</v>
      </c>
    </row>
    <row r="2296" spans="2:3" x14ac:dyDescent="0.25">
      <c r="B2296" s="193">
        <v>42412</v>
      </c>
      <c r="C2296" s="195">
        <v>6980.95</v>
      </c>
    </row>
    <row r="2297" spans="2:3" x14ac:dyDescent="0.25">
      <c r="B2297" s="193">
        <v>42411</v>
      </c>
      <c r="C2297" s="195">
        <v>6976.35</v>
      </c>
    </row>
    <row r="2298" spans="2:3" x14ac:dyDescent="0.25">
      <c r="B2298" s="193">
        <v>42410</v>
      </c>
      <c r="C2298" s="195">
        <v>7215.7</v>
      </c>
    </row>
    <row r="2299" spans="2:3" x14ac:dyDescent="0.25">
      <c r="B2299" s="193">
        <v>42409</v>
      </c>
      <c r="C2299" s="195">
        <v>7298.2</v>
      </c>
    </row>
    <row r="2300" spans="2:3" x14ac:dyDescent="0.25">
      <c r="B2300" s="193">
        <v>42408</v>
      </c>
      <c r="C2300" s="195">
        <v>7387.25</v>
      </c>
    </row>
    <row r="2301" spans="2:3" x14ac:dyDescent="0.25">
      <c r="B2301" s="193">
        <v>42405</v>
      </c>
      <c r="C2301" s="195">
        <v>7489.1</v>
      </c>
    </row>
    <row r="2302" spans="2:3" x14ac:dyDescent="0.25">
      <c r="B2302" s="193">
        <v>42404</v>
      </c>
      <c r="C2302" s="195">
        <v>7404</v>
      </c>
    </row>
    <row r="2303" spans="2:3" x14ac:dyDescent="0.25">
      <c r="B2303" s="193">
        <v>42403</v>
      </c>
      <c r="C2303" s="195">
        <v>7361.8</v>
      </c>
    </row>
    <row r="2304" spans="2:3" x14ac:dyDescent="0.25">
      <c r="B2304" s="193">
        <v>42402</v>
      </c>
      <c r="C2304" s="195">
        <v>7455.55</v>
      </c>
    </row>
    <row r="2305" spans="2:3" x14ac:dyDescent="0.25">
      <c r="B2305" s="193">
        <v>42401</v>
      </c>
      <c r="C2305" s="195">
        <v>7555.95</v>
      </c>
    </row>
    <row r="2306" spans="2:3" x14ac:dyDescent="0.25">
      <c r="B2306" s="193">
        <v>42398</v>
      </c>
      <c r="C2306" s="195">
        <v>7563.55</v>
      </c>
    </row>
    <row r="2307" spans="2:3" x14ac:dyDescent="0.25">
      <c r="B2307" s="193">
        <v>42397</v>
      </c>
      <c r="C2307" s="195">
        <v>7424.65</v>
      </c>
    </row>
    <row r="2308" spans="2:3" x14ac:dyDescent="0.25">
      <c r="B2308" s="193">
        <v>42396</v>
      </c>
      <c r="C2308" s="195">
        <v>7437.75</v>
      </c>
    </row>
    <row r="2309" spans="2:3" x14ac:dyDescent="0.25">
      <c r="B2309" s="193">
        <v>42394</v>
      </c>
      <c r="C2309" s="195">
        <v>7436.15</v>
      </c>
    </row>
    <row r="2310" spans="2:3" x14ac:dyDescent="0.25">
      <c r="B2310" s="193">
        <v>42391</v>
      </c>
      <c r="C2310" s="195">
        <v>7422.45</v>
      </c>
    </row>
    <row r="2311" spans="2:3" x14ac:dyDescent="0.25">
      <c r="B2311" s="193">
        <v>42390</v>
      </c>
      <c r="C2311" s="195">
        <v>7276.8</v>
      </c>
    </row>
    <row r="2312" spans="2:3" x14ac:dyDescent="0.25">
      <c r="B2312" s="193">
        <v>42389</v>
      </c>
      <c r="C2312" s="195">
        <v>7309.3</v>
      </c>
    </row>
    <row r="2313" spans="2:3" x14ac:dyDescent="0.25">
      <c r="B2313" s="193">
        <v>42388</v>
      </c>
      <c r="C2313" s="195">
        <v>7435.1</v>
      </c>
    </row>
    <row r="2314" spans="2:3" x14ac:dyDescent="0.25">
      <c r="B2314" s="193">
        <v>42387</v>
      </c>
      <c r="C2314" s="195">
        <v>7351</v>
      </c>
    </row>
    <row r="2315" spans="2:3" x14ac:dyDescent="0.25">
      <c r="B2315" s="193">
        <v>42384</v>
      </c>
      <c r="C2315" s="195">
        <v>7437.8</v>
      </c>
    </row>
    <row r="2316" spans="2:3" x14ac:dyDescent="0.25">
      <c r="B2316" s="193">
        <v>42383</v>
      </c>
      <c r="C2316" s="195">
        <v>7536.8</v>
      </c>
    </row>
    <row r="2317" spans="2:3" x14ac:dyDescent="0.25">
      <c r="B2317" s="193">
        <v>42382</v>
      </c>
      <c r="C2317" s="195">
        <v>7562.4</v>
      </c>
    </row>
    <row r="2318" spans="2:3" x14ac:dyDescent="0.25">
      <c r="B2318" s="193">
        <v>42381</v>
      </c>
      <c r="C2318" s="195">
        <v>7510.3</v>
      </c>
    </row>
    <row r="2319" spans="2:3" x14ac:dyDescent="0.25">
      <c r="B2319" s="193">
        <v>42380</v>
      </c>
      <c r="C2319" s="195">
        <v>7563.85</v>
      </c>
    </row>
    <row r="2320" spans="2:3" x14ac:dyDescent="0.25">
      <c r="B2320" s="193">
        <v>42377</v>
      </c>
      <c r="C2320" s="195">
        <v>7601.35</v>
      </c>
    </row>
    <row r="2321" spans="2:3" x14ac:dyDescent="0.25">
      <c r="B2321" s="193">
        <v>42376</v>
      </c>
      <c r="C2321" s="195">
        <v>7568.3</v>
      </c>
    </row>
    <row r="2322" spans="2:3" x14ac:dyDescent="0.25">
      <c r="B2322" s="193">
        <v>42375</v>
      </c>
      <c r="C2322" s="195">
        <v>7741</v>
      </c>
    </row>
    <row r="2323" spans="2:3" x14ac:dyDescent="0.25">
      <c r="B2323" s="193">
        <v>42374</v>
      </c>
      <c r="C2323" s="195">
        <v>7784.65</v>
      </c>
    </row>
    <row r="2324" spans="2:3" x14ac:dyDescent="0.25">
      <c r="B2324" s="193">
        <v>42373</v>
      </c>
      <c r="C2324" s="195">
        <v>7791.3</v>
      </c>
    </row>
    <row r="2325" spans="2:3" x14ac:dyDescent="0.25">
      <c r="B2325" s="193">
        <v>42370</v>
      </c>
      <c r="C2325" s="195">
        <v>7963.2</v>
      </c>
    </row>
    <row r="2326" spans="2:3" x14ac:dyDescent="0.25">
      <c r="B2326" s="193">
        <v>42369</v>
      </c>
      <c r="C2326" s="195">
        <v>7946.35</v>
      </c>
    </row>
    <row r="2327" spans="2:3" x14ac:dyDescent="0.25">
      <c r="B2327" s="193">
        <v>42368</v>
      </c>
      <c r="C2327" s="195">
        <v>7896.25</v>
      </c>
    </row>
    <row r="2328" spans="2:3" x14ac:dyDescent="0.25">
      <c r="B2328" s="193">
        <v>42367</v>
      </c>
      <c r="C2328" s="195">
        <v>7928.95</v>
      </c>
    </row>
    <row r="2329" spans="2:3" x14ac:dyDescent="0.25">
      <c r="B2329" s="193">
        <v>42366</v>
      </c>
      <c r="C2329" s="195">
        <v>7925.15</v>
      </c>
    </row>
    <row r="2330" spans="2:3" x14ac:dyDescent="0.25">
      <c r="B2330" s="193">
        <v>42362</v>
      </c>
      <c r="C2330" s="195">
        <v>7861.05</v>
      </c>
    </row>
    <row r="2331" spans="2:3" x14ac:dyDescent="0.25">
      <c r="B2331" s="193">
        <v>42361</v>
      </c>
      <c r="C2331" s="195">
        <v>7865.95</v>
      </c>
    </row>
    <row r="2332" spans="2:3" x14ac:dyDescent="0.25">
      <c r="B2332" s="193">
        <v>42360</v>
      </c>
      <c r="C2332" s="195">
        <v>7786.1</v>
      </c>
    </row>
    <row r="2333" spans="2:3" x14ac:dyDescent="0.25">
      <c r="B2333" s="193">
        <v>42359</v>
      </c>
      <c r="C2333" s="195">
        <v>7834.45</v>
      </c>
    </row>
    <row r="2334" spans="2:3" x14ac:dyDescent="0.25">
      <c r="B2334" s="193">
        <v>42356</v>
      </c>
      <c r="C2334" s="195">
        <v>7761.95</v>
      </c>
    </row>
    <row r="2335" spans="2:3" x14ac:dyDescent="0.25">
      <c r="B2335" s="193">
        <v>42355</v>
      </c>
      <c r="C2335" s="195">
        <v>7844.35</v>
      </c>
    </row>
    <row r="2336" spans="2:3" x14ac:dyDescent="0.25">
      <c r="B2336" s="193">
        <v>42354</v>
      </c>
      <c r="C2336" s="195">
        <v>7750.9</v>
      </c>
    </row>
    <row r="2337" spans="2:3" x14ac:dyDescent="0.25">
      <c r="B2337" s="193">
        <v>42353</v>
      </c>
      <c r="C2337" s="195">
        <v>7700.9</v>
      </c>
    </row>
    <row r="2338" spans="2:3" x14ac:dyDescent="0.25">
      <c r="B2338" s="193">
        <v>42352</v>
      </c>
      <c r="C2338" s="195">
        <v>7650.05</v>
      </c>
    </row>
    <row r="2339" spans="2:3" x14ac:dyDescent="0.25">
      <c r="B2339" s="193">
        <v>42349</v>
      </c>
      <c r="C2339" s="195">
        <v>7610.45</v>
      </c>
    </row>
    <row r="2340" spans="2:3" x14ac:dyDescent="0.25">
      <c r="B2340" s="193">
        <v>42348</v>
      </c>
      <c r="C2340" s="195">
        <v>7683.3</v>
      </c>
    </row>
    <row r="2341" spans="2:3" x14ac:dyDescent="0.25">
      <c r="B2341" s="193">
        <v>42347</v>
      </c>
      <c r="C2341" s="195">
        <v>7612.5</v>
      </c>
    </row>
    <row r="2342" spans="2:3" x14ac:dyDescent="0.25">
      <c r="B2342" s="193">
        <v>42346</v>
      </c>
      <c r="C2342" s="195">
        <v>7701.7</v>
      </c>
    </row>
    <row r="2343" spans="2:3" x14ac:dyDescent="0.25">
      <c r="B2343" s="193">
        <v>42345</v>
      </c>
      <c r="C2343" s="195">
        <v>7765.4</v>
      </c>
    </row>
    <row r="2344" spans="2:3" x14ac:dyDescent="0.25">
      <c r="B2344" s="193">
        <v>42342</v>
      </c>
      <c r="C2344" s="195">
        <v>7781.9</v>
      </c>
    </row>
    <row r="2345" spans="2:3" x14ac:dyDescent="0.25">
      <c r="B2345" s="193">
        <v>42341</v>
      </c>
      <c r="C2345" s="195">
        <v>7864.15</v>
      </c>
    </row>
    <row r="2346" spans="2:3" x14ac:dyDescent="0.25">
      <c r="B2346" s="193">
        <v>42340</v>
      </c>
      <c r="C2346" s="195">
        <v>7931.35</v>
      </c>
    </row>
    <row r="2347" spans="2:3" x14ac:dyDescent="0.25">
      <c r="B2347" s="193">
        <v>42339</v>
      </c>
      <c r="C2347" s="195">
        <v>7954.9</v>
      </c>
    </row>
    <row r="2348" spans="2:3" x14ac:dyDescent="0.25">
      <c r="B2348" s="193">
        <v>42338</v>
      </c>
      <c r="C2348" s="195">
        <v>7935.25</v>
      </c>
    </row>
    <row r="2349" spans="2:3" x14ac:dyDescent="0.25">
      <c r="B2349" s="193">
        <v>42335</v>
      </c>
      <c r="C2349" s="195">
        <v>7942.7</v>
      </c>
    </row>
    <row r="2350" spans="2:3" x14ac:dyDescent="0.25">
      <c r="B2350" s="193">
        <v>42334</v>
      </c>
      <c r="C2350" s="195">
        <v>7883.8</v>
      </c>
    </row>
    <row r="2351" spans="2:3" x14ac:dyDescent="0.25">
      <c r="B2351" s="193">
        <v>42332</v>
      </c>
      <c r="C2351" s="195">
        <v>7831.6</v>
      </c>
    </row>
    <row r="2352" spans="2:3" x14ac:dyDescent="0.25">
      <c r="B2352" s="193">
        <v>42331</v>
      </c>
      <c r="C2352" s="195">
        <v>7849.25</v>
      </c>
    </row>
    <row r="2353" spans="2:3" x14ac:dyDescent="0.25">
      <c r="B2353" s="193">
        <v>42328</v>
      </c>
      <c r="C2353" s="195">
        <v>7856.55</v>
      </c>
    </row>
    <row r="2354" spans="2:3" x14ac:dyDescent="0.25">
      <c r="B2354" s="193">
        <v>42327</v>
      </c>
      <c r="C2354" s="195">
        <v>7842.75</v>
      </c>
    </row>
    <row r="2355" spans="2:3" x14ac:dyDescent="0.25">
      <c r="B2355" s="193">
        <v>42326</v>
      </c>
      <c r="C2355" s="195">
        <v>7731.8</v>
      </c>
    </row>
    <row r="2356" spans="2:3" x14ac:dyDescent="0.25">
      <c r="B2356" s="193">
        <v>42325</v>
      </c>
      <c r="C2356" s="195">
        <v>7837.55</v>
      </c>
    </row>
    <row r="2357" spans="2:3" x14ac:dyDescent="0.25">
      <c r="B2357" s="193">
        <v>42324</v>
      </c>
      <c r="C2357" s="195">
        <v>7806.6</v>
      </c>
    </row>
    <row r="2358" spans="2:3" x14ac:dyDescent="0.25">
      <c r="B2358" s="193">
        <v>42321</v>
      </c>
      <c r="C2358" s="195">
        <v>7762.25</v>
      </c>
    </row>
    <row r="2359" spans="2:3" x14ac:dyDescent="0.25">
      <c r="B2359" s="193">
        <v>42319</v>
      </c>
      <c r="C2359" s="195">
        <v>7825</v>
      </c>
    </row>
    <row r="2360" spans="2:3" x14ac:dyDescent="0.25">
      <c r="B2360" s="193">
        <v>42318</v>
      </c>
      <c r="C2360" s="195">
        <v>7783.35</v>
      </c>
    </row>
    <row r="2361" spans="2:3" x14ac:dyDescent="0.25">
      <c r="B2361" s="193">
        <v>42317</v>
      </c>
      <c r="C2361" s="195">
        <v>7915.2</v>
      </c>
    </row>
    <row r="2362" spans="2:3" x14ac:dyDescent="0.25">
      <c r="B2362" s="193">
        <v>42314</v>
      </c>
      <c r="C2362" s="195">
        <v>7954.3</v>
      </c>
    </row>
    <row r="2363" spans="2:3" x14ac:dyDescent="0.25">
      <c r="B2363" s="193">
        <v>42313</v>
      </c>
      <c r="C2363" s="195">
        <v>7955.45</v>
      </c>
    </row>
    <row r="2364" spans="2:3" x14ac:dyDescent="0.25">
      <c r="B2364" s="193">
        <v>42312</v>
      </c>
      <c r="C2364" s="195">
        <v>8040.2</v>
      </c>
    </row>
    <row r="2365" spans="2:3" x14ac:dyDescent="0.25">
      <c r="B2365" s="193">
        <v>42311</v>
      </c>
      <c r="C2365" s="195">
        <v>8060.7</v>
      </c>
    </row>
    <row r="2366" spans="2:3" x14ac:dyDescent="0.25">
      <c r="B2366" s="193">
        <v>42310</v>
      </c>
      <c r="C2366" s="195">
        <v>8050.8</v>
      </c>
    </row>
    <row r="2367" spans="2:3" x14ac:dyDescent="0.25">
      <c r="B2367" s="193">
        <v>42307</v>
      </c>
      <c r="C2367" s="195">
        <v>8065.8</v>
      </c>
    </row>
    <row r="2368" spans="2:3" x14ac:dyDescent="0.25">
      <c r="B2368" s="193">
        <v>42306</v>
      </c>
      <c r="C2368" s="195">
        <v>8111.75</v>
      </c>
    </row>
    <row r="2369" spans="2:3" x14ac:dyDescent="0.25">
      <c r="B2369" s="193">
        <v>42305</v>
      </c>
      <c r="C2369" s="195">
        <v>8171.2</v>
      </c>
    </row>
    <row r="2370" spans="2:3" x14ac:dyDescent="0.25">
      <c r="B2370" s="193">
        <v>42304</v>
      </c>
      <c r="C2370" s="195">
        <v>8232.9</v>
      </c>
    </row>
    <row r="2371" spans="2:3" x14ac:dyDescent="0.25">
      <c r="B2371" s="193">
        <v>42303</v>
      </c>
      <c r="C2371" s="195">
        <v>8260.5499999999993</v>
      </c>
    </row>
    <row r="2372" spans="2:3" x14ac:dyDescent="0.25">
      <c r="B2372" s="193">
        <v>42300</v>
      </c>
      <c r="C2372" s="195">
        <v>8295.4500000000007</v>
      </c>
    </row>
    <row r="2373" spans="2:3" x14ac:dyDescent="0.25">
      <c r="B2373" s="193">
        <v>42298</v>
      </c>
      <c r="C2373" s="195">
        <v>8251.7000000000007</v>
      </c>
    </row>
    <row r="2374" spans="2:3" x14ac:dyDescent="0.25">
      <c r="B2374" s="193">
        <v>42297</v>
      </c>
      <c r="C2374" s="195">
        <v>8261.65</v>
      </c>
    </row>
    <row r="2375" spans="2:3" x14ac:dyDescent="0.25">
      <c r="B2375" s="193">
        <v>42296</v>
      </c>
      <c r="C2375" s="195">
        <v>8275.0499999999993</v>
      </c>
    </row>
    <row r="2376" spans="2:3" x14ac:dyDescent="0.25">
      <c r="B2376" s="193">
        <v>42293</v>
      </c>
      <c r="C2376" s="195">
        <v>8238.15</v>
      </c>
    </row>
    <row r="2377" spans="2:3" x14ac:dyDescent="0.25">
      <c r="B2377" s="193">
        <v>42292</v>
      </c>
      <c r="C2377" s="195">
        <v>8179.5</v>
      </c>
    </row>
    <row r="2378" spans="2:3" x14ac:dyDescent="0.25">
      <c r="B2378" s="193">
        <v>42291</v>
      </c>
      <c r="C2378" s="195">
        <v>8107.9</v>
      </c>
    </row>
    <row r="2379" spans="2:3" x14ac:dyDescent="0.25">
      <c r="B2379" s="193">
        <v>42290</v>
      </c>
      <c r="C2379" s="195">
        <v>8131.7</v>
      </c>
    </row>
    <row r="2380" spans="2:3" x14ac:dyDescent="0.25">
      <c r="B2380" s="193">
        <v>42289</v>
      </c>
      <c r="C2380" s="195">
        <v>8143.6</v>
      </c>
    </row>
    <row r="2381" spans="2:3" x14ac:dyDescent="0.25">
      <c r="B2381" s="193">
        <v>42286</v>
      </c>
      <c r="C2381" s="195">
        <v>8189.7</v>
      </c>
    </row>
    <row r="2382" spans="2:3" x14ac:dyDescent="0.25">
      <c r="B2382" s="193">
        <v>42285</v>
      </c>
      <c r="C2382" s="195">
        <v>8129.35</v>
      </c>
    </row>
    <row r="2383" spans="2:3" x14ac:dyDescent="0.25">
      <c r="B2383" s="193">
        <v>42284</v>
      </c>
      <c r="C2383" s="195">
        <v>8177.4</v>
      </c>
    </row>
    <row r="2384" spans="2:3" x14ac:dyDescent="0.25">
      <c r="B2384" s="193">
        <v>42283</v>
      </c>
      <c r="C2384" s="195">
        <v>8152.9</v>
      </c>
    </row>
    <row r="2385" spans="2:3" x14ac:dyDescent="0.25">
      <c r="B2385" s="193">
        <v>42282</v>
      </c>
      <c r="C2385" s="195">
        <v>8119.3</v>
      </c>
    </row>
    <row r="2386" spans="2:3" x14ac:dyDescent="0.25">
      <c r="B2386" s="193">
        <v>42278</v>
      </c>
      <c r="C2386" s="195">
        <v>7950.9</v>
      </c>
    </row>
    <row r="2387" spans="2:3" x14ac:dyDescent="0.25">
      <c r="B2387" s="193">
        <v>42277</v>
      </c>
      <c r="C2387" s="195">
        <v>7948.9</v>
      </c>
    </row>
    <row r="2388" spans="2:3" x14ac:dyDescent="0.25">
      <c r="B2388" s="193">
        <v>42276</v>
      </c>
      <c r="C2388" s="195">
        <v>7843.3</v>
      </c>
    </row>
    <row r="2389" spans="2:3" x14ac:dyDescent="0.25">
      <c r="B2389" s="193">
        <v>42275</v>
      </c>
      <c r="C2389" s="195">
        <v>7795.7</v>
      </c>
    </row>
    <row r="2390" spans="2:3" x14ac:dyDescent="0.25">
      <c r="B2390" s="193">
        <v>42271</v>
      </c>
      <c r="C2390" s="195">
        <v>7868.5</v>
      </c>
    </row>
    <row r="2391" spans="2:3" x14ac:dyDescent="0.25">
      <c r="B2391" s="193">
        <v>42270</v>
      </c>
      <c r="C2391" s="195">
        <v>7845.95</v>
      </c>
    </row>
    <row r="2392" spans="2:3" x14ac:dyDescent="0.25">
      <c r="B2392" s="193">
        <v>42269</v>
      </c>
      <c r="C2392" s="195">
        <v>7812</v>
      </c>
    </row>
    <row r="2393" spans="2:3" x14ac:dyDescent="0.25">
      <c r="B2393" s="193">
        <v>42268</v>
      </c>
      <c r="C2393" s="195">
        <v>7977.1</v>
      </c>
    </row>
    <row r="2394" spans="2:3" x14ac:dyDescent="0.25">
      <c r="B2394" s="193">
        <v>42265</v>
      </c>
      <c r="C2394" s="195">
        <v>7981.9</v>
      </c>
    </row>
    <row r="2395" spans="2:3" x14ac:dyDescent="0.25">
      <c r="B2395" s="193">
        <v>42263</v>
      </c>
      <c r="C2395" s="195">
        <v>7899.15</v>
      </c>
    </row>
    <row r="2396" spans="2:3" x14ac:dyDescent="0.25">
      <c r="B2396" s="193">
        <v>42262</v>
      </c>
      <c r="C2396" s="195">
        <v>7829.1</v>
      </c>
    </row>
    <row r="2397" spans="2:3" x14ac:dyDescent="0.25">
      <c r="B2397" s="193">
        <v>42261</v>
      </c>
      <c r="C2397" s="195">
        <v>7872.25</v>
      </c>
    </row>
    <row r="2398" spans="2:3" x14ac:dyDescent="0.25">
      <c r="B2398" s="193">
        <v>42258</v>
      </c>
      <c r="C2398" s="195">
        <v>7789.3</v>
      </c>
    </row>
    <row r="2399" spans="2:3" x14ac:dyDescent="0.25">
      <c r="B2399" s="193">
        <v>42257</v>
      </c>
      <c r="C2399" s="195">
        <v>7788.1</v>
      </c>
    </row>
    <row r="2400" spans="2:3" x14ac:dyDescent="0.25">
      <c r="B2400" s="193">
        <v>42256</v>
      </c>
      <c r="C2400" s="195">
        <v>7818.6</v>
      </c>
    </row>
    <row r="2401" spans="2:3" x14ac:dyDescent="0.25">
      <c r="B2401" s="193">
        <v>42255</v>
      </c>
      <c r="C2401" s="195">
        <v>7688.25</v>
      </c>
    </row>
    <row r="2402" spans="2:3" x14ac:dyDescent="0.25">
      <c r="B2402" s="193">
        <v>42254</v>
      </c>
      <c r="C2402" s="195">
        <v>7558.8</v>
      </c>
    </row>
    <row r="2403" spans="2:3" x14ac:dyDescent="0.25">
      <c r="B2403" s="193">
        <v>42251</v>
      </c>
      <c r="C2403" s="195">
        <v>7655.05</v>
      </c>
    </row>
    <row r="2404" spans="2:3" x14ac:dyDescent="0.25">
      <c r="B2404" s="193">
        <v>42250</v>
      </c>
      <c r="C2404" s="195">
        <v>7823</v>
      </c>
    </row>
    <row r="2405" spans="2:3" x14ac:dyDescent="0.25">
      <c r="B2405" s="193">
        <v>42249</v>
      </c>
      <c r="C2405" s="195">
        <v>7717</v>
      </c>
    </row>
    <row r="2406" spans="2:3" x14ac:dyDescent="0.25">
      <c r="B2406" s="193">
        <v>42248</v>
      </c>
      <c r="C2406" s="195">
        <v>7785.85</v>
      </c>
    </row>
    <row r="2407" spans="2:3" x14ac:dyDescent="0.25">
      <c r="B2407" s="193">
        <v>42247</v>
      </c>
      <c r="C2407" s="195">
        <v>7971.3</v>
      </c>
    </row>
    <row r="2408" spans="2:3" x14ac:dyDescent="0.25">
      <c r="B2408" s="193">
        <v>42244</v>
      </c>
      <c r="C2408" s="195">
        <v>8001.95</v>
      </c>
    </row>
    <row r="2409" spans="2:3" x14ac:dyDescent="0.25">
      <c r="B2409" s="193">
        <v>42243</v>
      </c>
      <c r="C2409" s="195">
        <v>7948.95</v>
      </c>
    </row>
    <row r="2410" spans="2:3" x14ac:dyDescent="0.25">
      <c r="B2410" s="193">
        <v>42242</v>
      </c>
      <c r="C2410" s="195">
        <v>7791.85</v>
      </c>
    </row>
    <row r="2411" spans="2:3" x14ac:dyDescent="0.25">
      <c r="B2411" s="193">
        <v>42241</v>
      </c>
      <c r="C2411" s="195">
        <v>7880.7</v>
      </c>
    </row>
    <row r="2412" spans="2:3" x14ac:dyDescent="0.25">
      <c r="B2412" s="193">
        <v>42240</v>
      </c>
      <c r="C2412" s="195">
        <v>7809</v>
      </c>
    </row>
    <row r="2413" spans="2:3" x14ac:dyDescent="0.25">
      <c r="B2413" s="193">
        <v>42237</v>
      </c>
      <c r="C2413" s="195">
        <v>8299.9500000000007</v>
      </c>
    </row>
    <row r="2414" spans="2:3" x14ac:dyDescent="0.25">
      <c r="B2414" s="193">
        <v>42236</v>
      </c>
      <c r="C2414" s="195">
        <v>8372.75</v>
      </c>
    </row>
    <row r="2415" spans="2:3" x14ac:dyDescent="0.25">
      <c r="B2415" s="193">
        <v>42235</v>
      </c>
      <c r="C2415" s="195">
        <v>8495.15</v>
      </c>
    </row>
    <row r="2416" spans="2:3" x14ac:dyDescent="0.25">
      <c r="B2416" s="193">
        <v>42234</v>
      </c>
      <c r="C2416" s="195">
        <v>8466.5499999999993</v>
      </c>
    </row>
    <row r="2417" spans="2:3" x14ac:dyDescent="0.25">
      <c r="B2417" s="193">
        <v>42233</v>
      </c>
      <c r="C2417" s="195">
        <v>8477.2999999999993</v>
      </c>
    </row>
    <row r="2418" spans="2:3" x14ac:dyDescent="0.25">
      <c r="B2418" s="193">
        <v>42230</v>
      </c>
      <c r="C2418" s="195">
        <v>8518.5499999999993</v>
      </c>
    </row>
    <row r="2419" spans="2:3" x14ac:dyDescent="0.25">
      <c r="B2419" s="193">
        <v>42229</v>
      </c>
      <c r="C2419" s="195">
        <v>8355.85</v>
      </c>
    </row>
    <row r="2420" spans="2:3" x14ac:dyDescent="0.25">
      <c r="B2420" s="193">
        <v>42228</v>
      </c>
      <c r="C2420" s="195">
        <v>8349.4500000000007</v>
      </c>
    </row>
    <row r="2421" spans="2:3" x14ac:dyDescent="0.25">
      <c r="B2421" s="193">
        <v>42227</v>
      </c>
      <c r="C2421" s="195">
        <v>8462.35</v>
      </c>
    </row>
    <row r="2422" spans="2:3" x14ac:dyDescent="0.25">
      <c r="B2422" s="193">
        <v>42226</v>
      </c>
      <c r="C2422" s="195">
        <v>8525.6</v>
      </c>
    </row>
    <row r="2423" spans="2:3" x14ac:dyDescent="0.25">
      <c r="B2423" s="193">
        <v>42223</v>
      </c>
      <c r="C2423" s="195">
        <v>8564.6</v>
      </c>
    </row>
    <row r="2424" spans="2:3" x14ac:dyDescent="0.25">
      <c r="B2424" s="193">
        <v>42222</v>
      </c>
      <c r="C2424" s="195">
        <v>8588.65</v>
      </c>
    </row>
    <row r="2425" spans="2:3" x14ac:dyDescent="0.25">
      <c r="B2425" s="193">
        <v>42221</v>
      </c>
      <c r="C2425" s="195">
        <v>8567.9500000000007</v>
      </c>
    </row>
    <row r="2426" spans="2:3" x14ac:dyDescent="0.25">
      <c r="B2426" s="193">
        <v>42220</v>
      </c>
      <c r="C2426" s="195">
        <v>8516.9</v>
      </c>
    </row>
    <row r="2427" spans="2:3" x14ac:dyDescent="0.25">
      <c r="B2427" s="193">
        <v>42219</v>
      </c>
      <c r="C2427" s="195">
        <v>8543.0499999999993</v>
      </c>
    </row>
    <row r="2428" spans="2:3" x14ac:dyDescent="0.25">
      <c r="B2428" s="193">
        <v>42216</v>
      </c>
      <c r="C2428" s="195">
        <v>8532.85</v>
      </c>
    </row>
    <row r="2429" spans="2:3" x14ac:dyDescent="0.25">
      <c r="B2429" s="193">
        <v>42215</v>
      </c>
      <c r="C2429" s="195">
        <v>8421.7999999999993</v>
      </c>
    </row>
    <row r="2430" spans="2:3" x14ac:dyDescent="0.25">
      <c r="B2430" s="193">
        <v>42214</v>
      </c>
      <c r="C2430" s="195">
        <v>8375.0499999999993</v>
      </c>
    </row>
    <row r="2431" spans="2:3" x14ac:dyDescent="0.25">
      <c r="B2431" s="193">
        <v>42213</v>
      </c>
      <c r="C2431" s="195">
        <v>8337</v>
      </c>
    </row>
    <row r="2432" spans="2:3" x14ac:dyDescent="0.25">
      <c r="B2432" s="193">
        <v>42212</v>
      </c>
      <c r="C2432" s="195">
        <v>8361</v>
      </c>
    </row>
    <row r="2433" spans="2:3" x14ac:dyDescent="0.25">
      <c r="B2433" s="193">
        <v>42209</v>
      </c>
      <c r="C2433" s="195">
        <v>8521.5499999999993</v>
      </c>
    </row>
    <row r="2434" spans="2:3" x14ac:dyDescent="0.25">
      <c r="B2434" s="193">
        <v>42208</v>
      </c>
      <c r="C2434" s="195">
        <v>8589.7999999999993</v>
      </c>
    </row>
    <row r="2435" spans="2:3" x14ac:dyDescent="0.25">
      <c r="B2435" s="193">
        <v>42207</v>
      </c>
      <c r="C2435" s="195">
        <v>8633.5</v>
      </c>
    </row>
    <row r="2436" spans="2:3" x14ac:dyDescent="0.25">
      <c r="B2436" s="193">
        <v>42206</v>
      </c>
      <c r="C2436" s="195">
        <v>8529.4500000000007</v>
      </c>
    </row>
    <row r="2437" spans="2:3" x14ac:dyDescent="0.25">
      <c r="B2437" s="193">
        <v>42205</v>
      </c>
      <c r="C2437" s="195">
        <v>8603.4500000000007</v>
      </c>
    </row>
    <row r="2438" spans="2:3" x14ac:dyDescent="0.25">
      <c r="B2438" s="193">
        <v>42202</v>
      </c>
      <c r="C2438" s="195">
        <v>8609.85</v>
      </c>
    </row>
    <row r="2439" spans="2:3" x14ac:dyDescent="0.25">
      <c r="B2439" s="193">
        <v>42201</v>
      </c>
      <c r="C2439" s="195">
        <v>8608.0499999999993</v>
      </c>
    </row>
    <row r="2440" spans="2:3" x14ac:dyDescent="0.25">
      <c r="B2440" s="193">
        <v>42200</v>
      </c>
      <c r="C2440" s="195">
        <v>8523.7999999999993</v>
      </c>
    </row>
    <row r="2441" spans="2:3" x14ac:dyDescent="0.25">
      <c r="B2441" s="193">
        <v>42199</v>
      </c>
      <c r="C2441" s="195">
        <v>8454.1</v>
      </c>
    </row>
    <row r="2442" spans="2:3" x14ac:dyDescent="0.25">
      <c r="B2442" s="193">
        <v>42198</v>
      </c>
      <c r="C2442" s="195">
        <v>8459.65</v>
      </c>
    </row>
    <row r="2443" spans="2:3" x14ac:dyDescent="0.25">
      <c r="B2443" s="193">
        <v>42195</v>
      </c>
      <c r="C2443" s="195">
        <v>8360.5499999999993</v>
      </c>
    </row>
    <row r="2444" spans="2:3" x14ac:dyDescent="0.25">
      <c r="B2444" s="193">
        <v>42194</v>
      </c>
      <c r="C2444" s="195">
        <v>8328.5499999999993</v>
      </c>
    </row>
    <row r="2445" spans="2:3" x14ac:dyDescent="0.25">
      <c r="B2445" s="193">
        <v>42193</v>
      </c>
      <c r="C2445" s="195">
        <v>8363.0499999999993</v>
      </c>
    </row>
    <row r="2446" spans="2:3" x14ac:dyDescent="0.25">
      <c r="B2446" s="193">
        <v>42192</v>
      </c>
      <c r="C2446" s="195">
        <v>8510.7999999999993</v>
      </c>
    </row>
    <row r="2447" spans="2:3" x14ac:dyDescent="0.25">
      <c r="B2447" s="193">
        <v>42191</v>
      </c>
      <c r="C2447" s="195">
        <v>8522.15</v>
      </c>
    </row>
    <row r="2448" spans="2:3" x14ac:dyDescent="0.25">
      <c r="B2448" s="193">
        <v>42188</v>
      </c>
      <c r="C2448" s="195">
        <v>8484.9</v>
      </c>
    </row>
    <row r="2449" spans="2:3" x14ac:dyDescent="0.25">
      <c r="B2449" s="193">
        <v>42187</v>
      </c>
      <c r="C2449" s="195">
        <v>8444.9</v>
      </c>
    </row>
    <row r="2450" spans="2:3" x14ac:dyDescent="0.25">
      <c r="B2450" s="193">
        <v>42186</v>
      </c>
      <c r="C2450" s="195">
        <v>8453.0499999999993</v>
      </c>
    </row>
    <row r="2451" spans="2:3" x14ac:dyDescent="0.25">
      <c r="B2451" s="193">
        <v>42185</v>
      </c>
      <c r="C2451" s="195">
        <v>8368.5</v>
      </c>
    </row>
    <row r="2452" spans="2:3" x14ac:dyDescent="0.25">
      <c r="B2452" s="193">
        <v>42184</v>
      </c>
      <c r="C2452" s="195">
        <v>8318.4</v>
      </c>
    </row>
    <row r="2453" spans="2:3" x14ac:dyDescent="0.25">
      <c r="B2453" s="193">
        <v>42181</v>
      </c>
      <c r="C2453" s="195">
        <v>8381.1</v>
      </c>
    </row>
    <row r="2454" spans="2:3" x14ac:dyDescent="0.25">
      <c r="B2454" s="193">
        <v>42180</v>
      </c>
      <c r="C2454" s="195">
        <v>8398</v>
      </c>
    </row>
    <row r="2455" spans="2:3" x14ac:dyDescent="0.25">
      <c r="B2455" s="193">
        <v>42179</v>
      </c>
      <c r="C2455" s="195">
        <v>8360.85</v>
      </c>
    </row>
    <row r="2456" spans="2:3" x14ac:dyDescent="0.25">
      <c r="B2456" s="193">
        <v>42178</v>
      </c>
      <c r="C2456" s="195">
        <v>8381.5499999999993</v>
      </c>
    </row>
    <row r="2457" spans="2:3" x14ac:dyDescent="0.25">
      <c r="B2457" s="193">
        <v>42177</v>
      </c>
      <c r="C2457" s="195">
        <v>8353.1</v>
      </c>
    </row>
    <row r="2458" spans="2:3" x14ac:dyDescent="0.25">
      <c r="B2458" s="193">
        <v>42174</v>
      </c>
      <c r="C2458" s="195">
        <v>8224.9500000000007</v>
      </c>
    </row>
    <row r="2459" spans="2:3" x14ac:dyDescent="0.25">
      <c r="B2459" s="193">
        <v>42173</v>
      </c>
      <c r="C2459" s="195">
        <v>8174.6</v>
      </c>
    </row>
    <row r="2460" spans="2:3" x14ac:dyDescent="0.25">
      <c r="B2460" s="193">
        <v>42172</v>
      </c>
      <c r="C2460" s="195">
        <v>8091.55</v>
      </c>
    </row>
    <row r="2461" spans="2:3" x14ac:dyDescent="0.25">
      <c r="B2461" s="193">
        <v>42171</v>
      </c>
      <c r="C2461" s="195">
        <v>8047.3</v>
      </c>
    </row>
    <row r="2462" spans="2:3" x14ac:dyDescent="0.25">
      <c r="B2462" s="193">
        <v>42170</v>
      </c>
      <c r="C2462" s="195">
        <v>8013.9</v>
      </c>
    </row>
    <row r="2463" spans="2:3" x14ac:dyDescent="0.25">
      <c r="B2463" s="193">
        <v>42167</v>
      </c>
      <c r="C2463" s="195">
        <v>7982.9</v>
      </c>
    </row>
    <row r="2464" spans="2:3" x14ac:dyDescent="0.25">
      <c r="B2464" s="193">
        <v>42166</v>
      </c>
      <c r="C2464" s="195">
        <v>7965.35</v>
      </c>
    </row>
    <row r="2465" spans="2:3" x14ac:dyDescent="0.25">
      <c r="B2465" s="193">
        <v>42165</v>
      </c>
      <c r="C2465" s="195">
        <v>8124.45</v>
      </c>
    </row>
    <row r="2466" spans="2:3" x14ac:dyDescent="0.25">
      <c r="B2466" s="193">
        <v>42164</v>
      </c>
      <c r="C2466" s="195">
        <v>8022.4</v>
      </c>
    </row>
    <row r="2467" spans="2:3" x14ac:dyDescent="0.25">
      <c r="B2467" s="193">
        <v>42163</v>
      </c>
      <c r="C2467" s="195">
        <v>8044.15</v>
      </c>
    </row>
    <row r="2468" spans="2:3" x14ac:dyDescent="0.25">
      <c r="B2468" s="193">
        <v>42160</v>
      </c>
      <c r="C2468" s="195">
        <v>8114.7</v>
      </c>
    </row>
    <row r="2469" spans="2:3" x14ac:dyDescent="0.25">
      <c r="B2469" s="193">
        <v>42159</v>
      </c>
      <c r="C2469" s="195">
        <v>8130.65</v>
      </c>
    </row>
    <row r="2470" spans="2:3" x14ac:dyDescent="0.25">
      <c r="B2470" s="193">
        <v>42158</v>
      </c>
      <c r="C2470" s="195">
        <v>8135.1</v>
      </c>
    </row>
    <row r="2471" spans="2:3" x14ac:dyDescent="0.25">
      <c r="B2471" s="193">
        <v>42157</v>
      </c>
      <c r="C2471" s="195">
        <v>8236.4500000000007</v>
      </c>
    </row>
    <row r="2472" spans="2:3" x14ac:dyDescent="0.25">
      <c r="B2472" s="193">
        <v>42156</v>
      </c>
      <c r="C2472" s="195">
        <v>8433.4</v>
      </c>
    </row>
    <row r="2473" spans="2:3" x14ac:dyDescent="0.25">
      <c r="B2473" s="193">
        <v>42153</v>
      </c>
      <c r="C2473" s="195">
        <v>8433.65</v>
      </c>
    </row>
    <row r="2474" spans="2:3" x14ac:dyDescent="0.25">
      <c r="B2474" s="193">
        <v>42152</v>
      </c>
      <c r="C2474" s="195">
        <v>8319</v>
      </c>
    </row>
    <row r="2475" spans="2:3" x14ac:dyDescent="0.25">
      <c r="B2475" s="193">
        <v>42151</v>
      </c>
      <c r="C2475" s="195">
        <v>8334.6</v>
      </c>
    </row>
    <row r="2476" spans="2:3" x14ac:dyDescent="0.25">
      <c r="B2476" s="193">
        <v>42150</v>
      </c>
      <c r="C2476" s="195">
        <v>8339.35</v>
      </c>
    </row>
    <row r="2477" spans="2:3" x14ac:dyDescent="0.25">
      <c r="B2477" s="193">
        <v>42149</v>
      </c>
      <c r="C2477" s="195">
        <v>8370.25</v>
      </c>
    </row>
    <row r="2478" spans="2:3" x14ac:dyDescent="0.25">
      <c r="B2478" s="193">
        <v>42146</v>
      </c>
      <c r="C2478" s="195">
        <v>8458.9500000000007</v>
      </c>
    </row>
    <row r="2479" spans="2:3" x14ac:dyDescent="0.25">
      <c r="B2479" s="193">
        <v>42145</v>
      </c>
      <c r="C2479" s="195">
        <v>8421</v>
      </c>
    </row>
    <row r="2480" spans="2:3" x14ac:dyDescent="0.25">
      <c r="B2480" s="193">
        <v>42144</v>
      </c>
      <c r="C2480" s="195">
        <v>8423.25</v>
      </c>
    </row>
    <row r="2481" spans="2:7" x14ac:dyDescent="0.25">
      <c r="B2481" s="193">
        <v>42143</v>
      </c>
      <c r="C2481" s="195">
        <v>8365.65</v>
      </c>
    </row>
    <row r="2482" spans="2:7" x14ac:dyDescent="0.25">
      <c r="B2482" s="193">
        <v>42142</v>
      </c>
      <c r="C2482" s="195">
        <v>8373.65</v>
      </c>
    </row>
    <row r="2483" spans="2:7" x14ac:dyDescent="0.25">
      <c r="B2483" s="193">
        <v>42139</v>
      </c>
      <c r="C2483" s="195">
        <v>8262.35</v>
      </c>
    </row>
    <row r="2484" spans="2:7" x14ac:dyDescent="0.25">
      <c r="B2484" s="193">
        <v>42138</v>
      </c>
      <c r="C2484" s="195">
        <v>8224.2000000000007</v>
      </c>
    </row>
    <row r="2485" spans="2:7" x14ac:dyDescent="0.25">
      <c r="B2485" s="198">
        <v>42137</v>
      </c>
      <c r="C2485" s="205">
        <v>8235.4500000000007</v>
      </c>
    </row>
    <row r="2487" spans="2:7" x14ac:dyDescent="0.25">
      <c r="B2487" s="39"/>
      <c r="C2487" s="39"/>
      <c r="D2487" s="39"/>
      <c r="E2487" s="39"/>
      <c r="F2487" s="39"/>
      <c r="G2487" s="39"/>
    </row>
  </sheetData>
  <mergeCells count="1">
    <mergeCell ref="B6:G6"/>
  </mergeCells>
  <pageMargins left="0.7" right="0.7" top="0.75" bottom="0.75" header="0.3" footer="0.3"/>
  <pageSetup orientation="portrait" horizontalDpi="300" verticalDpi="0" copies="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2B6D-4B7D-4AB6-B1D1-231DFF6E77B0}">
  <dimension ref="B5:R89"/>
  <sheetViews>
    <sheetView showGridLines="0" topLeftCell="A49" workbookViewId="0">
      <selection activeCell="D15" sqref="D15"/>
    </sheetView>
  </sheetViews>
  <sheetFormatPr defaultRowHeight="15" x14ac:dyDescent="0.25"/>
  <cols>
    <col min="1" max="1" width="0.85546875" customWidth="1"/>
    <col min="2" max="2" width="36" customWidth="1"/>
    <col min="3" max="3" width="23.5703125" bestFit="1" customWidth="1"/>
    <col min="4" max="4" width="15.42578125" customWidth="1"/>
    <col min="5" max="5" width="14.140625" customWidth="1"/>
    <col min="6" max="6" width="13" customWidth="1"/>
    <col min="7" max="8" width="13.85546875" bestFit="1" customWidth="1"/>
    <col min="9" max="9" width="13" bestFit="1" customWidth="1"/>
    <col min="10" max="15" width="13.85546875" bestFit="1" customWidth="1"/>
    <col min="16" max="16" width="14.42578125" bestFit="1" customWidth="1"/>
    <col min="17" max="17" width="14.28515625" bestFit="1" customWidth="1"/>
  </cols>
  <sheetData>
    <row r="5" spans="2:17" x14ac:dyDescent="0.25">
      <c r="Q5" t="s">
        <v>259</v>
      </c>
    </row>
    <row r="6" spans="2:17" ht="18" x14ac:dyDescent="0.25">
      <c r="B6" s="303" t="s">
        <v>151</v>
      </c>
      <c r="C6" s="303"/>
      <c r="D6" s="303"/>
      <c r="E6" s="303"/>
      <c r="F6" s="303"/>
      <c r="G6" s="303"/>
      <c r="H6" s="303"/>
      <c r="I6" s="303"/>
      <c r="J6" s="303"/>
      <c r="K6" s="303"/>
      <c r="L6" s="303"/>
      <c r="M6" s="303"/>
      <c r="N6" s="303"/>
      <c r="O6" s="303"/>
      <c r="P6" s="303"/>
      <c r="Q6" s="303"/>
    </row>
    <row r="7" spans="2:17" x14ac:dyDescent="0.25">
      <c r="B7" s="306" t="s">
        <v>63</v>
      </c>
      <c r="C7" s="7"/>
      <c r="D7" s="8">
        <v>2021</v>
      </c>
      <c r="E7" s="8">
        <v>2022</v>
      </c>
      <c r="F7" s="8">
        <v>2023</v>
      </c>
      <c r="G7" s="8">
        <v>2024</v>
      </c>
      <c r="H7" s="2">
        <f>G7+1</f>
        <v>2025</v>
      </c>
      <c r="I7" s="2">
        <f t="shared" ref="I7:Q7" si="0">H7+1</f>
        <v>2026</v>
      </c>
      <c r="J7" s="2">
        <f t="shared" si="0"/>
        <v>2027</v>
      </c>
      <c r="K7" s="2">
        <f t="shared" si="0"/>
        <v>2028</v>
      </c>
      <c r="L7" s="2">
        <f t="shared" si="0"/>
        <v>2029</v>
      </c>
      <c r="M7" s="2">
        <f t="shared" si="0"/>
        <v>2030</v>
      </c>
      <c r="N7" s="2">
        <f t="shared" si="0"/>
        <v>2031</v>
      </c>
      <c r="O7" s="2">
        <f t="shared" si="0"/>
        <v>2032</v>
      </c>
      <c r="P7" s="2">
        <f t="shared" si="0"/>
        <v>2033</v>
      </c>
      <c r="Q7" s="105">
        <f t="shared" si="0"/>
        <v>2034</v>
      </c>
    </row>
    <row r="8" spans="2:17" x14ac:dyDescent="0.25">
      <c r="B8" s="305"/>
      <c r="C8" s="9"/>
      <c r="D8" s="3" t="s">
        <v>62</v>
      </c>
      <c r="E8" s="3" t="s">
        <v>62</v>
      </c>
      <c r="F8" s="3" t="s">
        <v>62</v>
      </c>
      <c r="G8" s="3" t="s">
        <v>62</v>
      </c>
      <c r="H8" s="90" t="s">
        <v>261</v>
      </c>
      <c r="I8" s="90" t="s">
        <v>261</v>
      </c>
      <c r="J8" s="90" t="s">
        <v>261</v>
      </c>
      <c r="K8" s="90" t="s">
        <v>261</v>
      </c>
      <c r="L8" s="90" t="s">
        <v>261</v>
      </c>
      <c r="M8" s="90" t="s">
        <v>261</v>
      </c>
      <c r="N8" s="90" t="s">
        <v>261</v>
      </c>
      <c r="O8" s="90" t="s">
        <v>261</v>
      </c>
      <c r="P8" s="90" t="s">
        <v>261</v>
      </c>
      <c r="Q8" s="106" t="s">
        <v>261</v>
      </c>
    </row>
    <row r="9" spans="2:17" x14ac:dyDescent="0.25">
      <c r="B9" s="130"/>
      <c r="Q9" s="17"/>
    </row>
    <row r="10" spans="2:17" x14ac:dyDescent="0.25">
      <c r="B10" s="59" t="s">
        <v>11</v>
      </c>
      <c r="C10" s="1"/>
      <c r="D10" s="169">
        <f>'Income Statement'!D30</f>
        <v>14314.590000000004</v>
      </c>
      <c r="E10" s="169">
        <f>'Income Statement'!E30</f>
        <v>16560.599999999995</v>
      </c>
      <c r="F10" s="212">
        <f>'Income Statement'!F30</f>
        <v>20494.439999999991</v>
      </c>
      <c r="G10" s="169">
        <f>'Income Statement'!G30</f>
        <v>28951.7</v>
      </c>
      <c r="H10" s="148">
        <f>'Income Statement'!H30</f>
        <v>25089.606280781441</v>
      </c>
      <c r="I10" s="148">
        <f>'Income Statement'!I30</f>
        <v>28118.698781058014</v>
      </c>
      <c r="J10" s="148">
        <f>'Income Statement'!J30</f>
        <v>31513.174080711779</v>
      </c>
      <c r="K10" s="148">
        <f>'Income Statement'!K30</f>
        <v>35317.104690077875</v>
      </c>
      <c r="L10" s="148">
        <f>'Income Statement'!L30</f>
        <v>39579.879142105856</v>
      </c>
      <c r="M10" s="148">
        <f>'Income Statement'!M30</f>
        <v>44356.843210534942</v>
      </c>
      <c r="N10" s="148">
        <f>'Income Statement'!N30</f>
        <v>49710.018471748626</v>
      </c>
      <c r="O10" s="148">
        <f>'Income Statement'!O30</f>
        <v>55708.907539495987</v>
      </c>
      <c r="P10" s="148">
        <f>'Income Statement'!P30</f>
        <v>62431.396426953281</v>
      </c>
      <c r="Q10" s="154">
        <f>'Income Statement'!Q30</f>
        <v>69964.765751616971</v>
      </c>
    </row>
    <row r="11" spans="2:17" x14ac:dyDescent="0.25">
      <c r="B11" s="59" t="s">
        <v>66</v>
      </c>
      <c r="C11" s="1"/>
      <c r="D11" s="289">
        <f>'Cost Build Up'!D42</f>
        <v>0.22276821289121376</v>
      </c>
      <c r="E11" s="289">
        <f>'Cost Build Up'!E42</f>
        <v>0.19265711116098827</v>
      </c>
      <c r="F11" s="289">
        <f>'Cost Build Up'!F42</f>
        <v>0.19648545403653997</v>
      </c>
      <c r="G11" s="289">
        <f>'Cost Build Up'!G42</f>
        <v>0.21238823737718501</v>
      </c>
      <c r="H11" s="256">
        <f>'Cost Build Up'!H42</f>
        <v>0.21738823737718502</v>
      </c>
      <c r="I11" s="256">
        <f>'Cost Build Up'!I42</f>
        <v>0.21738823737718502</v>
      </c>
      <c r="J11" s="256">
        <f>'Cost Build Up'!J42</f>
        <v>0.22238823737718502</v>
      </c>
      <c r="K11" s="256">
        <f>'Cost Build Up'!K42</f>
        <v>0.22238823737718502</v>
      </c>
      <c r="L11" s="256">
        <f>'Cost Build Up'!L42</f>
        <v>0.22738823737718503</v>
      </c>
      <c r="M11" s="256">
        <f>'Cost Build Up'!M42</f>
        <v>0.22738823737718503</v>
      </c>
      <c r="N11" s="256">
        <f>'Cost Build Up'!N42</f>
        <v>0.23238823737718503</v>
      </c>
      <c r="O11" s="256">
        <f>'Cost Build Up'!O42</f>
        <v>0.23238823737718503</v>
      </c>
      <c r="P11" s="256">
        <f>'Cost Build Up'!P42</f>
        <v>0.23738823737718504</v>
      </c>
      <c r="Q11" s="290">
        <f>'Cost Build Up'!Q42</f>
        <v>0.23738823737718504</v>
      </c>
    </row>
    <row r="12" spans="2:17" x14ac:dyDescent="0.25">
      <c r="B12" s="76" t="s">
        <v>286</v>
      </c>
      <c r="C12" s="163"/>
      <c r="D12" s="157">
        <f>D10*(1-D11)</f>
        <v>11125.754367429563</v>
      </c>
      <c r="E12" s="157">
        <f t="shared" ref="E12:Q12" si="1">E10*(1-E11)</f>
        <v>13370.082644907334</v>
      </c>
      <c r="F12" s="157">
        <f t="shared" si="1"/>
        <v>16467.580651375367</v>
      </c>
      <c r="G12" s="157">
        <f t="shared" si="1"/>
        <v>22802.699467926952</v>
      </c>
      <c r="H12" s="157">
        <f t="shared" si="1"/>
        <v>19635.420994914813</v>
      </c>
      <c r="I12" s="157">
        <f t="shared" si="1"/>
        <v>22006.024415703811</v>
      </c>
      <c r="J12" s="157">
        <f t="shared" si="1"/>
        <v>24505.014842741894</v>
      </c>
      <c r="K12" s="157">
        <f t="shared" si="1"/>
        <v>27462.996028785939</v>
      </c>
      <c r="L12" s="157">
        <f t="shared" si="1"/>
        <v>30579.880188380394</v>
      </c>
      <c r="M12" s="157">
        <f t="shared" si="1"/>
        <v>34270.618817275245</v>
      </c>
      <c r="N12" s="157">
        <f t="shared" si="1"/>
        <v>38157.994899111654</v>
      </c>
      <c r="O12" s="157">
        <f t="shared" si="1"/>
        <v>42762.812710183942</v>
      </c>
      <c r="P12" s="157">
        <f t="shared" si="1"/>
        <v>47610.917272162551</v>
      </c>
      <c r="Q12" s="158">
        <f t="shared" si="1"/>
        <v>53355.953331332974</v>
      </c>
    </row>
    <row r="13" spans="2:17" x14ac:dyDescent="0.25">
      <c r="B13" s="59" t="s">
        <v>148</v>
      </c>
      <c r="C13" s="11"/>
      <c r="D13" s="169">
        <f>'Income Statement'!D28</f>
        <v>10.86</v>
      </c>
      <c r="E13" s="169">
        <f>'Income Statement'!E28</f>
        <v>18.239999999999995</v>
      </c>
      <c r="F13" s="212">
        <f>'Income Statement'!F28</f>
        <v>24.259999999999998</v>
      </c>
      <c r="G13" s="169">
        <f>'Income Statement'!G28</f>
        <v>23.98</v>
      </c>
      <c r="H13" s="148">
        <f>'Income Statement'!H28</f>
        <v>24.099899999999998</v>
      </c>
      <c r="I13" s="148">
        <f>'Income Statement'!I28</f>
        <v>24.220399499999992</v>
      </c>
      <c r="J13" s="148">
        <f>'Income Statement'!J28</f>
        <v>24.341501497499998</v>
      </c>
      <c r="K13" s="148">
        <f>'Income Statement'!K28</f>
        <v>24.463209004987487</v>
      </c>
      <c r="L13" s="148">
        <f>'Income Statement'!L28</f>
        <v>24.585525050012421</v>
      </c>
      <c r="M13" s="148">
        <f>'Income Statement'!M28</f>
        <v>24.708452675262485</v>
      </c>
      <c r="N13" s="148">
        <f>'Income Statement'!N28</f>
        <v>24.831994938638797</v>
      </c>
      <c r="O13" s="148">
        <f>'Income Statement'!O28</f>
        <v>24.956154913331982</v>
      </c>
      <c r="P13" s="148">
        <f>'Income Statement'!P28</f>
        <v>25.080935687898641</v>
      </c>
      <c r="Q13" s="154">
        <f>'Income Statement'!Q28</f>
        <v>25.206340366338129</v>
      </c>
    </row>
    <row r="14" spans="2:17" x14ac:dyDescent="0.25">
      <c r="B14" s="59" t="s">
        <v>149</v>
      </c>
      <c r="D14" s="169">
        <f>SUM('Cash Flow Statement'!D52:D53)</f>
        <v>159.96999999999997</v>
      </c>
      <c r="E14" s="169">
        <f>SUM('Cash Flow Statement'!E52:E53)</f>
        <v>50.109999999999957</v>
      </c>
      <c r="F14" s="169">
        <f>SUM('Cash Flow Statement'!F52:F53)</f>
        <v>33.390000000000015</v>
      </c>
      <c r="G14" s="169">
        <f>SUM('Cash Flow Statement'!G52:G53)</f>
        <v>35.550000000000047</v>
      </c>
      <c r="H14" s="148">
        <f>SUM('Cash Flow Statement'!H52:H53)</f>
        <v>35.747800000000083</v>
      </c>
      <c r="I14" s="148">
        <f>SUM('Cash Flow Statement'!I52:I53)</f>
        <v>35.916488999999856</v>
      </c>
      <c r="J14" s="148">
        <f>SUM('Cash Flow Statement'!J52:J53)</f>
        <v>36.096071445000014</v>
      </c>
      <c r="K14" s="148">
        <f>SUM('Cash Flow Statement'!K52:K53)</f>
        <v>36.276551802224915</v>
      </c>
      <c r="L14" s="148">
        <f>SUM('Cash Flow Statement'!L52:L53)</f>
        <v>36.457934561236144</v>
      </c>
      <c r="M14" s="148">
        <f>SUM('Cash Flow Statement'!M52:M53)</f>
        <v>36.640224234042101</v>
      </c>
      <c r="N14" s="148">
        <f>SUM('Cash Flow Statement'!N52:N53)</f>
        <v>36.823425355212621</v>
      </c>
      <c r="O14" s="148">
        <f>SUM('Cash Flow Statement'!O52:O53)</f>
        <v>37.007542481988608</v>
      </c>
      <c r="P14" s="148">
        <f>SUM('Cash Flow Statement'!P52:P53)</f>
        <v>37.192580194398559</v>
      </c>
      <c r="Q14" s="154">
        <f>SUM('Cash Flow Statement'!Q52:Q53)</f>
        <v>37.378543095370347</v>
      </c>
    </row>
    <row r="15" spans="2:17" x14ac:dyDescent="0.25">
      <c r="B15" s="59" t="s">
        <v>150</v>
      </c>
      <c r="D15" s="169">
        <f>SUM('Cash Flow Statement'!D19:D25)-SUM('Cash Flow Statement'!D35:D38,'Cash Flow Statement'!D40:D41)</f>
        <v>-9114.1600000000108</v>
      </c>
      <c r="E15" s="169">
        <f>SUM('Cash Flow Statement'!E19:E25)-SUM('Cash Flow Statement'!E35:E38,'Cash Flow Statement'!E40:E41)</f>
        <v>-7320.9099999999926</v>
      </c>
      <c r="F15" s="169">
        <f>SUM('Cash Flow Statement'!F19:F25)-SUM('Cash Flow Statement'!F35:F38,'Cash Flow Statement'!F40:F41)</f>
        <v>-5838.1799999999785</v>
      </c>
      <c r="G15" s="169">
        <f>SUM('Cash Flow Statement'!G19:G25)-SUM('Cash Flow Statement'!G35:G38,'Cash Flow Statement'!G40:G41)</f>
        <v>-9464.1200000000099</v>
      </c>
      <c r="H15" s="148">
        <f>SUM('Cash Flow Statement'!H19:H25)-SUM('Cash Flow Statement'!H35:H38,'Cash Flow Statement'!H40:H41)</f>
        <v>616.05798952098849</v>
      </c>
      <c r="I15" s="148">
        <f>SUM('Cash Flow Statement'!I19:I25)-SUM('Cash Flow Statement'!I35:I38,'Cash Flow Statement'!I40:I41)</f>
        <v>-6911.5512872189065</v>
      </c>
      <c r="J15" s="148">
        <f>SUM('Cash Flow Statement'!J19:J25)-SUM('Cash Flow Statement'!J35:J38,'Cash Flow Statement'!J40:J41)</f>
        <v>-7745.2219870811532</v>
      </c>
      <c r="K15" s="148">
        <f>SUM('Cash Flow Statement'!K19:K25)-SUM('Cash Flow Statement'!K35:K38,'Cash Flow Statement'!K40:K41)</f>
        <v>-8679.4499724102498</v>
      </c>
      <c r="L15" s="148">
        <f>SUM('Cash Flow Statement'!L19:L25)-SUM('Cash Flow Statement'!L35:L38,'Cash Flow Statement'!L40:L41)</f>
        <v>-9726.3644540114765</v>
      </c>
      <c r="M15" s="148">
        <f>SUM('Cash Flow Statement'!M19:M25)-SUM('Cash Flow Statement'!M35:M38,'Cash Flow Statement'!M40:M41)</f>
        <v>-10899.557667014931</v>
      </c>
      <c r="N15" s="148">
        <f>SUM('Cash Flow Statement'!N19:N25)-SUM('Cash Flow Statement'!N35:N38,'Cash Flow Statement'!N40:N41)</f>
        <v>-12214.261340740268</v>
      </c>
      <c r="O15" s="148">
        <f>SUM('Cash Flow Statement'!O19:O25)-SUM('Cash Flow Statement'!O35:O38,'Cash Flow Statement'!O40:O41)</f>
        <v>-13687.544454339717</v>
      </c>
      <c r="P15" s="148">
        <f>SUM('Cash Flow Statement'!P19:P25)-SUM('Cash Flow Statement'!P35:P38,'Cash Flow Statement'!P40:P41)</f>
        <v>-15338.534845707618</v>
      </c>
      <c r="Q15" s="148">
        <f>SUM('Cash Flow Statement'!Q19:Q25)-SUM('Cash Flow Statement'!Q35:Q38,'Cash Flow Statement'!Q40:Q41)</f>
        <v>-17188.667550839687</v>
      </c>
    </row>
    <row r="16" spans="2:17" x14ac:dyDescent="0.25">
      <c r="B16" s="76" t="s">
        <v>151</v>
      </c>
      <c r="C16" s="163"/>
      <c r="D16" s="157">
        <f>D12+D13-D14-D15</f>
        <v>20090.804367429577</v>
      </c>
      <c r="E16" s="157">
        <f t="shared" ref="E16:Q16" si="2">E12+E13-E14-E15</f>
        <v>20659.122644907326</v>
      </c>
      <c r="F16" s="157">
        <f t="shared" si="2"/>
        <v>22296.630651375344</v>
      </c>
      <c r="G16" s="157">
        <f t="shared" si="2"/>
        <v>32255.249467926962</v>
      </c>
      <c r="H16" s="157">
        <f t="shared" si="2"/>
        <v>19007.715105393825</v>
      </c>
      <c r="I16" s="157">
        <f t="shared" si="2"/>
        <v>28905.87961342272</v>
      </c>
      <c r="J16" s="157">
        <f t="shared" si="2"/>
        <v>32238.482259875545</v>
      </c>
      <c r="K16" s="157">
        <f t="shared" si="2"/>
        <v>36130.632658398958</v>
      </c>
      <c r="L16" s="157">
        <f t="shared" si="2"/>
        <v>40294.372232880647</v>
      </c>
      <c r="M16" s="157">
        <f t="shared" si="2"/>
        <v>45158.244712731401</v>
      </c>
      <c r="N16" s="157">
        <f t="shared" si="2"/>
        <v>50360.26480943535</v>
      </c>
      <c r="O16" s="157">
        <f t="shared" si="2"/>
        <v>56438.305776955</v>
      </c>
      <c r="P16" s="157">
        <f t="shared" si="2"/>
        <v>62937.340473363663</v>
      </c>
      <c r="Q16" s="158">
        <f t="shared" si="2"/>
        <v>70532.448679443623</v>
      </c>
    </row>
    <row r="17" spans="2:17" x14ac:dyDescent="0.25">
      <c r="D17" s="250"/>
      <c r="E17" s="250"/>
      <c r="F17" s="250"/>
      <c r="G17" s="250"/>
      <c r="H17" s="250"/>
      <c r="I17" s="250"/>
      <c r="J17" s="250"/>
      <c r="K17" s="250"/>
      <c r="L17" s="250"/>
      <c r="M17" s="250"/>
      <c r="N17" s="250"/>
      <c r="O17" s="250"/>
      <c r="P17" s="250"/>
      <c r="Q17" s="250"/>
    </row>
    <row r="18" spans="2:17" x14ac:dyDescent="0.25">
      <c r="D18" s="10"/>
      <c r="E18" s="10"/>
      <c r="F18" s="10"/>
      <c r="G18" s="10"/>
      <c r="H18" s="10"/>
      <c r="I18" s="10"/>
      <c r="J18" s="10"/>
      <c r="K18" s="10"/>
      <c r="L18" s="10"/>
      <c r="M18" s="10"/>
      <c r="N18" s="10"/>
      <c r="O18" s="10"/>
      <c r="P18" s="10"/>
      <c r="Q18" s="10"/>
    </row>
    <row r="19" spans="2:17" x14ac:dyDescent="0.25">
      <c r="D19" s="250"/>
      <c r="E19" s="6"/>
      <c r="F19" s="6"/>
      <c r="G19" s="6"/>
      <c r="H19" s="6"/>
      <c r="I19" s="6"/>
      <c r="J19" s="6"/>
      <c r="K19" s="6"/>
      <c r="L19" s="6"/>
      <c r="M19" s="6"/>
      <c r="N19" s="6"/>
      <c r="O19" s="6"/>
      <c r="P19" s="6"/>
      <c r="Q19" s="6"/>
    </row>
    <row r="20" spans="2:17" ht="18" x14ac:dyDescent="0.25">
      <c r="B20" s="303" t="s">
        <v>152</v>
      </c>
      <c r="C20" s="303"/>
      <c r="D20" s="250"/>
      <c r="E20" s="250"/>
      <c r="F20" s="250"/>
      <c r="G20" s="250"/>
      <c r="H20" s="250"/>
      <c r="I20" s="250"/>
      <c r="J20" s="250"/>
      <c r="K20" s="250"/>
      <c r="L20" s="250"/>
      <c r="M20" s="250"/>
      <c r="N20" s="250"/>
      <c r="O20" s="250"/>
      <c r="P20" s="250"/>
      <c r="Q20" s="250"/>
    </row>
    <row r="21" spans="2:17" x14ac:dyDescent="0.25">
      <c r="D21" s="250"/>
      <c r="E21" s="250"/>
      <c r="F21" s="250"/>
      <c r="G21" s="250"/>
      <c r="H21" s="250"/>
      <c r="I21" s="250"/>
      <c r="J21" s="250"/>
      <c r="K21" s="250"/>
      <c r="L21" s="250"/>
      <c r="M21" s="250"/>
      <c r="N21" s="250"/>
      <c r="O21" s="250"/>
      <c r="P21" s="250"/>
      <c r="Q21" s="250"/>
    </row>
    <row r="22" spans="2:17" x14ac:dyDescent="0.25">
      <c r="B22" s="27" t="s">
        <v>153</v>
      </c>
      <c r="C22" s="216">
        <v>7.0099999999999996E-2</v>
      </c>
      <c r="D22" s="257"/>
      <c r="E22" s="257"/>
      <c r="F22" s="257"/>
      <c r="G22" s="257"/>
      <c r="H22" s="257"/>
      <c r="I22" s="257"/>
      <c r="J22" s="257"/>
      <c r="K22" s="257"/>
      <c r="L22" s="257"/>
      <c r="M22" s="257"/>
      <c r="N22" s="257"/>
      <c r="O22" s="257"/>
      <c r="P22" s="257"/>
      <c r="Q22" s="257"/>
    </row>
    <row r="23" spans="2:17" x14ac:dyDescent="0.25">
      <c r="B23" s="27" t="s">
        <v>154</v>
      </c>
      <c r="C23" s="216">
        <f>'Equity Market Return'!G13</f>
        <v>0.11554357432114637</v>
      </c>
      <c r="D23" s="257"/>
      <c r="E23" s="257"/>
      <c r="F23" s="257"/>
      <c r="G23" s="257"/>
      <c r="H23" s="257"/>
      <c r="I23" s="257"/>
      <c r="J23" s="257"/>
      <c r="K23" s="257"/>
      <c r="L23" s="257"/>
      <c r="M23" s="257"/>
      <c r="N23" s="257"/>
      <c r="O23" s="257"/>
      <c r="P23" s="257"/>
      <c r="Q23" s="257"/>
    </row>
    <row r="24" spans="2:17" x14ac:dyDescent="0.25">
      <c r="B24" s="27" t="s">
        <v>143</v>
      </c>
      <c r="C24" s="217">
        <f>'Beta Calculation'!I12</f>
        <v>2.4710534589008302</v>
      </c>
      <c r="D24" s="27"/>
    </row>
    <row r="25" spans="2:17" x14ac:dyDescent="0.25">
      <c r="B25" s="27" t="s">
        <v>155</v>
      </c>
      <c r="C25" s="216">
        <f>C23-C22</f>
        <v>4.5443574321146374E-2</v>
      </c>
      <c r="D25" s="27"/>
    </row>
    <row r="26" spans="2:17" x14ac:dyDescent="0.25">
      <c r="B26" s="27"/>
      <c r="C26" s="218"/>
      <c r="D26" s="258"/>
    </row>
    <row r="27" spans="2:17" x14ac:dyDescent="0.25">
      <c r="B27" s="213" t="s">
        <v>152</v>
      </c>
      <c r="C27" s="221">
        <f>C22+C25*C24</f>
        <v>0.18239350151108569</v>
      </c>
      <c r="D27" s="27"/>
    </row>
    <row r="28" spans="2:17" x14ac:dyDescent="0.25">
      <c r="B28" s="27"/>
      <c r="C28" s="27"/>
      <c r="D28" s="27"/>
    </row>
    <row r="29" spans="2:17" ht="18" x14ac:dyDescent="0.25">
      <c r="B29" s="303" t="s">
        <v>156</v>
      </c>
      <c r="C29" s="303"/>
      <c r="D29" s="303"/>
      <c r="E29" s="303"/>
    </row>
    <row r="30" spans="2:17" x14ac:dyDescent="0.25">
      <c r="B30" s="27"/>
      <c r="C30" s="27"/>
      <c r="D30" s="27"/>
    </row>
    <row r="31" spans="2:17" x14ac:dyDescent="0.25">
      <c r="B31" s="172" t="s">
        <v>63</v>
      </c>
      <c r="C31" s="8"/>
      <c r="D31" s="8" t="s">
        <v>157</v>
      </c>
      <c r="E31" s="2" t="s">
        <v>158</v>
      </c>
    </row>
    <row r="32" spans="2:17" x14ac:dyDescent="0.25">
      <c r="B32" s="172" t="s">
        <v>159</v>
      </c>
      <c r="C32" s="216">
        <f>C27</f>
        <v>0.18239350151108569</v>
      </c>
      <c r="D32" s="219">
        <f>C36/C38</f>
        <v>0.38070058919672234</v>
      </c>
      <c r="E32" s="220">
        <f>D32*C32</f>
        <v>6.9437313490923594E-2</v>
      </c>
    </row>
    <row r="33" spans="2:5" x14ac:dyDescent="0.25">
      <c r="B33" s="225" t="s">
        <v>160</v>
      </c>
      <c r="C33" s="226">
        <f>'Cost Build Up'!H40*(1-'Cost Build Up'!H42)</f>
        <v>3.8968937998600774E-2</v>
      </c>
      <c r="D33" s="227">
        <f>C37/C38</f>
        <v>0.61929941080327777</v>
      </c>
      <c r="E33" s="228">
        <f>D33*C33</f>
        <v>2.4133440342162922E-2</v>
      </c>
    </row>
    <row r="34" spans="2:5" x14ac:dyDescent="0.25">
      <c r="B34" s="214" t="s">
        <v>156</v>
      </c>
      <c r="C34" s="222"/>
      <c r="D34" s="223"/>
      <c r="E34" s="224">
        <f>SUM(E32:E33)</f>
        <v>9.3570753833086523E-2</v>
      </c>
    </row>
    <row r="35" spans="2:5" x14ac:dyDescent="0.25">
      <c r="B35" s="172"/>
      <c r="C35" s="8"/>
      <c r="D35" s="8"/>
      <c r="E35" s="2"/>
    </row>
    <row r="36" spans="2:5" x14ac:dyDescent="0.25">
      <c r="B36" s="172" t="s">
        <v>197</v>
      </c>
      <c r="C36" s="148">
        <f>Assumptions!D22</f>
        <v>105789.7742</v>
      </c>
      <c r="D36" s="8"/>
      <c r="E36" s="2"/>
    </row>
    <row r="37" spans="2:5" x14ac:dyDescent="0.25">
      <c r="B37" s="172" t="s">
        <v>198</v>
      </c>
      <c r="C37" s="148">
        <f>'Balance Sheet'!G58</f>
        <v>172092.05</v>
      </c>
      <c r="D37" s="8"/>
      <c r="E37" s="2"/>
    </row>
    <row r="38" spans="2:5" x14ac:dyDescent="0.25">
      <c r="B38" s="214" t="s">
        <v>199</v>
      </c>
      <c r="C38" s="158">
        <f>SUM(C36:C37)</f>
        <v>277881.82419999997</v>
      </c>
      <c r="D38" s="8"/>
      <c r="E38" s="2"/>
    </row>
    <row r="39" spans="2:5" x14ac:dyDescent="0.25">
      <c r="B39" s="27"/>
      <c r="C39" s="27"/>
      <c r="D39" s="27"/>
    </row>
    <row r="40" spans="2:5" x14ac:dyDescent="0.25">
      <c r="B40" s="27"/>
      <c r="C40" s="27"/>
      <c r="D40" s="27"/>
    </row>
    <row r="41" spans="2:5" ht="18" x14ac:dyDescent="0.25">
      <c r="B41" s="303" t="s">
        <v>200</v>
      </c>
      <c r="C41" s="303"/>
      <c r="D41" s="27"/>
    </row>
    <row r="42" spans="2:5" x14ac:dyDescent="0.25">
      <c r="B42" s="27" t="s">
        <v>201</v>
      </c>
      <c r="C42" s="215">
        <v>0.06</v>
      </c>
      <c r="D42" s="27"/>
    </row>
    <row r="43" spans="2:5" x14ac:dyDescent="0.25">
      <c r="B43" s="27" t="s">
        <v>200</v>
      </c>
      <c r="C43" s="148">
        <f>Q16*(1+C42)/(E34-C42)</f>
        <v>2227069.3107440518</v>
      </c>
      <c r="D43" s="27"/>
    </row>
    <row r="44" spans="2:5" x14ac:dyDescent="0.25">
      <c r="B44" s="27"/>
      <c r="C44" s="27"/>
      <c r="D44" s="27"/>
    </row>
    <row r="45" spans="2:5" x14ac:dyDescent="0.25">
      <c r="B45" s="27"/>
      <c r="C45" s="27"/>
      <c r="D45" s="27"/>
    </row>
    <row r="46" spans="2:5" ht="18" x14ac:dyDescent="0.25">
      <c r="B46" s="303" t="s">
        <v>202</v>
      </c>
      <c r="C46" s="303"/>
      <c r="D46" s="27"/>
    </row>
    <row r="47" spans="2:5" x14ac:dyDescent="0.25">
      <c r="B47" s="27" t="s">
        <v>203</v>
      </c>
      <c r="C47" s="148">
        <f>NPV(E34,H16:Q16)</f>
        <v>255124.12207632288</v>
      </c>
      <c r="D47" s="27"/>
    </row>
    <row r="48" spans="2:5" x14ac:dyDescent="0.25">
      <c r="B48" s="27" t="s">
        <v>204</v>
      </c>
      <c r="C48" s="148">
        <f>PV(E34,COUNT(H10:Q10),0,-C43)</f>
        <v>910468.36980503262</v>
      </c>
      <c r="D48" s="27"/>
    </row>
    <row r="49" spans="2:12" x14ac:dyDescent="0.25">
      <c r="B49" s="27"/>
      <c r="C49" s="148"/>
      <c r="D49" s="27"/>
    </row>
    <row r="50" spans="2:12" x14ac:dyDescent="0.25">
      <c r="B50" s="213" t="s">
        <v>205</v>
      </c>
      <c r="C50" s="158">
        <f>SUM(C47:C48)</f>
        <v>1165592.4918813554</v>
      </c>
      <c r="D50" s="27"/>
    </row>
    <row r="51" spans="2:12" x14ac:dyDescent="0.25">
      <c r="B51" s="27"/>
      <c r="C51" s="148"/>
      <c r="D51" s="27"/>
    </row>
    <row r="52" spans="2:12" x14ac:dyDescent="0.25">
      <c r="B52" s="27" t="s">
        <v>206</v>
      </c>
      <c r="C52" s="148">
        <f>'Balance Sheet'!H24</f>
        <v>10558.840947002522</v>
      </c>
      <c r="D52" s="27"/>
    </row>
    <row r="53" spans="2:12" x14ac:dyDescent="0.25">
      <c r="B53" s="27" t="s">
        <v>207</v>
      </c>
      <c r="C53" s="148">
        <f>C37</f>
        <v>172092.05</v>
      </c>
      <c r="D53" s="27"/>
    </row>
    <row r="54" spans="2:12" x14ac:dyDescent="0.25">
      <c r="B54" s="27" t="s">
        <v>208</v>
      </c>
      <c r="C54" s="148">
        <f>'Balance Sheet'!H40</f>
        <v>558.4</v>
      </c>
      <c r="D54" s="27"/>
    </row>
    <row r="55" spans="2:12" x14ac:dyDescent="0.25">
      <c r="B55" s="27" t="s">
        <v>209</v>
      </c>
      <c r="C55" s="148">
        <v>0</v>
      </c>
      <c r="D55" s="27"/>
    </row>
    <row r="56" spans="2:12" x14ac:dyDescent="0.25">
      <c r="B56" s="27"/>
      <c r="C56" s="148"/>
      <c r="D56" s="27"/>
    </row>
    <row r="57" spans="2:12" x14ac:dyDescent="0.25">
      <c r="B57" s="213" t="s">
        <v>197</v>
      </c>
      <c r="C57" s="158">
        <f>C50+C52-C53-C54-C55</f>
        <v>1003500.8828283577</v>
      </c>
      <c r="D57" s="27"/>
    </row>
    <row r="58" spans="2:12" x14ac:dyDescent="0.25">
      <c r="B58" s="27"/>
      <c r="C58" s="148"/>
      <c r="D58" s="27"/>
      <c r="F58" s="13"/>
      <c r="G58" s="310"/>
      <c r="H58" s="310"/>
      <c r="I58" s="310"/>
      <c r="J58" s="310"/>
      <c r="K58" s="310"/>
      <c r="L58" s="13"/>
    </row>
    <row r="59" spans="2:12" x14ac:dyDescent="0.25">
      <c r="B59" s="27"/>
      <c r="C59" s="148"/>
      <c r="D59" s="27"/>
      <c r="F59" s="13"/>
      <c r="G59" s="34"/>
      <c r="H59" s="34"/>
      <c r="I59" s="34"/>
      <c r="J59" s="34"/>
      <c r="K59" s="34"/>
      <c r="L59" s="13"/>
    </row>
    <row r="60" spans="2:12" x14ac:dyDescent="0.25">
      <c r="B60" s="27" t="s">
        <v>210</v>
      </c>
      <c r="C60" s="148">
        <f>Assumptions!D19</f>
        <v>2633224000</v>
      </c>
      <c r="D60" s="27"/>
      <c r="F60" s="35"/>
      <c r="G60" s="36"/>
      <c r="H60" s="37"/>
      <c r="I60" s="37"/>
      <c r="J60" s="37"/>
      <c r="K60" s="37"/>
      <c r="L60" s="37"/>
    </row>
    <row r="61" spans="2:12" x14ac:dyDescent="0.25">
      <c r="B61" s="229" t="s">
        <v>211</v>
      </c>
      <c r="C61" s="158">
        <f>C57*10^7/C60</f>
        <v>3810.9210717673764</v>
      </c>
      <c r="D61" s="27"/>
      <c r="F61" s="313"/>
      <c r="G61" s="37"/>
      <c r="H61" s="38"/>
      <c r="I61" s="38"/>
      <c r="J61" s="38"/>
      <c r="K61" s="38"/>
      <c r="L61" s="38"/>
    </row>
    <row r="62" spans="2:12" x14ac:dyDescent="0.25">
      <c r="B62" s="27"/>
      <c r="C62" s="148"/>
      <c r="D62" s="27"/>
      <c r="F62" s="313"/>
      <c r="G62" s="37"/>
      <c r="H62" s="38"/>
      <c r="I62" s="38"/>
      <c r="J62" s="38"/>
      <c r="K62" s="38"/>
      <c r="L62" s="38"/>
    </row>
    <row r="63" spans="2:12" x14ac:dyDescent="0.25">
      <c r="B63" s="27" t="s">
        <v>212</v>
      </c>
      <c r="C63" s="148">
        <f>Assumptions!D21</f>
        <v>401.75</v>
      </c>
      <c r="D63" s="27"/>
      <c r="F63" s="313"/>
      <c r="G63" s="37"/>
      <c r="H63" s="15"/>
      <c r="I63" s="15"/>
      <c r="J63" s="15"/>
      <c r="K63" s="15"/>
      <c r="L63" s="15"/>
    </row>
    <row r="64" spans="2:12" x14ac:dyDescent="0.25">
      <c r="B64" s="27"/>
      <c r="C64" s="148"/>
      <c r="D64" s="27"/>
      <c r="F64" s="313"/>
      <c r="G64" s="37"/>
      <c r="H64" s="15"/>
      <c r="I64" s="15"/>
      <c r="J64" s="15"/>
      <c r="K64" s="15"/>
      <c r="L64" s="15"/>
    </row>
    <row r="65" spans="2:17" x14ac:dyDescent="0.25">
      <c r="B65" s="27" t="s">
        <v>213</v>
      </c>
      <c r="C65" s="149">
        <f>(C61-C63)/C63</f>
        <v>8.4858022943805267</v>
      </c>
      <c r="D65" s="27"/>
      <c r="F65" s="313"/>
      <c r="G65" s="37"/>
      <c r="H65" s="15"/>
      <c r="I65" s="15"/>
      <c r="J65" s="15"/>
      <c r="K65" s="15"/>
      <c r="L65" s="15"/>
    </row>
    <row r="66" spans="2:17" x14ac:dyDescent="0.25">
      <c r="B66" s="27"/>
      <c r="C66" s="27"/>
      <c r="D66" s="27"/>
    </row>
    <row r="67" spans="2:17" x14ac:dyDescent="0.25">
      <c r="G67" s="230"/>
    </row>
    <row r="68" spans="2:17" x14ac:dyDescent="0.25">
      <c r="F68" s="231"/>
      <c r="G68" s="232"/>
      <c r="H68" s="312" t="s">
        <v>245</v>
      </c>
      <c r="I68" s="312"/>
      <c r="J68" s="312"/>
      <c r="K68" s="312"/>
      <c r="L68" s="312"/>
    </row>
    <row r="69" spans="2:17" x14ac:dyDescent="0.25">
      <c r="F69" s="231"/>
      <c r="G69" s="235">
        <f>C61</f>
        <v>3810.9210717673764</v>
      </c>
      <c r="H69" s="230">
        <v>0.1</v>
      </c>
      <c r="I69" s="230">
        <v>0.15</v>
      </c>
      <c r="J69" s="230">
        <v>9.3570753833086523E-2</v>
      </c>
      <c r="K69" s="230">
        <v>0.2</v>
      </c>
      <c r="L69" s="230">
        <v>0.25</v>
      </c>
    </row>
    <row r="70" spans="2:17" x14ac:dyDescent="0.25">
      <c r="F70" s="311" t="s">
        <v>244</v>
      </c>
      <c r="G70" s="230">
        <v>0.04</v>
      </c>
      <c r="H70" s="233">
        <f t="dataTable" ref="H70:L74" dt2D="1" dtr="1" r1="E34" r2="C42"/>
        <v>2111.0768854398325</v>
      </c>
      <c r="I70" s="233">
        <v>741.48100510138022</v>
      </c>
      <c r="J70" s="233">
        <v>2479.1783934465566</v>
      </c>
      <c r="K70" s="233">
        <v>250.76696965317123</v>
      </c>
      <c r="L70" s="233">
        <v>5.7651868114184275</v>
      </c>
    </row>
    <row r="71" spans="2:17" x14ac:dyDescent="0.25">
      <c r="F71" s="311"/>
      <c r="G71" s="230">
        <v>4.4999999999999998E-2</v>
      </c>
      <c r="H71" s="233">
        <v>2283.1936029148878</v>
      </c>
      <c r="I71" s="233">
        <v>774.44263006852884</v>
      </c>
      <c r="J71" s="233">
        <v>2709.2942661410652</v>
      </c>
      <c r="K71" s="233">
        <v>261.23315125126987</v>
      </c>
      <c r="L71" s="233">
        <v>9.94068104524567</v>
      </c>
    </row>
    <row r="72" spans="2:17" x14ac:dyDescent="0.25">
      <c r="F72" s="311"/>
      <c r="G72" s="230">
        <v>0.06</v>
      </c>
      <c r="H72" s="233">
        <v>3057.7188315526437</v>
      </c>
      <c r="I72" s="233">
        <v>895.3019216147411</v>
      </c>
      <c r="J72" s="234">
        <v>3810.9210717673764</v>
      </c>
      <c r="K72" s="233">
        <v>297.11720244475106</v>
      </c>
      <c r="L72" s="233">
        <v>23.785740873199547</v>
      </c>
    </row>
    <row r="73" spans="2:17" x14ac:dyDescent="0.25">
      <c r="F73" s="311"/>
      <c r="G73" s="230">
        <v>6.5000000000000002E-2</v>
      </c>
      <c r="H73" s="233">
        <v>3463.4225227438474</v>
      </c>
      <c r="I73" s="233">
        <v>945.06751225141693</v>
      </c>
      <c r="J73" s="233">
        <v>4435.1823321293759</v>
      </c>
      <c r="K73" s="233">
        <v>310.85060475336735</v>
      </c>
      <c r="L73" s="233">
        <v>28.899681890731951</v>
      </c>
    </row>
    <row r="74" spans="2:17" x14ac:dyDescent="0.25">
      <c r="F74" s="311"/>
      <c r="G74" s="230">
        <v>7.0000000000000007E-2</v>
      </c>
      <c r="H74" s="233">
        <v>4004.360777665454</v>
      </c>
      <c r="I74" s="233">
        <v>1001.0538017176771</v>
      </c>
      <c r="J74" s="233">
        <v>5324.2892842255615</v>
      </c>
      <c r="K74" s="233">
        <v>325.64042262418485</v>
      </c>
      <c r="L74" s="233">
        <v>34.297730742571837</v>
      </c>
    </row>
    <row r="76" spans="2:17" x14ac:dyDescent="0.25">
      <c r="B76" s="39"/>
      <c r="C76" s="39"/>
      <c r="D76" s="39"/>
      <c r="E76" s="39"/>
      <c r="F76" s="39"/>
      <c r="G76" s="39"/>
      <c r="H76" s="39"/>
      <c r="I76" s="39"/>
      <c r="J76" s="39"/>
      <c r="K76" s="39"/>
      <c r="L76" s="39"/>
      <c r="M76" s="39"/>
      <c r="N76" s="39"/>
      <c r="O76" s="39"/>
      <c r="P76" s="39"/>
      <c r="Q76" s="39"/>
    </row>
    <row r="83" spans="4:18" x14ac:dyDescent="0.25">
      <c r="D83" s="250"/>
      <c r="E83" s="250"/>
      <c r="F83" s="250"/>
      <c r="G83" s="250"/>
      <c r="H83" s="250"/>
      <c r="I83" s="250"/>
      <c r="J83" s="250"/>
      <c r="K83" s="250"/>
      <c r="L83" s="250"/>
      <c r="M83" s="250"/>
      <c r="N83" s="250"/>
      <c r="O83" s="250"/>
      <c r="P83" s="250"/>
      <c r="Q83" s="250"/>
      <c r="R83" s="250"/>
    </row>
    <row r="84" spans="4:18" x14ac:dyDescent="0.25">
      <c r="D84" s="10"/>
      <c r="E84" s="10"/>
      <c r="F84" s="10"/>
      <c r="G84" s="10"/>
      <c r="H84" s="10"/>
      <c r="I84" s="10"/>
      <c r="J84" s="10"/>
      <c r="K84" s="10"/>
      <c r="L84" s="10"/>
      <c r="M84" s="10"/>
      <c r="N84" s="10"/>
      <c r="O84" s="10"/>
      <c r="P84" s="10"/>
      <c r="Q84" s="10"/>
      <c r="R84" s="10"/>
    </row>
    <row r="85" spans="4:18" x14ac:dyDescent="0.25">
      <c r="D85" s="250"/>
      <c r="E85" s="250"/>
      <c r="F85" s="250"/>
      <c r="G85" s="250"/>
      <c r="H85" s="250"/>
      <c r="I85" s="250"/>
      <c r="J85" s="250"/>
      <c r="K85" s="250"/>
      <c r="L85" s="250"/>
      <c r="M85" s="250"/>
      <c r="N85" s="250"/>
      <c r="O85" s="250"/>
      <c r="P85" s="250"/>
      <c r="Q85" s="250"/>
    </row>
    <row r="86" spans="4:18" x14ac:dyDescent="0.25">
      <c r="D86" s="250"/>
      <c r="E86" s="250"/>
      <c r="F86" s="250"/>
      <c r="G86" s="250"/>
      <c r="H86" s="250"/>
      <c r="I86" s="250"/>
      <c r="J86" s="250"/>
      <c r="K86" s="250"/>
      <c r="L86" s="250"/>
      <c r="M86" s="250"/>
      <c r="N86" s="250"/>
      <c r="O86" s="250"/>
      <c r="P86" s="250"/>
      <c r="Q86" s="250"/>
    </row>
    <row r="87" spans="4:18" x14ac:dyDescent="0.25">
      <c r="D87" s="250"/>
      <c r="E87" s="250"/>
      <c r="F87" s="250"/>
      <c r="G87" s="250"/>
      <c r="H87" s="250"/>
      <c r="I87" s="250"/>
      <c r="J87" s="250"/>
      <c r="K87" s="250"/>
      <c r="L87" s="250"/>
      <c r="M87" s="250"/>
      <c r="N87" s="250"/>
      <c r="O87" s="250"/>
      <c r="P87" s="250"/>
      <c r="Q87" s="250"/>
    </row>
    <row r="88" spans="4:18" x14ac:dyDescent="0.25">
      <c r="D88" s="250"/>
      <c r="E88" s="250"/>
      <c r="F88" s="250"/>
      <c r="G88" s="250"/>
      <c r="H88" s="250"/>
      <c r="I88" s="250"/>
      <c r="J88" s="250"/>
      <c r="K88" s="250"/>
      <c r="L88" s="250"/>
      <c r="M88" s="250"/>
      <c r="N88" s="250"/>
      <c r="O88" s="250"/>
      <c r="P88" s="250"/>
      <c r="Q88" s="250"/>
    </row>
    <row r="89" spans="4:18" x14ac:dyDescent="0.25">
      <c r="D89" s="250"/>
      <c r="E89" s="250"/>
      <c r="F89" s="250"/>
      <c r="G89" s="250"/>
      <c r="H89" s="250"/>
      <c r="I89" s="250"/>
      <c r="J89" s="250"/>
      <c r="K89" s="250"/>
      <c r="L89" s="250"/>
      <c r="M89" s="250"/>
      <c r="N89" s="250"/>
      <c r="O89" s="250"/>
      <c r="P89" s="250"/>
      <c r="Q89" s="250"/>
    </row>
  </sheetData>
  <mergeCells count="10">
    <mergeCell ref="B6:Q6"/>
    <mergeCell ref="B29:E29"/>
    <mergeCell ref="G58:K58"/>
    <mergeCell ref="F70:F74"/>
    <mergeCell ref="H68:L68"/>
    <mergeCell ref="B7:B8"/>
    <mergeCell ref="B20:C20"/>
    <mergeCell ref="B41:C41"/>
    <mergeCell ref="B46:C46"/>
    <mergeCell ref="F61:F65"/>
  </mergeCells>
  <pageMargins left="0.7" right="0.7" top="0.75" bottom="0.75" header="0.3" footer="0.3"/>
  <pageSetup orientation="portrait" horizontalDpi="300" verticalDpi="0" copies="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01D9F-15E8-47F8-A4F2-1B5FD068AD0B}">
  <dimension ref="B5:Q28"/>
  <sheetViews>
    <sheetView showGridLines="0" workbookViewId="0">
      <selection activeCell="D25" sqref="D25"/>
    </sheetView>
  </sheetViews>
  <sheetFormatPr defaultRowHeight="15" x14ac:dyDescent="0.25"/>
  <cols>
    <col min="1" max="1" width="0.85546875" customWidth="1"/>
    <col min="2" max="2" width="20.42578125" bestFit="1" customWidth="1"/>
    <col min="3" max="3" width="11.7109375" bestFit="1" customWidth="1"/>
    <col min="4" max="5" width="12.7109375" bestFit="1" customWidth="1"/>
    <col min="6" max="6" width="13.7109375" bestFit="1" customWidth="1"/>
    <col min="7" max="7" width="14" customWidth="1"/>
    <col min="8" max="8" width="15.42578125" bestFit="1" customWidth="1"/>
    <col min="10" max="10" width="13.42578125" bestFit="1" customWidth="1"/>
    <col min="11" max="12" width="11.5703125" bestFit="1" customWidth="1"/>
    <col min="15" max="16" width="12" bestFit="1" customWidth="1"/>
  </cols>
  <sheetData>
    <row r="5" spans="2:16" x14ac:dyDescent="0.25">
      <c r="P5" t="s">
        <v>259</v>
      </c>
    </row>
    <row r="6" spans="2:16" ht="18" x14ac:dyDescent="0.25">
      <c r="B6" s="303" t="s">
        <v>271</v>
      </c>
      <c r="C6" s="303"/>
      <c r="D6" s="303"/>
      <c r="E6" s="303"/>
      <c r="F6" s="303"/>
      <c r="G6" s="303"/>
      <c r="H6" s="303"/>
      <c r="I6" s="303"/>
      <c r="J6" s="303"/>
      <c r="K6" s="303"/>
      <c r="L6" s="303"/>
      <c r="M6" s="303"/>
      <c r="N6" s="303"/>
      <c r="O6" s="303"/>
      <c r="P6" s="303"/>
    </row>
    <row r="7" spans="2:16" ht="18" x14ac:dyDescent="0.25">
      <c r="B7" s="236"/>
      <c r="C7" s="236"/>
      <c r="D7" s="236"/>
      <c r="E7" s="236"/>
      <c r="F7" s="236"/>
      <c r="G7" s="236"/>
      <c r="H7" s="236"/>
      <c r="I7" s="236"/>
      <c r="J7" s="236"/>
      <c r="K7" s="236"/>
      <c r="L7" s="236"/>
      <c r="M7" s="236"/>
      <c r="N7" s="236"/>
      <c r="O7" s="236"/>
      <c r="P7" s="248"/>
    </row>
    <row r="8" spans="2:16" x14ac:dyDescent="0.25">
      <c r="C8" s="312" t="s">
        <v>161</v>
      </c>
      <c r="D8" s="312"/>
      <c r="E8" s="312"/>
      <c r="F8" s="312"/>
      <c r="G8" s="312"/>
      <c r="H8" s="312"/>
      <c r="J8" s="312" t="s">
        <v>162</v>
      </c>
      <c r="K8" s="312"/>
      <c r="L8" s="312"/>
      <c r="N8" s="312" t="s">
        <v>163</v>
      </c>
      <c r="O8" s="312"/>
      <c r="P8" s="312"/>
    </row>
    <row r="9" spans="2:16" x14ac:dyDescent="0.25">
      <c r="B9" s="27" t="s">
        <v>164</v>
      </c>
      <c r="C9" s="8" t="s">
        <v>145</v>
      </c>
      <c r="D9" s="8" t="s">
        <v>165</v>
      </c>
      <c r="E9" s="8" t="s">
        <v>166</v>
      </c>
      <c r="F9" s="8" t="s">
        <v>167</v>
      </c>
      <c r="G9" s="8" t="s">
        <v>168</v>
      </c>
      <c r="H9" s="8" t="s">
        <v>169</v>
      </c>
      <c r="I9" s="8"/>
      <c r="J9" s="8" t="s">
        <v>170</v>
      </c>
      <c r="K9" s="8" t="s">
        <v>9</v>
      </c>
      <c r="L9" s="8" t="s">
        <v>171</v>
      </c>
      <c r="M9" s="8"/>
      <c r="N9" s="8" t="s">
        <v>172</v>
      </c>
      <c r="O9" s="8" t="s">
        <v>173</v>
      </c>
      <c r="P9" s="24" t="s">
        <v>174</v>
      </c>
    </row>
    <row r="10" spans="2:16" x14ac:dyDescent="0.25">
      <c r="B10" s="27"/>
      <c r="C10" s="8"/>
      <c r="D10" s="8"/>
      <c r="E10" s="8"/>
      <c r="F10" s="8"/>
      <c r="G10" s="8"/>
      <c r="H10" s="8"/>
      <c r="I10" s="8"/>
      <c r="J10" s="8"/>
      <c r="K10" s="8"/>
      <c r="L10" s="8"/>
      <c r="M10" s="8"/>
      <c r="N10" s="8"/>
      <c r="O10" s="8"/>
      <c r="P10" s="24"/>
    </row>
    <row r="11" spans="2:16" x14ac:dyDescent="0.25">
      <c r="B11" s="27" t="s">
        <v>175</v>
      </c>
      <c r="C11" s="243">
        <v>128.80000000000001</v>
      </c>
      <c r="D11" s="243">
        <v>1306.8499999999999</v>
      </c>
      <c r="E11" s="237">
        <f>D11*C11</f>
        <v>168322.28</v>
      </c>
      <c r="F11" s="243">
        <v>406528.03</v>
      </c>
      <c r="G11" s="243">
        <v>324.76</v>
      </c>
      <c r="H11" s="237">
        <f>E11+F11-G11</f>
        <v>574525.55000000005</v>
      </c>
      <c r="I11" s="237"/>
      <c r="J11" s="243">
        <v>26902.28</v>
      </c>
      <c r="K11" s="243">
        <v>26523.06</v>
      </c>
      <c r="L11" s="243">
        <v>6537.45</v>
      </c>
      <c r="M11" s="8"/>
      <c r="N11" s="19">
        <f>H11/J11</f>
        <v>21.356017036474235</v>
      </c>
      <c r="O11" s="19">
        <f>H11/K11</f>
        <v>21.661359963744758</v>
      </c>
      <c r="P11" s="246">
        <f>E11/L11</f>
        <v>25.74739080222411</v>
      </c>
    </row>
    <row r="12" spans="2:16" x14ac:dyDescent="0.25">
      <c r="B12" s="27" t="s">
        <v>176</v>
      </c>
      <c r="C12" s="243">
        <v>415.05</v>
      </c>
      <c r="D12" s="243">
        <v>330.01</v>
      </c>
      <c r="E12" s="237">
        <f>D12*C12</f>
        <v>136970.65049999999</v>
      </c>
      <c r="F12" s="243">
        <v>910447.03</v>
      </c>
      <c r="G12" s="243">
        <v>8564.44</v>
      </c>
      <c r="H12" s="237">
        <f>E12+F12-G12</f>
        <v>1038853.2405000001</v>
      </c>
      <c r="I12" s="237"/>
      <c r="J12" s="243">
        <v>101377.99</v>
      </c>
      <c r="K12" s="243">
        <v>91612.89</v>
      </c>
      <c r="L12" s="243">
        <v>29712.95</v>
      </c>
      <c r="M12" s="8"/>
      <c r="N12" s="19">
        <f>H12/J12</f>
        <v>10.247325287273895</v>
      </c>
      <c r="O12" s="19">
        <f>H12/K12</f>
        <v>11.339596867864337</v>
      </c>
      <c r="P12" s="246">
        <f>E12/L12</f>
        <v>4.6097964187332456</v>
      </c>
    </row>
    <row r="13" spans="2:16" x14ac:dyDescent="0.25">
      <c r="B13" s="27" t="s">
        <v>177</v>
      </c>
      <c r="C13" s="243">
        <v>167.55</v>
      </c>
      <c r="D13" s="243">
        <v>268.77999999999997</v>
      </c>
      <c r="E13" s="237">
        <f>D13*C13</f>
        <v>45034.089</v>
      </c>
      <c r="F13" s="243">
        <v>61935.74</v>
      </c>
      <c r="G13" s="243">
        <v>671.18</v>
      </c>
      <c r="H13" s="237">
        <f>E13+F13-G13</f>
        <v>106298.649</v>
      </c>
      <c r="I13" s="237"/>
      <c r="J13" s="243">
        <v>6742.41</v>
      </c>
      <c r="K13" s="243">
        <v>6283.63</v>
      </c>
      <c r="L13" s="243">
        <v>1698.6</v>
      </c>
      <c r="M13" s="8"/>
      <c r="N13" s="19">
        <f>H13/J13</f>
        <v>15.765675626370987</v>
      </c>
      <c r="O13" s="19">
        <f>H13/K13</f>
        <v>16.916758147758543</v>
      </c>
      <c r="P13" s="246">
        <f>E13/L13</f>
        <v>26.512474390674676</v>
      </c>
    </row>
    <row r="14" spans="2:16" x14ac:dyDescent="0.25">
      <c r="B14" s="27" t="s">
        <v>178</v>
      </c>
      <c r="C14" s="243">
        <v>43.63</v>
      </c>
      <c r="D14" s="243">
        <v>219.59</v>
      </c>
      <c r="E14" s="237">
        <f>D14*C14</f>
        <v>9580.7116999999998</v>
      </c>
      <c r="F14" s="243">
        <v>5063.91</v>
      </c>
      <c r="G14" s="243">
        <v>4735.47</v>
      </c>
      <c r="H14" s="237">
        <f>E14+F14-G14</f>
        <v>9909.1516999999985</v>
      </c>
      <c r="I14" s="237"/>
      <c r="J14" s="243">
        <v>2067.91</v>
      </c>
      <c r="K14" s="243">
        <v>1398.59</v>
      </c>
      <c r="L14" s="243">
        <v>245.51</v>
      </c>
      <c r="M14" s="8"/>
      <c r="N14" s="19">
        <f>H14/J14</f>
        <v>4.7918679729775473</v>
      </c>
      <c r="O14" s="19">
        <f>H14/K14</f>
        <v>7.0851012090748533</v>
      </c>
      <c r="P14" s="246">
        <f>E14/L14</f>
        <v>39.023712679727915</v>
      </c>
    </row>
    <row r="15" spans="2:16" x14ac:dyDescent="0.25">
      <c r="B15" s="27"/>
      <c r="C15" s="237"/>
      <c r="D15" s="237"/>
      <c r="E15" s="237"/>
      <c r="F15" s="237"/>
      <c r="G15" s="237"/>
      <c r="H15" s="237"/>
      <c r="I15" s="237"/>
      <c r="J15" s="237"/>
      <c r="K15" s="237"/>
      <c r="L15" s="237"/>
      <c r="M15" s="8"/>
      <c r="N15" s="8"/>
      <c r="O15" s="8"/>
      <c r="P15" s="24"/>
    </row>
    <row r="16" spans="2:16" x14ac:dyDescent="0.25">
      <c r="B16" s="239" t="s">
        <v>179</v>
      </c>
      <c r="C16" s="240"/>
      <c r="D16" s="240"/>
      <c r="E16" s="240"/>
      <c r="F16" s="240"/>
      <c r="G16" s="240"/>
      <c r="H16" s="240"/>
      <c r="I16" s="240"/>
      <c r="J16" s="240"/>
      <c r="K16" s="240"/>
      <c r="L16" s="240"/>
      <c r="M16" s="241"/>
      <c r="N16" s="242">
        <f>AVERAGE(N11:N14)</f>
        <v>13.040221480774166</v>
      </c>
      <c r="O16" s="242">
        <f>AVERAGE(O11:O14)</f>
        <v>14.250704047110624</v>
      </c>
      <c r="P16" s="247">
        <f>AVERAGE(P11:P14)</f>
        <v>23.973343572839987</v>
      </c>
    </row>
    <row r="17" spans="2:17" x14ac:dyDescent="0.25">
      <c r="B17" s="239" t="s">
        <v>180</v>
      </c>
      <c r="C17" s="240"/>
      <c r="D17" s="240"/>
      <c r="E17" s="240"/>
      <c r="F17" s="240"/>
      <c r="G17" s="240"/>
      <c r="H17" s="240"/>
      <c r="I17" s="240"/>
      <c r="J17" s="240"/>
      <c r="K17" s="240"/>
      <c r="L17" s="240"/>
      <c r="M17" s="241"/>
      <c r="N17" s="242">
        <f>MEDIAN(N11:N14)</f>
        <v>13.00650045682244</v>
      </c>
      <c r="O17" s="242">
        <f>MEDIAN(O11:O14)</f>
        <v>14.12817750781144</v>
      </c>
      <c r="P17" s="247">
        <f>MEDIAN(P11:P14)</f>
        <v>26.129932596449393</v>
      </c>
    </row>
    <row r="18" spans="2:17" x14ac:dyDescent="0.25">
      <c r="B18" s="27"/>
      <c r="C18" s="237"/>
      <c r="D18" s="237"/>
      <c r="E18" s="237"/>
      <c r="F18" s="237"/>
      <c r="G18" s="237"/>
      <c r="H18" s="237"/>
      <c r="I18" s="237"/>
      <c r="J18" s="237"/>
      <c r="K18" s="237"/>
      <c r="L18" s="237"/>
      <c r="M18" s="8"/>
      <c r="N18" s="8"/>
      <c r="O18" s="8"/>
      <c r="P18" s="24"/>
    </row>
    <row r="19" spans="2:17" x14ac:dyDescent="0.25">
      <c r="B19" s="27"/>
      <c r="C19" s="237"/>
      <c r="D19" s="237"/>
      <c r="E19" s="237"/>
      <c r="F19" s="237"/>
      <c r="G19" s="237"/>
      <c r="H19" s="237"/>
      <c r="I19" s="237"/>
      <c r="J19" s="237"/>
      <c r="K19" s="237"/>
      <c r="L19" s="237"/>
      <c r="M19" s="8"/>
      <c r="N19" s="8"/>
      <c r="O19" s="8"/>
      <c r="P19" s="24"/>
    </row>
    <row r="20" spans="2:17" x14ac:dyDescent="0.25">
      <c r="B20" s="27" t="s">
        <v>181</v>
      </c>
      <c r="C20" s="243">
        <f>Assumptions!D21</f>
        <v>401.75</v>
      </c>
      <c r="D20" s="243">
        <v>263.32</v>
      </c>
      <c r="E20" s="237">
        <f>D20*C20</f>
        <v>105788.81</v>
      </c>
      <c r="F20" s="243">
        <v>483617.33</v>
      </c>
      <c r="G20" s="243">
        <v>5693.93</v>
      </c>
      <c r="H20" s="237">
        <f>E20+F20-G20</f>
        <v>583712.21</v>
      </c>
      <c r="I20" s="237"/>
      <c r="J20" s="243">
        <v>53710.19</v>
      </c>
      <c r="K20" s="243">
        <v>47935.91</v>
      </c>
      <c r="L20" s="243">
        <v>15653.35</v>
      </c>
      <c r="M20" s="8"/>
      <c r="N20" s="19">
        <f>H20/J20</f>
        <v>10.867811303590621</v>
      </c>
      <c r="O20" s="19">
        <f>H20/K20</f>
        <v>12.176929779783046</v>
      </c>
      <c r="P20" s="246">
        <f>E20/L20</f>
        <v>6.7582217225066836</v>
      </c>
    </row>
    <row r="21" spans="2:17" x14ac:dyDescent="0.25">
      <c r="B21" s="27"/>
      <c r="C21" s="8"/>
      <c r="D21" s="8"/>
      <c r="E21" s="8"/>
      <c r="F21" s="8"/>
      <c r="G21" s="8"/>
      <c r="H21" s="8"/>
      <c r="I21" s="8"/>
      <c r="J21" s="8"/>
      <c r="K21" s="8"/>
      <c r="L21" s="8"/>
      <c r="M21" s="8"/>
      <c r="N21" s="8"/>
      <c r="O21" s="8"/>
      <c r="P21" s="24"/>
    </row>
    <row r="22" spans="2:17" x14ac:dyDescent="0.25">
      <c r="B22" s="27"/>
      <c r="C22" s="8"/>
      <c r="D22" s="8"/>
      <c r="E22" s="8"/>
      <c r="F22" s="8"/>
      <c r="G22" s="8"/>
      <c r="H22" s="8"/>
      <c r="I22" s="8"/>
      <c r="J22" s="8"/>
      <c r="K22" s="8"/>
      <c r="L22" s="8"/>
      <c r="M22" s="8"/>
      <c r="N22" s="8"/>
      <c r="O22" s="8"/>
      <c r="P22" s="24"/>
    </row>
    <row r="23" spans="2:17" x14ac:dyDescent="0.25">
      <c r="B23" s="244" t="s">
        <v>182</v>
      </c>
      <c r="C23" s="245" t="s">
        <v>183</v>
      </c>
      <c r="D23" s="245" t="s">
        <v>169</v>
      </c>
      <c r="E23" s="245" t="s">
        <v>184</v>
      </c>
      <c r="F23" s="245" t="s">
        <v>185</v>
      </c>
      <c r="G23" s="245" t="s">
        <v>186</v>
      </c>
      <c r="H23" s="245" t="s">
        <v>187</v>
      </c>
      <c r="I23" s="8"/>
      <c r="J23" s="8"/>
      <c r="K23" s="8"/>
      <c r="L23" s="8"/>
      <c r="M23" s="8"/>
      <c r="N23" s="8"/>
      <c r="O23" s="8"/>
      <c r="P23" s="24"/>
    </row>
    <row r="24" spans="2:17" x14ac:dyDescent="0.25">
      <c r="B24" s="27" t="s">
        <v>188</v>
      </c>
      <c r="C24" s="238">
        <f>N17</f>
        <v>13.00650045682244</v>
      </c>
      <c r="D24" s="237">
        <f>J20*C24</f>
        <v>698581.61077102006</v>
      </c>
      <c r="E24" s="237">
        <f>F20-G20</f>
        <v>477923.4</v>
      </c>
      <c r="F24" s="237">
        <f>D24-E24</f>
        <v>220658.21077102004</v>
      </c>
      <c r="G24" s="237">
        <f>$C$20</f>
        <v>401.75</v>
      </c>
      <c r="H24" s="237">
        <f>F24/G24</f>
        <v>549.24259059370263</v>
      </c>
      <c r="I24" s="8"/>
      <c r="J24" s="8"/>
      <c r="K24" s="8"/>
      <c r="L24" s="8"/>
      <c r="M24" s="8"/>
      <c r="N24" s="8"/>
      <c r="O24" s="8"/>
      <c r="P24" s="24"/>
    </row>
    <row r="25" spans="2:17" x14ac:dyDescent="0.25">
      <c r="B25" s="27" t="s">
        <v>173</v>
      </c>
      <c r="C25" s="238">
        <f>O17</f>
        <v>14.12817750781144</v>
      </c>
      <c r="D25" s="237">
        <f>C25*K20</f>
        <v>677247.04547847353</v>
      </c>
      <c r="E25" s="237">
        <f>E24</f>
        <v>477923.4</v>
      </c>
      <c r="F25" s="237">
        <f>D25-E25</f>
        <v>199323.64547847351</v>
      </c>
      <c r="G25" s="237">
        <f>$C$20</f>
        <v>401.75</v>
      </c>
      <c r="H25" s="237">
        <f>F25/G25</f>
        <v>496.1385077248874</v>
      </c>
      <c r="I25" s="8"/>
      <c r="J25" s="8"/>
      <c r="K25" s="8"/>
      <c r="L25" s="8"/>
      <c r="M25" s="8"/>
      <c r="N25" s="8"/>
      <c r="O25" s="8"/>
      <c r="P25" s="24"/>
    </row>
    <row r="26" spans="2:17" x14ac:dyDescent="0.25">
      <c r="B26" s="27" t="s">
        <v>174</v>
      </c>
      <c r="C26" s="238">
        <f>P17</f>
        <v>26.129932596449393</v>
      </c>
      <c r="D26" s="237">
        <f>E26+F26</f>
        <v>886944.38040863117</v>
      </c>
      <c r="E26" s="237">
        <f>E25</f>
        <v>477923.4</v>
      </c>
      <c r="F26" s="237">
        <f>L20*C26</f>
        <v>409020.98040863109</v>
      </c>
      <c r="G26" s="237">
        <f>$C$20</f>
        <v>401.75</v>
      </c>
      <c r="H26" s="237">
        <f>F26/G26</f>
        <v>1018.0982710855783</v>
      </c>
      <c r="I26" s="8"/>
      <c r="J26" s="8"/>
      <c r="K26" s="8"/>
      <c r="L26" s="8"/>
      <c r="M26" s="8"/>
      <c r="N26" s="8"/>
      <c r="O26" s="8"/>
      <c r="P26" s="24"/>
    </row>
    <row r="27" spans="2:17" x14ac:dyDescent="0.25">
      <c r="P27" s="17"/>
    </row>
    <row r="28" spans="2:17" x14ac:dyDescent="0.25">
      <c r="B28" s="39"/>
      <c r="C28" s="39"/>
      <c r="D28" s="39"/>
      <c r="E28" s="39"/>
      <c r="F28" s="39"/>
      <c r="G28" s="39"/>
      <c r="H28" s="39"/>
      <c r="I28" s="39"/>
      <c r="J28" s="39"/>
      <c r="K28" s="39"/>
      <c r="L28" s="39"/>
      <c r="M28" s="39"/>
      <c r="N28" s="39"/>
      <c r="O28" s="39"/>
      <c r="P28" s="39"/>
      <c r="Q28" s="13"/>
    </row>
  </sheetData>
  <mergeCells count="4">
    <mergeCell ref="B6:P6"/>
    <mergeCell ref="C8:H8"/>
    <mergeCell ref="J8:L8"/>
    <mergeCell ref="N8:P8"/>
  </mergeCells>
  <pageMargins left="0.7" right="0.7" top="0.75" bottom="0.75" header="0.3" footer="0.3"/>
  <pageSetup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Assumptions</vt:lpstr>
      <vt:lpstr>P&amp;L Input</vt:lpstr>
      <vt:lpstr>BS Input</vt:lpstr>
      <vt:lpstr>Common Sizing</vt:lpstr>
      <vt:lpstr>Revenue Bulid Up</vt:lpstr>
      <vt:lpstr>Cost Build Up</vt:lpstr>
      <vt:lpstr>FAS</vt:lpstr>
      <vt:lpstr>working Capital</vt:lpstr>
      <vt:lpstr>BS Items</vt:lpstr>
      <vt:lpstr>Income Statement</vt:lpstr>
      <vt:lpstr>Balance Sheet</vt:lpstr>
      <vt:lpstr>Cash Flow Statement</vt:lpstr>
      <vt:lpstr>Ratio Analysis</vt:lpstr>
      <vt:lpstr>Charts</vt:lpstr>
      <vt:lpstr>Beta Calculation</vt:lpstr>
      <vt:lpstr>Equity Market Return</vt:lpstr>
      <vt:lpstr>DCF Analysis</vt: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chaudhari</dc:creator>
  <cp:lastModifiedBy>Suresh chaudhari</cp:lastModifiedBy>
  <dcterms:created xsi:type="dcterms:W3CDTF">2025-04-21T16:29:34Z</dcterms:created>
  <dcterms:modified xsi:type="dcterms:W3CDTF">2025-05-14T06:56:33Z</dcterms:modified>
</cp:coreProperties>
</file>