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_charges" sheetId="1" r:id="rId4"/>
  </sheets>
  <definedNames/>
  <calcPr/>
</workbook>
</file>

<file path=xl/sharedStrings.xml><?xml version="1.0" encoding="utf-8"?>
<sst xmlns="http://schemas.openxmlformats.org/spreadsheetml/2006/main" count="2774" uniqueCount="1213">
  <si>
    <t>DRG Definition</t>
  </si>
  <si>
    <t>Provider Id</t>
  </si>
  <si>
    <t>Provider Name</t>
  </si>
  <si>
    <t>Provider Street Address</t>
  </si>
  <si>
    <t>Provider City</t>
  </si>
  <si>
    <t>Provider State</t>
  </si>
  <si>
    <t>Provider Zip Code</t>
  </si>
  <si>
    <t>Hospital Referral Region Description</t>
  </si>
  <si>
    <t xml:space="preserve"> Total Discharges </t>
  </si>
  <si>
    <t xml:space="preserve"> Average Covered Charges </t>
  </si>
  <si>
    <t xml:space="preserve">Formatted </t>
  </si>
  <si>
    <t xml:space="preserve"> Average Total Payments </t>
  </si>
  <si>
    <t>Charges</t>
  </si>
  <si>
    <t>Average Medicare Payments</t>
  </si>
  <si>
    <t>039 - EXTRACRANIAL PROCEDURES W/O CC/MCC</t>
  </si>
  <si>
    <t>SOUTHEAST ALABAMA MEDICAL CENTER</t>
  </si>
  <si>
    <t>1108 ROSS CLARK CIRCLE</t>
  </si>
  <si>
    <t>DOTHAN</t>
  </si>
  <si>
    <t>AL</t>
  </si>
  <si>
    <t>AL - Dothan</t>
  </si>
  <si>
    <t>$32963.07</t>
  </si>
  <si>
    <t>$5777.24</t>
  </si>
  <si>
    <t>$4763.73</t>
  </si>
  <si>
    <t>MARSHALL MEDICAL CENTER SOUTH</t>
  </si>
  <si>
    <t>2505 U S HIGHWAY 431 NORTH</t>
  </si>
  <si>
    <t>BOAZ</t>
  </si>
  <si>
    <t>AL - Birmingham</t>
  </si>
  <si>
    <t>$15131.85</t>
  </si>
  <si>
    <t>$5787.57</t>
  </si>
  <si>
    <t>$4976.71</t>
  </si>
  <si>
    <t>ELIZA COFFEE MEMORIAL HOSPITAL</t>
  </si>
  <si>
    <t>205 MARENGO STREET</t>
  </si>
  <si>
    <t>FLORENCE</t>
  </si>
  <si>
    <t>$37560.37</t>
  </si>
  <si>
    <t>$5434.95</t>
  </si>
  <si>
    <t>$4453.79</t>
  </si>
  <si>
    <t>ST VINCENT'S EAST</t>
  </si>
  <si>
    <t>50 MEDICAL PARK EAST DRIVE</t>
  </si>
  <si>
    <t>BIRMINGHAM</t>
  </si>
  <si>
    <t>$13998.28</t>
  </si>
  <si>
    <t>$5417.56</t>
  </si>
  <si>
    <t>$4129.16</t>
  </si>
  <si>
    <t>SHELBY BAPTIST MEDICAL CENTER</t>
  </si>
  <si>
    <t>1000 FIRST STREET NORTH</t>
  </si>
  <si>
    <t>ALABASTER</t>
  </si>
  <si>
    <t>$31633.27</t>
  </si>
  <si>
    <t>$5658.33</t>
  </si>
  <si>
    <t>$4851.44</t>
  </si>
  <si>
    <t>BAPTIST MEDICAL CENTER SOUTH</t>
  </si>
  <si>
    <t>2105 EAST SOUTH BOULEVARD</t>
  </si>
  <si>
    <t>MONTGOMERY</t>
  </si>
  <si>
    <t>AL - Montgomery</t>
  </si>
  <si>
    <t>$16920.79</t>
  </si>
  <si>
    <t>$6653.80</t>
  </si>
  <si>
    <t>$5374.14</t>
  </si>
  <si>
    <t>EAST ALABAMA MEDICAL CENTER AND SNF</t>
  </si>
  <si>
    <t>2000 PEPPERELL PARKWAY</t>
  </si>
  <si>
    <t>OPELIKA</t>
  </si>
  <si>
    <t>$11977.13</t>
  </si>
  <si>
    <t>$5834.74</t>
  </si>
  <si>
    <t>$4761.41</t>
  </si>
  <si>
    <t>UNIVERSITY OF ALABAMA HOSPITAL</t>
  </si>
  <si>
    <t>619 SOUTH 19TH STREET</t>
  </si>
  <si>
    <t>$35841.09</t>
  </si>
  <si>
    <t>$8031.12</t>
  </si>
  <si>
    <t>$5858.50</t>
  </si>
  <si>
    <t>HUNTSVILLE HOSPITAL</t>
  </si>
  <si>
    <t>101 SIVLEY RD</t>
  </si>
  <si>
    <t>HUNTSVILLE</t>
  </si>
  <si>
    <t>AL - Huntsville</t>
  </si>
  <si>
    <t>$28523.39</t>
  </si>
  <si>
    <t>$6113.38</t>
  </si>
  <si>
    <t>$5228.40</t>
  </si>
  <si>
    <t>GADSDEN REGIONAL MEDICAL CENTER</t>
  </si>
  <si>
    <t>1007 GOODYEAR AVENUE</t>
  </si>
  <si>
    <t>GADSDEN</t>
  </si>
  <si>
    <t>$75233.38</t>
  </si>
  <si>
    <t>$5541.05</t>
  </si>
  <si>
    <t>$4386.94</t>
  </si>
  <si>
    <t>RIVERVIEW REGIONAL MEDICAL CENTER</t>
  </si>
  <si>
    <t>600 SOUTH THIRD STREET</t>
  </si>
  <si>
    <t>$67327.92</t>
  </si>
  <si>
    <t>$5461.57</t>
  </si>
  <si>
    <t>$4493.57</t>
  </si>
  <si>
    <t>FLOWERS HOSPITAL</t>
  </si>
  <si>
    <t>4370 WEST MAIN STREET</t>
  </si>
  <si>
    <t>$39607.28</t>
  </si>
  <si>
    <t>$5356.28</t>
  </si>
  <si>
    <t>$4408.20</t>
  </si>
  <si>
    <t>ST VINCENT'S BIRMINGHAM</t>
  </si>
  <si>
    <t>810 ST VINCENT'S DRIVE</t>
  </si>
  <si>
    <t>$22862.23</t>
  </si>
  <si>
    <t>$5374.65</t>
  </si>
  <si>
    <t>$4186.02</t>
  </si>
  <si>
    <t>NORTHEAST ALABAMA REGIONAL MED CENTER</t>
  </si>
  <si>
    <t>400 EAST 10TH STREET</t>
  </si>
  <si>
    <t>ANNISTON</t>
  </si>
  <si>
    <t>$31110.85</t>
  </si>
  <si>
    <t>$5366.23</t>
  </si>
  <si>
    <t>$4376.23</t>
  </si>
  <si>
    <t>SOUTH BALDWIN REGIONAL MEDICAL CENTER</t>
  </si>
  <si>
    <t>1613 NORTH MCKENZIE STREET</t>
  </si>
  <si>
    <t>FOLEY</t>
  </si>
  <si>
    <t>AL - Mobile</t>
  </si>
  <si>
    <t>$25411.33</t>
  </si>
  <si>
    <t>$5282.93</t>
  </si>
  <si>
    <t>$4383.73</t>
  </si>
  <si>
    <t>DECATUR GENERAL HOSPITAL</t>
  </si>
  <si>
    <t>1201 7TH STREET SE</t>
  </si>
  <si>
    <t>DECATUR</t>
  </si>
  <si>
    <t>$9234.51</t>
  </si>
  <si>
    <t>$5676.55</t>
  </si>
  <si>
    <t>$4509.11</t>
  </si>
  <si>
    <t>PROVIDENCE HOSPITAL</t>
  </si>
  <si>
    <t>6801 AIRPORT BOULEVARD</t>
  </si>
  <si>
    <t>MOBILE</t>
  </si>
  <si>
    <t>$15895.85</t>
  </si>
  <si>
    <t>$5930.11</t>
  </si>
  <si>
    <t>$3972.85</t>
  </si>
  <si>
    <t>D C H REGIONAL MEDICAL CENTER</t>
  </si>
  <si>
    <t>809 UNIVERSITY BOULEVARD EAST</t>
  </si>
  <si>
    <t>TUSCALOOSA</t>
  </si>
  <si>
    <t>AL - Tuscaloosa</t>
  </si>
  <si>
    <t>$19721.16</t>
  </si>
  <si>
    <t>$6192.54</t>
  </si>
  <si>
    <t>$5179.38</t>
  </si>
  <si>
    <t>THOMAS HOSPITAL</t>
  </si>
  <si>
    <t>750 MORPHY AVENUE</t>
  </si>
  <si>
    <t>FAIRHOPE</t>
  </si>
  <si>
    <t>$10710.88</t>
  </si>
  <si>
    <t>$4968.00</t>
  </si>
  <si>
    <t>$3898.88</t>
  </si>
  <si>
    <t>BAPTIST MEDICAL CENTER-PRINCETON</t>
  </si>
  <si>
    <t>701 PRINCETON AVENUE SOUTHWEST</t>
  </si>
  <si>
    <t>$51343.75</t>
  </si>
  <si>
    <t>$5996.00</t>
  </si>
  <si>
    <t>$4962.45</t>
  </si>
  <si>
    <t>TRINITY MEDICAL CENTER</t>
  </si>
  <si>
    <t>800 MONTCLAIR RD</t>
  </si>
  <si>
    <t>$55219.31</t>
  </si>
  <si>
    <t>$5710.31</t>
  </si>
  <si>
    <t>$4471.68</t>
  </si>
  <si>
    <t>MOBILE INFIRMARY</t>
  </si>
  <si>
    <t>5 MOBILE INFIRMARY CIRCLE</t>
  </si>
  <si>
    <t>$14948.15</t>
  </si>
  <si>
    <t>$5550.90</t>
  </si>
  <si>
    <t>$4219.90</t>
  </si>
  <si>
    <t>BROOKWOOD MEDICAL CENTER</t>
  </si>
  <si>
    <t>2010 BROOKWOOD MEDICAL CENTER DRIVE</t>
  </si>
  <si>
    <t>$73846.21</t>
  </si>
  <si>
    <t>$4987.26</t>
  </si>
  <si>
    <t>$3944.42</t>
  </si>
  <si>
    <t>39 - EXTRACRANIAL PROCEDURES W/O CC/MCC</t>
  </si>
  <si>
    <t>1109 ROSS CLARK CIRCLE</t>
  </si>
  <si>
    <t>$32963.08</t>
  </si>
  <si>
    <t>$5777.25</t>
  </si>
  <si>
    <t>$4763.74</t>
  </si>
  <si>
    <t>2506 U S HIGHWAY 431 NORTH</t>
  </si>
  <si>
    <t>$15131.86</t>
  </si>
  <si>
    <t>$5787.58</t>
  </si>
  <si>
    <t>$4976.72</t>
  </si>
  <si>
    <t>206 MARENGO STREET</t>
  </si>
  <si>
    <t>$37560.38</t>
  </si>
  <si>
    <t>$5434.96</t>
  </si>
  <si>
    <t>$4453.80</t>
  </si>
  <si>
    <t>51 MEDICAL PARK EAST DRIVE</t>
  </si>
  <si>
    <t>$13998.29</t>
  </si>
  <si>
    <t>$5417.57</t>
  </si>
  <si>
    <t>$4129.17</t>
  </si>
  <si>
    <t>1001 FIRST STREET NORTH</t>
  </si>
  <si>
    <t>$31633.28</t>
  </si>
  <si>
    <t>$5658.34</t>
  </si>
  <si>
    <t>$4851.45</t>
  </si>
  <si>
    <t>2106 EAST SOUTH BOULEVARD</t>
  </si>
  <si>
    <t>$16920.80</t>
  </si>
  <si>
    <t>$6653.81</t>
  </si>
  <si>
    <t>$5374.15</t>
  </si>
  <si>
    <t>2001 PEPPERELL PARKWAY</t>
  </si>
  <si>
    <t>$11977.14</t>
  </si>
  <si>
    <t>$5834.75</t>
  </si>
  <si>
    <t>$4761.42</t>
  </si>
  <si>
    <t>620 SOUTH 19TH STREET</t>
  </si>
  <si>
    <t>$35841.10</t>
  </si>
  <si>
    <t>$8031.13</t>
  </si>
  <si>
    <t>$5858.51</t>
  </si>
  <si>
    <t>102 SIVLEY RD</t>
  </si>
  <si>
    <t>$28523.40</t>
  </si>
  <si>
    <t>$6113.39</t>
  </si>
  <si>
    <t>$5228.41</t>
  </si>
  <si>
    <t>1008 GOODYEAR AVENUE</t>
  </si>
  <si>
    <t>$75233.39</t>
  </si>
  <si>
    <t>$5541.06</t>
  </si>
  <si>
    <t>$4386.95</t>
  </si>
  <si>
    <t>601 SOUTH THIRD STREET</t>
  </si>
  <si>
    <t>$67327.93</t>
  </si>
  <si>
    <t>$5461.58</t>
  </si>
  <si>
    <t>$4493.58</t>
  </si>
  <si>
    <t>4371 WEST MAIN STREET</t>
  </si>
  <si>
    <t>$39607.29</t>
  </si>
  <si>
    <t>$5356.29</t>
  </si>
  <si>
    <t>$4408.21</t>
  </si>
  <si>
    <t>811 ST VINCENT'S DRIVE</t>
  </si>
  <si>
    <t>$22862.24</t>
  </si>
  <si>
    <t>$5374.66</t>
  </si>
  <si>
    <t>$4186.03</t>
  </si>
  <si>
    <t>401 EAST 10TH STREET</t>
  </si>
  <si>
    <t>$31110.86</t>
  </si>
  <si>
    <t>$5366.24</t>
  </si>
  <si>
    <t>$4376.24</t>
  </si>
  <si>
    <t>1614 NORTH MCKENZIE STREET</t>
  </si>
  <si>
    <t>$25411.34</t>
  </si>
  <si>
    <t>$5282.94</t>
  </si>
  <si>
    <t>$4383.74</t>
  </si>
  <si>
    <t>1202 7TH STREET SE</t>
  </si>
  <si>
    <t>$9234.52</t>
  </si>
  <si>
    <t>$5676.56</t>
  </si>
  <si>
    <t>$4509.12</t>
  </si>
  <si>
    <t>6802 AIRPORT BOULEVARD</t>
  </si>
  <si>
    <t>$15895.86</t>
  </si>
  <si>
    <t>$5930.12</t>
  </si>
  <si>
    <t>$3972.86</t>
  </si>
  <si>
    <t>810 UNIVERSITY BOULEVARD EAST</t>
  </si>
  <si>
    <t>$19721.17</t>
  </si>
  <si>
    <t>$6192.55</t>
  </si>
  <si>
    <t>$5179.39</t>
  </si>
  <si>
    <t>751 MORPHY AVENUE</t>
  </si>
  <si>
    <t>$10710.89</t>
  </si>
  <si>
    <t>$4968.01</t>
  </si>
  <si>
    <t>$3898.89</t>
  </si>
  <si>
    <t>702 PRINCETON AVENUE SOUTHWEST</t>
  </si>
  <si>
    <t>$51343.76</t>
  </si>
  <si>
    <t>$5996.01</t>
  </si>
  <si>
    <t>$4962.46</t>
  </si>
  <si>
    <t>801 MONTCLAIR RD</t>
  </si>
  <si>
    <t>$55219.32</t>
  </si>
  <si>
    <t>$5710.32</t>
  </si>
  <si>
    <t>$4471.69</t>
  </si>
  <si>
    <t>6 MOBILE INFIRMARY CIRCLE</t>
  </si>
  <si>
    <t>$14948.16</t>
  </si>
  <si>
    <t>$5550.91</t>
  </si>
  <si>
    <t>$4219.91</t>
  </si>
  <si>
    <t>2011 BROOKWOOD MEDICAL CENTER DRIVE</t>
  </si>
  <si>
    <t>$73846.22</t>
  </si>
  <si>
    <t>$4987.27</t>
  </si>
  <si>
    <t>$3944.43</t>
  </si>
  <si>
    <t>1110 ROSS CLARK CIRCLE</t>
  </si>
  <si>
    <t>$32963.09</t>
  </si>
  <si>
    <t>$5777.26</t>
  </si>
  <si>
    <t>$4763.75</t>
  </si>
  <si>
    <t>2507 U S HIGHWAY 431 NORTH</t>
  </si>
  <si>
    <t>$15131.87</t>
  </si>
  <si>
    <t>$5787.59</t>
  </si>
  <si>
    <t>$4976.73</t>
  </si>
  <si>
    <t>207 MARENGO STREET</t>
  </si>
  <si>
    <t>$37560.39</t>
  </si>
  <si>
    <t>$5434.97</t>
  </si>
  <si>
    <t>$4453.81</t>
  </si>
  <si>
    <t>52 MEDICAL PARK EAST DRIVE</t>
  </si>
  <si>
    <t>$13998.30</t>
  </si>
  <si>
    <t>$5417.58</t>
  </si>
  <si>
    <t>$4129.18</t>
  </si>
  <si>
    <t>1002 FIRST STREET NORTH</t>
  </si>
  <si>
    <t>$31633.29</t>
  </si>
  <si>
    <t>$5658.35</t>
  </si>
  <si>
    <t>$4851.46</t>
  </si>
  <si>
    <t>2107 EAST SOUTH BOULEVARD</t>
  </si>
  <si>
    <t>$16920.81</t>
  </si>
  <si>
    <t>$6653.82</t>
  </si>
  <si>
    <t>$5374.16</t>
  </si>
  <si>
    <t>2002 PEPPERELL PARKWAY</t>
  </si>
  <si>
    <t>$11977.15</t>
  </si>
  <si>
    <t>$5834.76</t>
  </si>
  <si>
    <t>$4761.43</t>
  </si>
  <si>
    <t>621 SOUTH 19TH STREET</t>
  </si>
  <si>
    <t>$35841.11</t>
  </si>
  <si>
    <t>$8031.14</t>
  </si>
  <si>
    <t>$5858.52</t>
  </si>
  <si>
    <t>103 SIVLEY RD</t>
  </si>
  <si>
    <t>$28523.41</t>
  </si>
  <si>
    <t>$6113.40</t>
  </si>
  <si>
    <t>$5228.42</t>
  </si>
  <si>
    <t>1009 GOODYEAR AVENUE</t>
  </si>
  <si>
    <t>$75233.40</t>
  </si>
  <si>
    <t>$5541.07</t>
  </si>
  <si>
    <t>$4386.96</t>
  </si>
  <si>
    <t>602 SOUTH THIRD STREET</t>
  </si>
  <si>
    <t>$67327.94</t>
  </si>
  <si>
    <t>$5461.59</t>
  </si>
  <si>
    <t>$4493.59</t>
  </si>
  <si>
    <t>4372 WEST MAIN STREET</t>
  </si>
  <si>
    <t>$39607.30</t>
  </si>
  <si>
    <t>$5356.30</t>
  </si>
  <si>
    <t>$4408.22</t>
  </si>
  <si>
    <t>812 ST VINCENT'S DRIVE</t>
  </si>
  <si>
    <t>$22862.25</t>
  </si>
  <si>
    <t>$5374.67</t>
  </si>
  <si>
    <t>$4186.04</t>
  </si>
  <si>
    <t>402 EAST 10TH STREET</t>
  </si>
  <si>
    <t>$31110.87</t>
  </si>
  <si>
    <t>$5366.25</t>
  </si>
  <si>
    <t>$4376.25</t>
  </si>
  <si>
    <t>1615 NORTH MCKENZIE STREET</t>
  </si>
  <si>
    <t>$25411.35</t>
  </si>
  <si>
    <t>$5282.95</t>
  </si>
  <si>
    <t>$4383.75</t>
  </si>
  <si>
    <t>1203 7TH STREET SE</t>
  </si>
  <si>
    <t>$9234.53</t>
  </si>
  <si>
    <t>$5676.57</t>
  </si>
  <si>
    <t>$4509.13</t>
  </si>
  <si>
    <t>6803 AIRPORT BOULEVARD</t>
  </si>
  <si>
    <t>$15895.87</t>
  </si>
  <si>
    <t>$5930.13</t>
  </si>
  <si>
    <t>$3972.87</t>
  </si>
  <si>
    <t>811 UNIVERSITY BOULEVARD EAST</t>
  </si>
  <si>
    <t>$19721.18</t>
  </si>
  <si>
    <t>$6192.56</t>
  </si>
  <si>
    <t>$5179.40</t>
  </si>
  <si>
    <t>752 MORPHY AVENUE</t>
  </si>
  <si>
    <t>$10710.90</t>
  </si>
  <si>
    <t>$4968.02</t>
  </si>
  <si>
    <t>$3898.90</t>
  </si>
  <si>
    <t>703 PRINCETON AVENUE SOUTHWEST</t>
  </si>
  <si>
    <t>$51343.77</t>
  </si>
  <si>
    <t>$5996.02</t>
  </si>
  <si>
    <t>$4962.47</t>
  </si>
  <si>
    <t>802 MONTCLAIR RD</t>
  </si>
  <si>
    <t>$55219.33</t>
  </si>
  <si>
    <t>$5710.33</t>
  </si>
  <si>
    <t>$4471.70</t>
  </si>
  <si>
    <t>7 MOBILE INFIRMARY CIRCLE</t>
  </si>
  <si>
    <t>$14948.17</t>
  </si>
  <si>
    <t>$5550.92</t>
  </si>
  <si>
    <t>$4219.92</t>
  </si>
  <si>
    <t>2012 BROOKWOOD MEDICAL CENTER DRIVE</t>
  </si>
  <si>
    <t>$73846.23</t>
  </si>
  <si>
    <t>$4987.28</t>
  </si>
  <si>
    <t>$3944.44</t>
  </si>
  <si>
    <t>1111 ROSS CLARK CIRCLE</t>
  </si>
  <si>
    <t>$32963.10</t>
  </si>
  <si>
    <t>$5777.27</t>
  </si>
  <si>
    <t>$4763.76</t>
  </si>
  <si>
    <t>2508 U S HIGHWAY 431 NORTH</t>
  </si>
  <si>
    <t>$15131.88</t>
  </si>
  <si>
    <t>$5787.60</t>
  </si>
  <si>
    <t>$4976.74</t>
  </si>
  <si>
    <t>208 MARENGO STREET</t>
  </si>
  <si>
    <t>$37560.40</t>
  </si>
  <si>
    <t>$5434.98</t>
  </si>
  <si>
    <t>$4453.82</t>
  </si>
  <si>
    <t>53 MEDICAL PARK EAST DRIVE</t>
  </si>
  <si>
    <t>$13998.31</t>
  </si>
  <si>
    <t>$5417.59</t>
  </si>
  <si>
    <t>$4129.19</t>
  </si>
  <si>
    <t>1003 FIRST STREET NORTH</t>
  </si>
  <si>
    <t>$31633.30</t>
  </si>
  <si>
    <t>$5658.36</t>
  </si>
  <si>
    <t>$4851.47</t>
  </si>
  <si>
    <t>2108 EAST SOUTH BOULEVARD</t>
  </si>
  <si>
    <t>$16920.82</t>
  </si>
  <si>
    <t>$6653.83</t>
  </si>
  <si>
    <t>$5374.17</t>
  </si>
  <si>
    <t>2003 PEPPERELL PARKWAY</t>
  </si>
  <si>
    <t>$11977.16</t>
  </si>
  <si>
    <t>$5834.77</t>
  </si>
  <si>
    <t>$4761.44</t>
  </si>
  <si>
    <t>622 SOUTH 19TH STREET</t>
  </si>
  <si>
    <t>$35841.12</t>
  </si>
  <si>
    <t>$8031.15</t>
  </si>
  <si>
    <t>$5858.53</t>
  </si>
  <si>
    <t>104 SIVLEY RD</t>
  </si>
  <si>
    <t>$28523.42</t>
  </si>
  <si>
    <t>$6113.41</t>
  </si>
  <si>
    <t>$5228.43</t>
  </si>
  <si>
    <t>1010 GOODYEAR AVENUE</t>
  </si>
  <si>
    <t>$75233.41</t>
  </si>
  <si>
    <t>$5541.08</t>
  </si>
  <si>
    <t>$4386.97</t>
  </si>
  <si>
    <t>603 SOUTH THIRD STREET</t>
  </si>
  <si>
    <t>$67327.95</t>
  </si>
  <si>
    <t>$5461.60</t>
  </si>
  <si>
    <t>$4493.60</t>
  </si>
  <si>
    <t>4373 WEST MAIN STREET</t>
  </si>
  <si>
    <t>$39607.31</t>
  </si>
  <si>
    <t>$5356.31</t>
  </si>
  <si>
    <t>$4408.23</t>
  </si>
  <si>
    <t>813 ST VINCENT'S DRIVE</t>
  </si>
  <si>
    <t>$22862.26</t>
  </si>
  <si>
    <t>$5374.68</t>
  </si>
  <si>
    <t>$4186.05</t>
  </si>
  <si>
    <t>403 EAST 10TH STREET</t>
  </si>
  <si>
    <t>$31110.88</t>
  </si>
  <si>
    <t>$5366.26</t>
  </si>
  <si>
    <t>$4376.26</t>
  </si>
  <si>
    <t>1616 NORTH MCKENZIE STREET</t>
  </si>
  <si>
    <t>$25411.36</t>
  </si>
  <si>
    <t>$5282.96</t>
  </si>
  <si>
    <t>$4383.76</t>
  </si>
  <si>
    <t>1204 7TH STREET SE</t>
  </si>
  <si>
    <t>$9234.54</t>
  </si>
  <si>
    <t>$5676.58</t>
  </si>
  <si>
    <t>$4509.14</t>
  </si>
  <si>
    <t>6804 AIRPORT BOULEVARD</t>
  </si>
  <si>
    <t>$15895.88</t>
  </si>
  <si>
    <t>$5930.14</t>
  </si>
  <si>
    <t>$3972.88</t>
  </si>
  <si>
    <t>812 UNIVERSITY BOULEVARD EAST</t>
  </si>
  <si>
    <t>$19721.19</t>
  </si>
  <si>
    <t>$6192.57</t>
  </si>
  <si>
    <t>$5179.41</t>
  </si>
  <si>
    <t>753 MORPHY AVENUE</t>
  </si>
  <si>
    <t>$10710.91</t>
  </si>
  <si>
    <t>$4968.03</t>
  </si>
  <si>
    <t>$3898.91</t>
  </si>
  <si>
    <t>704 PRINCETON AVENUE SOUTHWEST</t>
  </si>
  <si>
    <t>$51343.78</t>
  </si>
  <si>
    <t>$5996.03</t>
  </si>
  <si>
    <t>$4962.48</t>
  </si>
  <si>
    <t>803 MONTCLAIR RD</t>
  </si>
  <si>
    <t>$55219.34</t>
  </si>
  <si>
    <t>$5710.34</t>
  </si>
  <si>
    <t>$4471.71</t>
  </si>
  <si>
    <t>8 MOBILE INFIRMARY CIRCLE</t>
  </si>
  <si>
    <t>$14948.18</t>
  </si>
  <si>
    <t>$5550.93</t>
  </si>
  <si>
    <t>$4219.93</t>
  </si>
  <si>
    <t>2013 BROOKWOOD MEDICAL CENTER DRIVE</t>
  </si>
  <si>
    <t>$73846.24</t>
  </si>
  <si>
    <t>$4987.29</t>
  </si>
  <si>
    <t>$3944.45</t>
  </si>
  <si>
    <t>1112 ROSS CLARK CIRCLE</t>
  </si>
  <si>
    <t>$32963.11</t>
  </si>
  <si>
    <t>$5777.28</t>
  </si>
  <si>
    <t>$4763.77</t>
  </si>
  <si>
    <t>2509 U S HIGHWAY 431 NORTH</t>
  </si>
  <si>
    <t>$15131.89</t>
  </si>
  <si>
    <t>$5787.61</t>
  </si>
  <si>
    <t>$4976.75</t>
  </si>
  <si>
    <t>209 MARENGO STREET</t>
  </si>
  <si>
    <t>$37560.41</t>
  </si>
  <si>
    <t>$5434.99</t>
  </si>
  <si>
    <t>$4453.83</t>
  </si>
  <si>
    <t>54 MEDICAL PARK EAST DRIVE</t>
  </si>
  <si>
    <t>$13998.32</t>
  </si>
  <si>
    <t>$5417.60</t>
  </si>
  <si>
    <t>$4129.20</t>
  </si>
  <si>
    <t>1004 FIRST STREET NORTH</t>
  </si>
  <si>
    <t>$31633.31</t>
  </si>
  <si>
    <t>$5658.37</t>
  </si>
  <si>
    <t>$4851.48</t>
  </si>
  <si>
    <t>2109 EAST SOUTH BOULEVARD</t>
  </si>
  <si>
    <t>$16920.83</t>
  </si>
  <si>
    <t>$6653.84</t>
  </si>
  <si>
    <t>$5374.18</t>
  </si>
  <si>
    <t>2004 PEPPERELL PARKWAY</t>
  </si>
  <si>
    <t>$11977.17</t>
  </si>
  <si>
    <t>$5834.78</t>
  </si>
  <si>
    <t>$4761.45</t>
  </si>
  <si>
    <t>623 SOUTH 19TH STREET</t>
  </si>
  <si>
    <t>$35841.13</t>
  </si>
  <si>
    <t>$8031.16</t>
  </si>
  <si>
    <t>$5858.54</t>
  </si>
  <si>
    <t>105 SIVLEY RD</t>
  </si>
  <si>
    <t>$28523.43</t>
  </si>
  <si>
    <t>$6113.42</t>
  </si>
  <si>
    <t>$5228.44</t>
  </si>
  <si>
    <t>1011 GOODYEAR AVENUE</t>
  </si>
  <si>
    <t>$75233.42</t>
  </si>
  <si>
    <t>$5541.09</t>
  </si>
  <si>
    <t>$4386.98</t>
  </si>
  <si>
    <t>604 SOUTH THIRD STREET</t>
  </si>
  <si>
    <t>$67327.96</t>
  </si>
  <si>
    <t>$5461.61</t>
  </si>
  <si>
    <t>$4493.61</t>
  </si>
  <si>
    <t>4374 WEST MAIN STREET</t>
  </si>
  <si>
    <t>$39607.32</t>
  </si>
  <si>
    <t>$5356.32</t>
  </si>
  <si>
    <t>$4408.24</t>
  </si>
  <si>
    <t>814 ST VINCENT'S DRIVE</t>
  </si>
  <si>
    <t>$22862.27</t>
  </si>
  <si>
    <t>$5374.69</t>
  </si>
  <si>
    <t>$4186.06</t>
  </si>
  <si>
    <t>404 EAST 10TH STREET</t>
  </si>
  <si>
    <t>$31110.89</t>
  </si>
  <si>
    <t>$5366.27</t>
  </si>
  <si>
    <t>$4376.27</t>
  </si>
  <si>
    <t>1617 NORTH MCKENZIE STREET</t>
  </si>
  <si>
    <t>$25411.37</t>
  </si>
  <si>
    <t>$5282.97</t>
  </si>
  <si>
    <t>$4383.77</t>
  </si>
  <si>
    <t>1205 7TH STREET SE</t>
  </si>
  <si>
    <t>$9234.55</t>
  </si>
  <si>
    <t>$5676.59</t>
  </si>
  <si>
    <t>$4509.15</t>
  </si>
  <si>
    <t>6805 AIRPORT BOULEVARD</t>
  </si>
  <si>
    <t>$15895.89</t>
  </si>
  <si>
    <t>$5930.15</t>
  </si>
  <si>
    <t>$3972.89</t>
  </si>
  <si>
    <t>813 UNIVERSITY BOULEVARD EAST</t>
  </si>
  <si>
    <t>$19721.20</t>
  </si>
  <si>
    <t>$6192.58</t>
  </si>
  <si>
    <t>$5179.42</t>
  </si>
  <si>
    <t>754 MORPHY AVENUE</t>
  </si>
  <si>
    <t>$10710.92</t>
  </si>
  <si>
    <t>$4968.04</t>
  </si>
  <si>
    <t>$3898.92</t>
  </si>
  <si>
    <t>705 PRINCETON AVENUE SOUTHWEST</t>
  </si>
  <si>
    <t>$51343.79</t>
  </si>
  <si>
    <t>$5996.04</t>
  </si>
  <si>
    <t>$4962.49</t>
  </si>
  <si>
    <t>804 MONTCLAIR RD</t>
  </si>
  <si>
    <t>$55219.35</t>
  </si>
  <si>
    <t>$5710.35</t>
  </si>
  <si>
    <t>$4471.72</t>
  </si>
  <si>
    <t>9 MOBILE INFIRMARY CIRCLE</t>
  </si>
  <si>
    <t>$14948.19</t>
  </si>
  <si>
    <t>$5550.94</t>
  </si>
  <si>
    <t>$4219.94</t>
  </si>
  <si>
    <t>2014 BROOKWOOD MEDICAL CENTER DRIVE</t>
  </si>
  <si>
    <t>$73846.25</t>
  </si>
  <si>
    <t>$4987.30</t>
  </si>
  <si>
    <t>$3944.46</t>
  </si>
  <si>
    <t>1113 ROSS CLARK CIRCLE</t>
  </si>
  <si>
    <t>$32963.12</t>
  </si>
  <si>
    <t>$5777.29</t>
  </si>
  <si>
    <t>$4763.78</t>
  </si>
  <si>
    <t>2510 U S HIGHWAY 431 NORTH</t>
  </si>
  <si>
    <t>$15131.90</t>
  </si>
  <si>
    <t>$5787.62</t>
  </si>
  <si>
    <t>$4976.76</t>
  </si>
  <si>
    <t>210 MARENGO STREET</t>
  </si>
  <si>
    <t>$37560.42</t>
  </si>
  <si>
    <t>$5434.100</t>
  </si>
  <si>
    <t>$4453.84</t>
  </si>
  <si>
    <t>55 MEDICAL PARK EAST DRIVE</t>
  </si>
  <si>
    <t>$13998.33</t>
  </si>
  <si>
    <t>$5417.61</t>
  </si>
  <si>
    <t>$4129.21</t>
  </si>
  <si>
    <t>1005 FIRST STREET NORTH</t>
  </si>
  <si>
    <t>$31633.32</t>
  </si>
  <si>
    <t>$5658.38</t>
  </si>
  <si>
    <t>$4851.49</t>
  </si>
  <si>
    <t>2110 EAST SOUTH BOULEVARD</t>
  </si>
  <si>
    <t>$16920.84</t>
  </si>
  <si>
    <t>$6653.85</t>
  </si>
  <si>
    <t>$5374.19</t>
  </si>
  <si>
    <t>2005 PEPPERELL PARKWAY</t>
  </si>
  <si>
    <t>$11977.18</t>
  </si>
  <si>
    <t>$5834.79</t>
  </si>
  <si>
    <t>$4761.46</t>
  </si>
  <si>
    <t>624 SOUTH 19TH STREET</t>
  </si>
  <si>
    <t>$35841.14</t>
  </si>
  <si>
    <t>$8031.17</t>
  </si>
  <si>
    <t>$5858.55</t>
  </si>
  <si>
    <t>106 SIVLEY RD</t>
  </si>
  <si>
    <t>$28523.44</t>
  </si>
  <si>
    <t>$6113.43</t>
  </si>
  <si>
    <t>$5228.45</t>
  </si>
  <si>
    <t>1012 GOODYEAR AVENUE</t>
  </si>
  <si>
    <t>$75233.43</t>
  </si>
  <si>
    <t>$5541.10</t>
  </si>
  <si>
    <t>$4386.99</t>
  </si>
  <si>
    <t>605 SOUTH THIRD STREET</t>
  </si>
  <si>
    <t>$67327.97</t>
  </si>
  <si>
    <t>$5461.62</t>
  </si>
  <si>
    <t>$4493.62</t>
  </si>
  <si>
    <t>4375 WEST MAIN STREET</t>
  </si>
  <si>
    <t>$39607.33</t>
  </si>
  <si>
    <t>$5356.33</t>
  </si>
  <si>
    <t>$4408.25</t>
  </si>
  <si>
    <t>815 ST VINCENT'S DRIVE</t>
  </si>
  <si>
    <t>$22862.28</t>
  </si>
  <si>
    <t>$5374.70</t>
  </si>
  <si>
    <t>$4186.07</t>
  </si>
  <si>
    <t>405 EAST 10TH STREET</t>
  </si>
  <si>
    <t>$31110.90</t>
  </si>
  <si>
    <t>$5366.28</t>
  </si>
  <si>
    <t>$4376.28</t>
  </si>
  <si>
    <t>1618 NORTH MCKENZIE STREET</t>
  </si>
  <si>
    <t>$25411.38</t>
  </si>
  <si>
    <t>$5282.98</t>
  </si>
  <si>
    <t>$4383.78</t>
  </si>
  <si>
    <t>1206 7TH STREET SE</t>
  </si>
  <si>
    <t>$9234.56</t>
  </si>
  <si>
    <t>$5676.60</t>
  </si>
  <si>
    <t>$4509.16</t>
  </si>
  <si>
    <t>6806 AIRPORT BOULEVARD</t>
  </si>
  <si>
    <t>$15895.90</t>
  </si>
  <si>
    <t>$5930.16</t>
  </si>
  <si>
    <t>$3972.90</t>
  </si>
  <si>
    <t>814 UNIVERSITY BOULEVARD EAST</t>
  </si>
  <si>
    <t>$19721.21</t>
  </si>
  <si>
    <t>$6192.59</t>
  </si>
  <si>
    <t>$5179.43</t>
  </si>
  <si>
    <t>755 MORPHY AVENUE</t>
  </si>
  <si>
    <t>$10710.93</t>
  </si>
  <si>
    <t>$4968.05</t>
  </si>
  <si>
    <t>$3898.93</t>
  </si>
  <si>
    <t>706 PRINCETON AVENUE SOUTHWEST</t>
  </si>
  <si>
    <t>$51343.80</t>
  </si>
  <si>
    <t>$5996.05</t>
  </si>
  <si>
    <t>$4962.50</t>
  </si>
  <si>
    <t>805 MONTCLAIR RD</t>
  </si>
  <si>
    <t>$55219.36</t>
  </si>
  <si>
    <t>$5710.36</t>
  </si>
  <si>
    <t>$4471.73</t>
  </si>
  <si>
    <t>10 MOBILE INFIRMARY CIRCLE</t>
  </si>
  <si>
    <t>$14948.20</t>
  </si>
  <si>
    <t>$5550.95</t>
  </si>
  <si>
    <t>$4219.95</t>
  </si>
  <si>
    <t>2015 BROOKWOOD MEDICAL CENTER DRIVE</t>
  </si>
  <si>
    <t>$73846.26</t>
  </si>
  <si>
    <t>$4987.31</t>
  </si>
  <si>
    <t>$3944.47</t>
  </si>
  <si>
    <t>1114 ROSS CLARK CIRCLE</t>
  </si>
  <si>
    <t>$32963.13</t>
  </si>
  <si>
    <t>$5777.30</t>
  </si>
  <si>
    <t>$4763.79</t>
  </si>
  <si>
    <t>2511 U S HIGHWAY 431 NORTH</t>
  </si>
  <si>
    <t>$15131.91</t>
  </si>
  <si>
    <t>$5787.63</t>
  </si>
  <si>
    <t>$4976.77</t>
  </si>
  <si>
    <t>211 MARENGO STREET</t>
  </si>
  <si>
    <t>$37560.43</t>
  </si>
  <si>
    <t>$5434.101</t>
  </si>
  <si>
    <t>$4453.85</t>
  </si>
  <si>
    <t>56 MEDICAL PARK EAST DRIVE</t>
  </si>
  <si>
    <t>$13998.34</t>
  </si>
  <si>
    <t>$5417.62</t>
  </si>
  <si>
    <t>$4129.22</t>
  </si>
  <si>
    <t>1006 FIRST STREET NORTH</t>
  </si>
  <si>
    <t>$31633.33</t>
  </si>
  <si>
    <t>$5658.39</t>
  </si>
  <si>
    <t>$4851.50</t>
  </si>
  <si>
    <t>2111 EAST SOUTH BOULEVARD</t>
  </si>
  <si>
    <t>$16920.85</t>
  </si>
  <si>
    <t>$6653.86</t>
  </si>
  <si>
    <t>$5374.20</t>
  </si>
  <si>
    <t>2006 PEPPERELL PARKWAY</t>
  </si>
  <si>
    <t>$11977.19</t>
  </si>
  <si>
    <t>$5834.80</t>
  </si>
  <si>
    <t>$4761.47</t>
  </si>
  <si>
    <t>625 SOUTH 19TH STREET</t>
  </si>
  <si>
    <t>$35841.15</t>
  </si>
  <si>
    <t>$8031.18</t>
  </si>
  <si>
    <t>$5858.56</t>
  </si>
  <si>
    <t>107 SIVLEY RD</t>
  </si>
  <si>
    <t>$28523.45</t>
  </si>
  <si>
    <t>$6113.44</t>
  </si>
  <si>
    <t>$5228.46</t>
  </si>
  <si>
    <t>1013 GOODYEAR AVENUE</t>
  </si>
  <si>
    <t>$75233.44</t>
  </si>
  <si>
    <t>$5541.11</t>
  </si>
  <si>
    <t>$4386.100</t>
  </si>
  <si>
    <t>606 SOUTH THIRD STREET</t>
  </si>
  <si>
    <t>$67327.98</t>
  </si>
  <si>
    <t>$5461.63</t>
  </si>
  <si>
    <t>$4493.63</t>
  </si>
  <si>
    <t>4376 WEST MAIN STREET</t>
  </si>
  <si>
    <t>$39607.34</t>
  </si>
  <si>
    <t>$5356.34</t>
  </si>
  <si>
    <t>$4408.26</t>
  </si>
  <si>
    <t>816 ST VINCENT'S DRIVE</t>
  </si>
  <si>
    <t>$22862.29</t>
  </si>
  <si>
    <t>$5374.71</t>
  </si>
  <si>
    <t>$4186.08</t>
  </si>
  <si>
    <t>406 EAST 10TH STREET</t>
  </si>
  <si>
    <t>$31110.91</t>
  </si>
  <si>
    <t>$5366.29</t>
  </si>
  <si>
    <t>$4376.29</t>
  </si>
  <si>
    <t>1619 NORTH MCKENZIE STREET</t>
  </si>
  <si>
    <t>$25411.39</t>
  </si>
  <si>
    <t>$5282.99</t>
  </si>
  <si>
    <t>$4383.79</t>
  </si>
  <si>
    <t>1207 7TH STREET SE</t>
  </si>
  <si>
    <t>$9234.57</t>
  </si>
  <si>
    <t>$5676.61</t>
  </si>
  <si>
    <t>$4509.17</t>
  </si>
  <si>
    <t>6807 AIRPORT BOULEVARD</t>
  </si>
  <si>
    <t>$15895.91</t>
  </si>
  <si>
    <t>$5930.17</t>
  </si>
  <si>
    <t>$3972.91</t>
  </si>
  <si>
    <t>815 UNIVERSITY BOULEVARD EAST</t>
  </si>
  <si>
    <t>$19721.22</t>
  </si>
  <si>
    <t>$6192.60</t>
  </si>
  <si>
    <t>$5179.44</t>
  </si>
  <si>
    <t>756 MORPHY AVENUE</t>
  </si>
  <si>
    <t>$10710.94</t>
  </si>
  <si>
    <t>$4968.06</t>
  </si>
  <si>
    <t>$3898.94</t>
  </si>
  <si>
    <t>707 PRINCETON AVENUE SOUTHWEST</t>
  </si>
  <si>
    <t>$51343.81</t>
  </si>
  <si>
    <t>$5996.06</t>
  </si>
  <si>
    <t>$4962.51</t>
  </si>
  <si>
    <t>806 MONTCLAIR RD</t>
  </si>
  <si>
    <t>$55219.37</t>
  </si>
  <si>
    <t>$5710.37</t>
  </si>
  <si>
    <t>$4471.74</t>
  </si>
  <si>
    <t>11 MOBILE INFIRMARY CIRCLE</t>
  </si>
  <si>
    <t>$14948.21</t>
  </si>
  <si>
    <t>$5550.96</t>
  </si>
  <si>
    <t>$4219.96</t>
  </si>
  <si>
    <t>2016 BROOKWOOD MEDICAL CENTER DRIVE</t>
  </si>
  <si>
    <t>$73846.27</t>
  </si>
  <si>
    <t>$4987.32</t>
  </si>
  <si>
    <t>$3944.48</t>
  </si>
  <si>
    <t>1115 ROSS CLARK CIRCLE</t>
  </si>
  <si>
    <t>$32963.14</t>
  </si>
  <si>
    <t>$5777.31</t>
  </si>
  <si>
    <t>$4763.80</t>
  </si>
  <si>
    <t>2512 U S HIGHWAY 431 NORTH</t>
  </si>
  <si>
    <t>$15131.92</t>
  </si>
  <si>
    <t>$5787.64</t>
  </si>
  <si>
    <t>$4976.78</t>
  </si>
  <si>
    <t>212 MARENGO STREET</t>
  </si>
  <si>
    <t>$37560.44</t>
  </si>
  <si>
    <t>$5434.102</t>
  </si>
  <si>
    <t>$4453.86</t>
  </si>
  <si>
    <t>57 MEDICAL PARK EAST DRIVE</t>
  </si>
  <si>
    <t>$13998.35</t>
  </si>
  <si>
    <t>$5417.63</t>
  </si>
  <si>
    <t>$4129.23</t>
  </si>
  <si>
    <t>1007 FIRST STREET NORTH</t>
  </si>
  <si>
    <t>$31633.34</t>
  </si>
  <si>
    <t>$5658.40</t>
  </si>
  <si>
    <t>$4851.51</t>
  </si>
  <si>
    <t>2112 EAST SOUTH BOULEVARD</t>
  </si>
  <si>
    <t>$16920.86</t>
  </si>
  <si>
    <t>$6653.87</t>
  </si>
  <si>
    <t>$5374.21</t>
  </si>
  <si>
    <t>2007 PEPPERELL PARKWAY</t>
  </si>
  <si>
    <t>$11977.20</t>
  </si>
  <si>
    <t>$5834.81</t>
  </si>
  <si>
    <t>$4761.48</t>
  </si>
  <si>
    <t>626 SOUTH 19TH STREET</t>
  </si>
  <si>
    <t>$35841.16</t>
  </si>
  <si>
    <t>$8031.19</t>
  </si>
  <si>
    <t>$5858.57</t>
  </si>
  <si>
    <t>108 SIVLEY RD</t>
  </si>
  <si>
    <t>$28523.46</t>
  </si>
  <si>
    <t>$6113.45</t>
  </si>
  <si>
    <t>$5228.47</t>
  </si>
  <si>
    <t>1014 GOODYEAR AVENUE</t>
  </si>
  <si>
    <t>$75233.45</t>
  </si>
  <si>
    <t>$5541.12</t>
  </si>
  <si>
    <t>$4386.101</t>
  </si>
  <si>
    <t>607 SOUTH THIRD STREET</t>
  </si>
  <si>
    <t>$67327.99</t>
  </si>
  <si>
    <t>$5461.64</t>
  </si>
  <si>
    <t>$4493.64</t>
  </si>
  <si>
    <t>4377 WEST MAIN STREET</t>
  </si>
  <si>
    <t>$39607.35</t>
  </si>
  <si>
    <t>$5356.35</t>
  </si>
  <si>
    <t>$4408.27</t>
  </si>
  <si>
    <t>817 ST VINCENT'S DRIVE</t>
  </si>
  <si>
    <t>$22862.30</t>
  </si>
  <si>
    <t>$5374.72</t>
  </si>
  <si>
    <t>$4186.09</t>
  </si>
  <si>
    <t>407 EAST 10TH STREET</t>
  </si>
  <si>
    <t>$31110.92</t>
  </si>
  <si>
    <t>$5366.30</t>
  </si>
  <si>
    <t>$4376.30</t>
  </si>
  <si>
    <t>1620 NORTH MCKENZIE STREET</t>
  </si>
  <si>
    <t>$25411.40</t>
  </si>
  <si>
    <t>$5282.100</t>
  </si>
  <si>
    <t>$4383.80</t>
  </si>
  <si>
    <t>1208 7TH STREET SE</t>
  </si>
  <si>
    <t>$9234.58</t>
  </si>
  <si>
    <t>$5676.62</t>
  </si>
  <si>
    <t>$4509.18</t>
  </si>
  <si>
    <t>6808 AIRPORT BOULEVARD</t>
  </si>
  <si>
    <t>$15895.92</t>
  </si>
  <si>
    <t>$5930.18</t>
  </si>
  <si>
    <t>$3972.92</t>
  </si>
  <si>
    <t>816 UNIVERSITY BOULEVARD EAST</t>
  </si>
  <si>
    <t>$19721.23</t>
  </si>
  <si>
    <t>$6192.61</t>
  </si>
  <si>
    <t>$5179.45</t>
  </si>
  <si>
    <t>757 MORPHY AVENUE</t>
  </si>
  <si>
    <t>$10710.95</t>
  </si>
  <si>
    <t>$4968.07</t>
  </si>
  <si>
    <t>$3898.95</t>
  </si>
  <si>
    <t>708 PRINCETON AVENUE SOUTHWEST</t>
  </si>
  <si>
    <t>$51343.82</t>
  </si>
  <si>
    <t>$5996.07</t>
  </si>
  <si>
    <t>$4962.52</t>
  </si>
  <si>
    <t>807 MONTCLAIR RD</t>
  </si>
  <si>
    <t>$55219.38</t>
  </si>
  <si>
    <t>$5710.38</t>
  </si>
  <si>
    <t>$4471.75</t>
  </si>
  <si>
    <t>12 MOBILE INFIRMARY CIRCLE</t>
  </si>
  <si>
    <t>$14948.22</t>
  </si>
  <si>
    <t>$5550.97</t>
  </si>
  <si>
    <t>$4219.97</t>
  </si>
  <si>
    <t>2017 BROOKWOOD MEDICAL CENTER DRIVE</t>
  </si>
  <si>
    <t>$73846.28</t>
  </si>
  <si>
    <t>$4987.33</t>
  </si>
  <si>
    <t>$3944.49</t>
  </si>
  <si>
    <t>1116 ROSS CLARK CIRCLE</t>
  </si>
  <si>
    <t>$32963.15</t>
  </si>
  <si>
    <t>$5777.32</t>
  </si>
  <si>
    <t>$4763.81</t>
  </si>
  <si>
    <t>2513 U S HIGHWAY 431 NORTH</t>
  </si>
  <si>
    <t>$15131.93</t>
  </si>
  <si>
    <t>$5787.65</t>
  </si>
  <si>
    <t>$4976.79</t>
  </si>
  <si>
    <t>213 MARENGO STREET</t>
  </si>
  <si>
    <t>$37560.45</t>
  </si>
  <si>
    <t>$5434.103</t>
  </si>
  <si>
    <t>$4453.87</t>
  </si>
  <si>
    <t>58 MEDICAL PARK EAST DRIVE</t>
  </si>
  <si>
    <t>$13998.36</t>
  </si>
  <si>
    <t>$5417.64</t>
  </si>
  <si>
    <t>$4129.24</t>
  </si>
  <si>
    <t>1008 FIRST STREET NORTH</t>
  </si>
  <si>
    <t>$31633.35</t>
  </si>
  <si>
    <t>$5658.41</t>
  </si>
  <si>
    <t>$4851.52</t>
  </si>
  <si>
    <t>2113 EAST SOUTH BOULEVARD</t>
  </si>
  <si>
    <t>$16920.87</t>
  </si>
  <si>
    <t>$6653.88</t>
  </si>
  <si>
    <t>$5374.22</t>
  </si>
  <si>
    <t>2008 PEPPERELL PARKWAY</t>
  </si>
  <si>
    <t>$11977.21</t>
  </si>
  <si>
    <t>$5834.82</t>
  </si>
  <si>
    <t>$4761.49</t>
  </si>
  <si>
    <t>627 SOUTH 19TH STREET</t>
  </si>
  <si>
    <t>$35841.17</t>
  </si>
  <si>
    <t>$8031.20</t>
  </si>
  <si>
    <t>$5858.58</t>
  </si>
  <si>
    <t>109 SIVLEY RD</t>
  </si>
  <si>
    <t>$28523.47</t>
  </si>
  <si>
    <t>$6113.46</t>
  </si>
  <si>
    <t>$5228.48</t>
  </si>
  <si>
    <t>1015 GOODYEAR AVENUE</t>
  </si>
  <si>
    <t>$75233.46</t>
  </si>
  <si>
    <t>$5541.13</t>
  </si>
  <si>
    <t>$4386.102</t>
  </si>
  <si>
    <t>608 SOUTH THIRD STREET</t>
  </si>
  <si>
    <t>$67327.100</t>
  </si>
  <si>
    <t>$5461.65</t>
  </si>
  <si>
    <t>$4493.65</t>
  </si>
  <si>
    <t>4378 WEST MAIN STREET</t>
  </si>
  <si>
    <t>$39607.36</t>
  </si>
  <si>
    <t>$5356.36</t>
  </si>
  <si>
    <t>$4408.28</t>
  </si>
  <si>
    <t>818 ST VINCENT'S DRIVE</t>
  </si>
  <si>
    <t>$22862.31</t>
  </si>
  <si>
    <t>$5374.73</t>
  </si>
  <si>
    <t>$4186.10</t>
  </si>
  <si>
    <t>408 EAST 10TH STREET</t>
  </si>
  <si>
    <t>$31110.93</t>
  </si>
  <si>
    <t>$5366.31</t>
  </si>
  <si>
    <t>$4376.31</t>
  </si>
  <si>
    <t>1621 NORTH MCKENZIE STREET</t>
  </si>
  <si>
    <t>$25411.41</t>
  </si>
  <si>
    <t>$5282.101</t>
  </si>
  <si>
    <t>$4383.81</t>
  </si>
  <si>
    <t>1209 7TH STREET SE</t>
  </si>
  <si>
    <t>$9234.59</t>
  </si>
  <si>
    <t>$5676.63</t>
  </si>
  <si>
    <t>$4509.19</t>
  </si>
  <si>
    <t>6809 AIRPORT BOULEVARD</t>
  </si>
  <si>
    <t>$15895.93</t>
  </si>
  <si>
    <t>$5930.19</t>
  </si>
  <si>
    <t>$3972.93</t>
  </si>
  <si>
    <t>817 UNIVERSITY BOULEVARD EAST</t>
  </si>
  <si>
    <t>$19721.24</t>
  </si>
  <si>
    <t>$6192.62</t>
  </si>
  <si>
    <t>$5179.46</t>
  </si>
  <si>
    <t>758 MORPHY AVENUE</t>
  </si>
  <si>
    <t>$10710.96</t>
  </si>
  <si>
    <t>$4968.08</t>
  </si>
  <si>
    <t>$3898.96</t>
  </si>
  <si>
    <t>709 PRINCETON AVENUE SOUTHWEST</t>
  </si>
  <si>
    <t>$51343.83</t>
  </si>
  <si>
    <t>$5996.08</t>
  </si>
  <si>
    <t>$4962.53</t>
  </si>
  <si>
    <t>808 MONTCLAIR RD</t>
  </si>
  <si>
    <t>$55219.39</t>
  </si>
  <si>
    <t>$5710.39</t>
  </si>
  <si>
    <t>$4471.76</t>
  </si>
  <si>
    <t>13 MOBILE INFIRMARY CIRCLE</t>
  </si>
  <si>
    <t>$14948.23</t>
  </si>
  <si>
    <t>$5550.98</t>
  </si>
  <si>
    <t>$4219.98</t>
  </si>
  <si>
    <t>2018 BROOKWOOD MEDICAL CENTER DRIVE</t>
  </si>
  <si>
    <t>$73846.29</t>
  </si>
  <si>
    <t>$4987.34</t>
  </si>
  <si>
    <t>$3944.50</t>
  </si>
  <si>
    <t>1117 ROSS CLARK CIRCLE</t>
  </si>
  <si>
    <t>$32963.16</t>
  </si>
  <si>
    <t>$5777.33</t>
  </si>
  <si>
    <t>$4763.82</t>
  </si>
  <si>
    <t>2514 U S HIGHWAY 431 NORTH</t>
  </si>
  <si>
    <t>$15131.94</t>
  </si>
  <si>
    <t>$5787.66</t>
  </si>
  <si>
    <t>$4976.80</t>
  </si>
  <si>
    <t>214 MARENGO STREET</t>
  </si>
  <si>
    <t>$37560.46</t>
  </si>
  <si>
    <t>$5434.104</t>
  </si>
  <si>
    <t>$4453.88</t>
  </si>
  <si>
    <t>59 MEDICAL PARK EAST DRIVE</t>
  </si>
  <si>
    <t>$13998.37</t>
  </si>
  <si>
    <t>$5417.65</t>
  </si>
  <si>
    <t>$4129.25</t>
  </si>
  <si>
    <t>1009 FIRST STREET NORTH</t>
  </si>
  <si>
    <t>$31633.36</t>
  </si>
  <si>
    <t>$5658.42</t>
  </si>
  <si>
    <t>$4851.53</t>
  </si>
  <si>
    <t>2114 EAST SOUTH BOULEVARD</t>
  </si>
  <si>
    <t>$16920.88</t>
  </si>
  <si>
    <t>$6653.89</t>
  </si>
  <si>
    <t>$5374.23</t>
  </si>
  <si>
    <t>2009 PEPPERELL PARKWAY</t>
  </si>
  <si>
    <t>$11977.22</t>
  </si>
  <si>
    <t>$5834.83</t>
  </si>
  <si>
    <t>$4761.50</t>
  </si>
  <si>
    <t>628 SOUTH 19TH STREET</t>
  </si>
  <si>
    <t>$35841.18</t>
  </si>
  <si>
    <t>$8031.21</t>
  </si>
  <si>
    <t>$5858.59</t>
  </si>
  <si>
    <t>110 SIVLEY RD</t>
  </si>
  <si>
    <t>$28523.48</t>
  </si>
  <si>
    <t>$6113.47</t>
  </si>
  <si>
    <t>$5228.49</t>
  </si>
  <si>
    <t>1016 GOODYEAR AVENUE</t>
  </si>
  <si>
    <t>$75233.47</t>
  </si>
  <si>
    <t>$5541.14</t>
  </si>
  <si>
    <t>$4386.103</t>
  </si>
  <si>
    <t>609 SOUTH THIRD STREET</t>
  </si>
  <si>
    <t>$67327.101</t>
  </si>
  <si>
    <t>$5461.66</t>
  </si>
  <si>
    <t>$4493.66</t>
  </si>
  <si>
    <t>4379 WEST MAIN STREET</t>
  </si>
  <si>
    <t>$39607.37</t>
  </si>
  <si>
    <t>$5356.37</t>
  </si>
  <si>
    <t>$4408.29</t>
  </si>
  <si>
    <t>819 ST VINCENT'S DRIVE</t>
  </si>
  <si>
    <t>$22862.32</t>
  </si>
  <si>
    <t>$5374.74</t>
  </si>
  <si>
    <t>$4186.11</t>
  </si>
  <si>
    <t>409 EAST 10TH STREET</t>
  </si>
  <si>
    <t>$31110.94</t>
  </si>
  <si>
    <t>$5366.32</t>
  </si>
  <si>
    <t>$4376.32</t>
  </si>
  <si>
    <t>1622 NORTH MCKENZIE STREET</t>
  </si>
  <si>
    <t>$25411.42</t>
  </si>
  <si>
    <t>$5282.102</t>
  </si>
  <si>
    <t>$4383.82</t>
  </si>
  <si>
    <t>1210 7TH STREET SE</t>
  </si>
  <si>
    <t>$9234.60</t>
  </si>
  <si>
    <t>$5676.64</t>
  </si>
  <si>
    <t>$4509.20</t>
  </si>
  <si>
    <t>6810 AIRPORT BOULEVARD</t>
  </si>
  <si>
    <t>$15895.94</t>
  </si>
  <si>
    <t>$5930.20</t>
  </si>
  <si>
    <t>$3972.94</t>
  </si>
  <si>
    <t>818 UNIVERSITY BOULEVARD EAST</t>
  </si>
  <si>
    <t>$19721.25</t>
  </si>
  <si>
    <t>$6192.63</t>
  </si>
  <si>
    <t>$5179.47</t>
  </si>
  <si>
    <t>759 MORPHY AVENUE</t>
  </si>
  <si>
    <t>$10710.97</t>
  </si>
  <si>
    <t>$4968.09</t>
  </si>
  <si>
    <t>$3898.97</t>
  </si>
  <si>
    <t>710 PRINCETON AVENUE SOUTHWEST</t>
  </si>
  <si>
    <t>$51343.84</t>
  </si>
  <si>
    <t>$5996.09</t>
  </si>
  <si>
    <t>$4962.54</t>
  </si>
  <si>
    <t>809 MONTCLAIR RD</t>
  </si>
  <si>
    <t>$55219.40</t>
  </si>
  <si>
    <t>$5710.40</t>
  </si>
  <si>
    <t>$4471.77</t>
  </si>
  <si>
    <t>14 MOBILE INFIRMARY CIRCLE</t>
  </si>
  <si>
    <t>$14948.24</t>
  </si>
  <si>
    <t>$5550.99</t>
  </si>
  <si>
    <t>$4219.99</t>
  </si>
  <si>
    <t>2019 BROOKWOOD MEDICAL CENTER DRIVE</t>
  </si>
  <si>
    <t>$73846.30</t>
  </si>
  <si>
    <t>$4987.35</t>
  </si>
  <si>
    <t>$3944.51</t>
  </si>
  <si>
    <t>1118 ROSS CLARK CIRCLE</t>
  </si>
  <si>
    <t>$32963.17</t>
  </si>
  <si>
    <t>$5777.34</t>
  </si>
  <si>
    <t>$4763.83</t>
  </si>
  <si>
    <t>2515 U S HIGHWAY 431 NORTH</t>
  </si>
  <si>
    <t>$15131.95</t>
  </si>
  <si>
    <t>$5787.67</t>
  </si>
  <si>
    <t>$4976.81</t>
  </si>
  <si>
    <t>215 MARENGO STREET</t>
  </si>
  <si>
    <t>$37560.47</t>
  </si>
  <si>
    <t>$5434.105</t>
  </si>
  <si>
    <t>$4453.89</t>
  </si>
  <si>
    <t>60 MEDICAL PARK EAST DRIVE</t>
  </si>
  <si>
    <t>$13998.38</t>
  </si>
  <si>
    <t>$5417.66</t>
  </si>
  <si>
    <t>$4129.26</t>
  </si>
  <si>
    <t>1010 FIRST STREET NORTH</t>
  </si>
  <si>
    <t>$31633.37</t>
  </si>
  <si>
    <t>$5658.43</t>
  </si>
  <si>
    <t>$4851.54</t>
  </si>
  <si>
    <t>2115 EAST SOUTH BOULEVARD</t>
  </si>
  <si>
    <t>$16920.89</t>
  </si>
  <si>
    <t>$6653.90</t>
  </si>
  <si>
    <t>$5374.24</t>
  </si>
  <si>
    <t>2010 PEPPERELL PARKWAY</t>
  </si>
  <si>
    <t>$11977.23</t>
  </si>
  <si>
    <t>$5834.84</t>
  </si>
  <si>
    <t>$4761.51</t>
  </si>
  <si>
    <t>629 SOUTH 19TH STREET</t>
  </si>
  <si>
    <t>$35841.19</t>
  </si>
  <si>
    <t>$8031.22</t>
  </si>
  <si>
    <t>$5858.60</t>
  </si>
  <si>
    <t>111 SIVLEY RD</t>
  </si>
  <si>
    <t>$28523.49</t>
  </si>
  <si>
    <t>$6113.48</t>
  </si>
  <si>
    <t>$5228.50</t>
  </si>
  <si>
    <t>1017 GOODYEAR AVENUE</t>
  </si>
  <si>
    <t>$75233.48</t>
  </si>
  <si>
    <t>$5541.15</t>
  </si>
  <si>
    <t>$4386.104</t>
  </si>
  <si>
    <t>610 SOUTH THIRD STREET</t>
  </si>
  <si>
    <t>$67327.102</t>
  </si>
  <si>
    <t>$5461.67</t>
  </si>
  <si>
    <t>$4493.67</t>
  </si>
  <si>
    <t>4380 WEST MAIN STREET</t>
  </si>
  <si>
    <t>$39607.38</t>
  </si>
  <si>
    <t>$5356.38</t>
  </si>
  <si>
    <t>$4408.30</t>
  </si>
  <si>
    <t>820 ST VINCENT'S DRIVE</t>
  </si>
  <si>
    <t>$22862.33</t>
  </si>
  <si>
    <t>$5374.75</t>
  </si>
  <si>
    <t>$4186.12</t>
  </si>
  <si>
    <t>410 EAST 10TH STREET</t>
  </si>
  <si>
    <t>$31110.95</t>
  </si>
  <si>
    <t>$5366.33</t>
  </si>
  <si>
    <t>$4376.33</t>
  </si>
  <si>
    <t>1623 NORTH MCKENZIE STREET</t>
  </si>
  <si>
    <t>$25411.43</t>
  </si>
  <si>
    <t>$5282.103</t>
  </si>
  <si>
    <t>$4383.83</t>
  </si>
  <si>
    <t>1211 7TH STREET SE</t>
  </si>
  <si>
    <t>$9234.61</t>
  </si>
  <si>
    <t>$5676.65</t>
  </si>
  <si>
    <t>$4509.21</t>
  </si>
  <si>
    <t>6811 AIRPORT BOULEVARD</t>
  </si>
  <si>
    <t>$15895.95</t>
  </si>
  <si>
    <t>$5930.21</t>
  </si>
  <si>
    <t>$3972.95</t>
  </si>
  <si>
    <t>819 UNIVERSITY BOULEVARD EAST</t>
  </si>
  <si>
    <t>$19721.26</t>
  </si>
  <si>
    <t>$6192.64</t>
  </si>
  <si>
    <t>$5179.48</t>
  </si>
  <si>
    <t>760 MORPHY AVENUE</t>
  </si>
  <si>
    <t>$10710.98</t>
  </si>
  <si>
    <t>$4968.10</t>
  </si>
  <si>
    <t>$3898.98</t>
  </si>
  <si>
    <t>711 PRINCETON AVENUE SOUTHWEST</t>
  </si>
  <si>
    <t>$51343.85</t>
  </si>
  <si>
    <t>$5996.10</t>
  </si>
  <si>
    <t>$4962.55</t>
  </si>
  <si>
    <t>810 MONTCLAIR RD</t>
  </si>
  <si>
    <t>$55219.41</t>
  </si>
  <si>
    <t>$5710.41</t>
  </si>
  <si>
    <t>$4471.78</t>
  </si>
  <si>
    <t>15 MOBILE INFIRMARY CIRCLE</t>
  </si>
  <si>
    <t>$14948.25</t>
  </si>
  <si>
    <t>$5550.100</t>
  </si>
  <si>
    <t>$4219.100</t>
  </si>
  <si>
    <t>2020 BROOKWOOD MEDICAL CENTER DRIVE</t>
  </si>
  <si>
    <t>$73846.31</t>
  </si>
  <si>
    <t>$4987.36</t>
  </si>
  <si>
    <t>$3944.52</t>
  </si>
  <si>
    <t>1119 ROSS CLARK CIRCLE</t>
  </si>
  <si>
    <t>$32963.18</t>
  </si>
  <si>
    <t>$5777.35</t>
  </si>
  <si>
    <t>$4763.84</t>
  </si>
  <si>
    <t>2516 U S HIGHWAY 431 NORTH</t>
  </si>
  <si>
    <t>$15131.96</t>
  </si>
  <si>
    <t>$5787.68</t>
  </si>
  <si>
    <t>$4976.82</t>
  </si>
  <si>
    <t>216 MARENGO STREET</t>
  </si>
  <si>
    <t>$37560.48</t>
  </si>
  <si>
    <t>$5434.106</t>
  </si>
  <si>
    <t>$4453.90</t>
  </si>
  <si>
    <t>61 MEDICAL PARK EAST DRIVE</t>
  </si>
  <si>
    <t>$13998.39</t>
  </si>
  <si>
    <t>$5417.67</t>
  </si>
  <si>
    <t>$4129.27</t>
  </si>
  <si>
    <t>1011 FIRST STREET NORTH</t>
  </si>
  <si>
    <t>$31633.38</t>
  </si>
  <si>
    <t>$5658.44</t>
  </si>
  <si>
    <t>$4851.55</t>
  </si>
  <si>
    <t>2116 EAST SOUTH BOULEVARD</t>
  </si>
  <si>
    <t>$16920.90</t>
  </si>
  <si>
    <t>$6653.91</t>
  </si>
  <si>
    <t>$5374.25</t>
  </si>
  <si>
    <t>2011 PEPPERELL PARKWAY</t>
  </si>
  <si>
    <t>$11977.24</t>
  </si>
  <si>
    <t>$5834.85</t>
  </si>
  <si>
    <t>$4761.52</t>
  </si>
  <si>
    <t>630 SOUTH 19TH STREET</t>
  </si>
  <si>
    <t>$35841.20</t>
  </si>
  <si>
    <t>$8031.23</t>
  </si>
  <si>
    <t>$5858.61</t>
  </si>
  <si>
    <t>112 SIVLEY RD</t>
  </si>
  <si>
    <t>$28523.50</t>
  </si>
  <si>
    <t>$6113.49</t>
  </si>
  <si>
    <t>$5228.51</t>
  </si>
  <si>
    <t>1018 GOODYEAR AVENUE</t>
  </si>
  <si>
    <t>$75233.49</t>
  </si>
  <si>
    <t>$5541.16</t>
  </si>
  <si>
    <t>$4386.105</t>
  </si>
  <si>
    <t>611 SOUTH THIRD STREET</t>
  </si>
  <si>
    <t>$67327.103</t>
  </si>
  <si>
    <t>$5461.68</t>
  </si>
  <si>
    <t>$4493.68</t>
  </si>
  <si>
    <t>4381 WEST MAIN STREET</t>
  </si>
  <si>
    <t>$39607.39</t>
  </si>
  <si>
    <t>$5356.39</t>
  </si>
  <si>
    <t>$4408.31</t>
  </si>
  <si>
    <t>821 ST VINCENT'S DRIVE</t>
  </si>
  <si>
    <t>$22862.34</t>
  </si>
  <si>
    <t>$5374.76</t>
  </si>
  <si>
    <t>$4186.13</t>
  </si>
  <si>
    <t>411 EAST 10TH STREET</t>
  </si>
  <si>
    <t>$31110.96</t>
  </si>
  <si>
    <t>$5366.34</t>
  </si>
  <si>
    <t>$4376.34</t>
  </si>
  <si>
    <t>1624 NORTH MCKENZIE STREET</t>
  </si>
  <si>
    <t>$25411.44</t>
  </si>
  <si>
    <t>$5282.104</t>
  </si>
  <si>
    <t>$4383.84</t>
  </si>
  <si>
    <t>1212 7TH STREET SE</t>
  </si>
  <si>
    <t>$9234.62</t>
  </si>
  <si>
    <t>$5676.66</t>
  </si>
  <si>
    <t>$4509.22</t>
  </si>
  <si>
    <t>6812 AIRPORT BOULEVARD</t>
  </si>
  <si>
    <t>$15895.96</t>
  </si>
  <si>
    <t>$5930.22</t>
  </si>
  <si>
    <t>$3972.96</t>
  </si>
  <si>
    <t>820 UNIVERSITY BOULEVARD EAST</t>
  </si>
  <si>
    <t>$19721.27</t>
  </si>
  <si>
    <t>$6192.65</t>
  </si>
  <si>
    <t>$5179.49</t>
  </si>
  <si>
    <t>761 MORPHY AVENUE</t>
  </si>
  <si>
    <t>$10710.99</t>
  </si>
  <si>
    <t>$4968.11</t>
  </si>
  <si>
    <t>$3898.99</t>
  </si>
  <si>
    <t>712 PRINCETON AVENUE SOUTHWEST</t>
  </si>
  <si>
    <t>$51343.86</t>
  </si>
  <si>
    <t>$5996.11</t>
  </si>
  <si>
    <t>$4962.56</t>
  </si>
  <si>
    <t>811 MONTCLAIR RD</t>
  </si>
  <si>
    <t>$55219.42</t>
  </si>
  <si>
    <t>$5710.42</t>
  </si>
  <si>
    <t>$4471.79</t>
  </si>
  <si>
    <t>16 MOBILE INFIRMARY CIRCLE</t>
  </si>
  <si>
    <t>$14948.26</t>
  </si>
  <si>
    <t>$5550.101</t>
  </si>
  <si>
    <t>$4219.101</t>
  </si>
  <si>
    <t>2021 BROOKWOOD MEDICAL CENTER DRIVE</t>
  </si>
  <si>
    <t>$73846.32</t>
  </si>
  <si>
    <t>$4987.37</t>
  </si>
  <si>
    <t>$3944.53</t>
  </si>
  <si>
    <t>1120 ROSS CLARK CIRCLE</t>
  </si>
  <si>
    <t>$32963.19</t>
  </si>
  <si>
    <t>$5777.36</t>
  </si>
  <si>
    <t>$4763.85</t>
  </si>
  <si>
    <t>2517 U S HIGHWAY 431 NORTH</t>
  </si>
  <si>
    <t>$15131.97</t>
  </si>
  <si>
    <t>$5787.69</t>
  </si>
  <si>
    <t>$4976.83</t>
  </si>
  <si>
    <t>217 MARENGO STREET</t>
  </si>
  <si>
    <t>$37560.49</t>
  </si>
  <si>
    <t>$5434.107</t>
  </si>
  <si>
    <t>$4453.91</t>
  </si>
  <si>
    <t>62 MEDICAL PARK EAST DRIVE</t>
  </si>
  <si>
    <t>$13998.40</t>
  </si>
  <si>
    <t>$5417.68</t>
  </si>
  <si>
    <t>$4129.28</t>
  </si>
  <si>
    <t>1012 FIRST STREET NORTH</t>
  </si>
  <si>
    <t>$31633.39</t>
  </si>
  <si>
    <t>$5658.45</t>
  </si>
  <si>
    <t>$4851.56</t>
  </si>
  <si>
    <t>2117 EAST SOUTH BOULEVARD</t>
  </si>
  <si>
    <t>$16920.91</t>
  </si>
  <si>
    <t>$6653.92</t>
  </si>
  <si>
    <t>$5374.26</t>
  </si>
  <si>
    <t>2012 PEPPERELL PARKWAY</t>
  </si>
  <si>
    <t>$11977.25</t>
  </si>
  <si>
    <t>$5834.86</t>
  </si>
  <si>
    <t>$4761.53</t>
  </si>
  <si>
    <t>631 SOUTH 19TH STREET</t>
  </si>
  <si>
    <t>$35841.21</t>
  </si>
  <si>
    <t>$8031.24</t>
  </si>
  <si>
    <t>$5858.62</t>
  </si>
  <si>
    <t>113 SIVLEY RD</t>
  </si>
  <si>
    <t>$28523.51</t>
  </si>
  <si>
    <t>$6113.50</t>
  </si>
  <si>
    <t>$5228.52</t>
  </si>
  <si>
    <t>1019 GOODYEAR AVENUE</t>
  </si>
  <si>
    <t>$75233.50</t>
  </si>
  <si>
    <t>$5541.17</t>
  </si>
  <si>
    <t>$4386.106</t>
  </si>
  <si>
    <t>612 SOUTH THIRD STREET</t>
  </si>
  <si>
    <t>$67327.104</t>
  </si>
  <si>
    <t>$5461.69</t>
  </si>
  <si>
    <t>$4493.69</t>
  </si>
  <si>
    <t>4382 WEST MAIN STREET</t>
  </si>
  <si>
    <t>$39607.40</t>
  </si>
  <si>
    <t>$5356.40</t>
  </si>
  <si>
    <t>$4408.32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</si>
</sst>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 t="s">
        <v>12</v>
      </c>
      <c r="N1" s="2" t="s">
        <v>13</v>
      </c>
    </row>
    <row r="2">
      <c r="A2" s="1" t="s">
        <v>14</v>
      </c>
      <c r="B2" s="4">
        <v>10001.0</v>
      </c>
      <c r="C2" s="1" t="s">
        <v>15</v>
      </c>
      <c r="D2" s="1" t="s">
        <v>16</v>
      </c>
      <c r="E2" s="1" t="s">
        <v>17</v>
      </c>
      <c r="F2" s="1" t="s">
        <v>18</v>
      </c>
      <c r="G2" s="4">
        <v>36301.0</v>
      </c>
      <c r="H2" s="1" t="s">
        <v>19</v>
      </c>
      <c r="I2" s="4">
        <v>91.0</v>
      </c>
      <c r="J2" s="2" t="s">
        <v>20</v>
      </c>
      <c r="K2" s="4">
        <f>IFERROR(__xludf.DUMMYFUNCTION("SPLIT(J2,""$"")"),32963.07)</f>
        <v>32963.07</v>
      </c>
      <c r="L2" s="2" t="s">
        <v>21</v>
      </c>
      <c r="M2" s="5">
        <f>IFERROR(__xludf.DUMMYFUNCTION("SPLIT(L2,""$"")"),5777.24)</f>
        <v>5777.24</v>
      </c>
      <c r="N2" s="2" t="s">
        <v>22</v>
      </c>
    </row>
    <row r="3">
      <c r="A3" s="1" t="s">
        <v>14</v>
      </c>
      <c r="B3" s="4">
        <v>10005.0</v>
      </c>
      <c r="C3" s="1" t="s">
        <v>23</v>
      </c>
      <c r="D3" s="1" t="s">
        <v>24</v>
      </c>
      <c r="E3" s="1" t="s">
        <v>25</v>
      </c>
      <c r="F3" s="1" t="s">
        <v>18</v>
      </c>
      <c r="G3" s="4">
        <v>35957.0</v>
      </c>
      <c r="H3" s="1" t="s">
        <v>26</v>
      </c>
      <c r="I3" s="4">
        <v>14.0</v>
      </c>
      <c r="J3" s="2" t="s">
        <v>27</v>
      </c>
      <c r="K3" s="4">
        <f>IFERROR(__xludf.DUMMYFUNCTION("SPLIT(J3,""$"")"),15131.85)</f>
        <v>15131.85</v>
      </c>
      <c r="L3" s="2" t="s">
        <v>28</v>
      </c>
      <c r="M3" s="5">
        <f>IFERROR(__xludf.DUMMYFUNCTION("SPLIT(L3,""$"")"),5787.57)</f>
        <v>5787.57</v>
      </c>
      <c r="N3" s="2" t="s">
        <v>29</v>
      </c>
    </row>
    <row r="4">
      <c r="A4" s="1" t="s">
        <v>14</v>
      </c>
      <c r="B4" s="4">
        <v>10006.0</v>
      </c>
      <c r="C4" s="1" t="s">
        <v>30</v>
      </c>
      <c r="D4" s="1" t="s">
        <v>31</v>
      </c>
      <c r="E4" s="1" t="s">
        <v>32</v>
      </c>
      <c r="F4" s="1" t="s">
        <v>18</v>
      </c>
      <c r="G4" s="4">
        <v>35631.0</v>
      </c>
      <c r="H4" s="1" t="s">
        <v>26</v>
      </c>
      <c r="I4" s="4">
        <v>24.0</v>
      </c>
      <c r="J4" s="2" t="s">
        <v>33</v>
      </c>
      <c r="K4" s="4">
        <f>IFERROR(__xludf.DUMMYFUNCTION("SPLIT(J4,""$"")"),37560.37)</f>
        <v>37560.37</v>
      </c>
      <c r="L4" s="2" t="s">
        <v>34</v>
      </c>
      <c r="M4" s="5">
        <f>IFERROR(__xludf.DUMMYFUNCTION("SPLIT(L4,""$"")"),5434.95)</f>
        <v>5434.95</v>
      </c>
      <c r="N4" s="2" t="s">
        <v>35</v>
      </c>
    </row>
    <row r="5">
      <c r="A5" s="1" t="s">
        <v>14</v>
      </c>
      <c r="B5" s="4">
        <v>10011.0</v>
      </c>
      <c r="C5" s="1" t="s">
        <v>36</v>
      </c>
      <c r="D5" s="1" t="s">
        <v>37</v>
      </c>
      <c r="E5" s="1" t="s">
        <v>38</v>
      </c>
      <c r="F5" s="1" t="s">
        <v>18</v>
      </c>
      <c r="G5" s="4">
        <v>35235.0</v>
      </c>
      <c r="H5" s="1" t="s">
        <v>26</v>
      </c>
      <c r="I5" s="4">
        <v>25.0</v>
      </c>
      <c r="J5" s="2" t="s">
        <v>39</v>
      </c>
      <c r="K5" s="4">
        <f>IFERROR(__xludf.DUMMYFUNCTION("SPLIT(J5,""$"")"),13998.28)</f>
        <v>13998.28</v>
      </c>
      <c r="L5" s="2" t="s">
        <v>40</v>
      </c>
      <c r="M5" s="5">
        <f>IFERROR(__xludf.DUMMYFUNCTION("SPLIT(L5,""$"")"),5417.56)</f>
        <v>5417.56</v>
      </c>
      <c r="N5" s="2" t="s">
        <v>41</v>
      </c>
    </row>
    <row r="6">
      <c r="A6" s="1" t="s">
        <v>14</v>
      </c>
      <c r="B6" s="4">
        <v>10016.0</v>
      </c>
      <c r="C6" s="1" t="s">
        <v>42</v>
      </c>
      <c r="D6" s="1" t="s">
        <v>43</v>
      </c>
      <c r="E6" s="1" t="s">
        <v>44</v>
      </c>
      <c r="F6" s="1" t="s">
        <v>18</v>
      </c>
      <c r="G6" s="4">
        <v>35007.0</v>
      </c>
      <c r="H6" s="1" t="s">
        <v>26</v>
      </c>
      <c r="I6" s="4">
        <v>18.0</v>
      </c>
      <c r="J6" s="2" t="s">
        <v>45</v>
      </c>
      <c r="K6" s="4">
        <f>IFERROR(__xludf.DUMMYFUNCTION("SPLIT(J6,""$"")"),31633.27)</f>
        <v>31633.27</v>
      </c>
      <c r="L6" s="2" t="s">
        <v>46</v>
      </c>
      <c r="M6" s="5">
        <f>IFERROR(__xludf.DUMMYFUNCTION("SPLIT(L6,""$"")"),5658.33)</f>
        <v>5658.33</v>
      </c>
      <c r="N6" s="2" t="s">
        <v>47</v>
      </c>
    </row>
    <row r="7">
      <c r="A7" s="1" t="s">
        <v>14</v>
      </c>
      <c r="B7" s="4">
        <v>10023.0</v>
      </c>
      <c r="C7" s="1" t="s">
        <v>48</v>
      </c>
      <c r="D7" s="1" t="s">
        <v>49</v>
      </c>
      <c r="E7" s="1" t="s">
        <v>50</v>
      </c>
      <c r="F7" s="1" t="s">
        <v>18</v>
      </c>
      <c r="G7" s="4">
        <v>36116.0</v>
      </c>
      <c r="H7" s="1" t="s">
        <v>51</v>
      </c>
      <c r="I7" s="4">
        <v>67.0</v>
      </c>
      <c r="J7" s="2" t="s">
        <v>52</v>
      </c>
      <c r="K7" s="4">
        <f>IFERROR(__xludf.DUMMYFUNCTION("SPLIT(J7,""$"")"),16920.79)</f>
        <v>16920.79</v>
      </c>
      <c r="L7" s="2" t="s">
        <v>53</v>
      </c>
      <c r="M7" s="5">
        <f>IFERROR(__xludf.DUMMYFUNCTION("SPLIT(L7,""$"")"),6653.8)</f>
        <v>6653.8</v>
      </c>
      <c r="N7" s="2" t="s">
        <v>54</v>
      </c>
    </row>
    <row r="8">
      <c r="A8" s="1" t="s">
        <v>14</v>
      </c>
      <c r="B8" s="4">
        <v>10029.0</v>
      </c>
      <c r="C8" s="1" t="s">
        <v>55</v>
      </c>
      <c r="D8" s="1" t="s">
        <v>56</v>
      </c>
      <c r="E8" s="1" t="s">
        <v>57</v>
      </c>
      <c r="F8" s="1" t="s">
        <v>18</v>
      </c>
      <c r="G8" s="4">
        <v>36801.0</v>
      </c>
      <c r="H8" s="1" t="s">
        <v>26</v>
      </c>
      <c r="I8" s="4">
        <v>51.0</v>
      </c>
      <c r="J8" s="2" t="s">
        <v>58</v>
      </c>
      <c r="K8" s="4">
        <f>IFERROR(__xludf.DUMMYFUNCTION("SPLIT(J8,""$"")"),11977.13)</f>
        <v>11977.13</v>
      </c>
      <c r="L8" s="2" t="s">
        <v>59</v>
      </c>
      <c r="M8" s="5">
        <f>IFERROR(__xludf.DUMMYFUNCTION("SPLIT(L8,""$"")"),5834.74)</f>
        <v>5834.74</v>
      </c>
      <c r="N8" s="2" t="s">
        <v>60</v>
      </c>
    </row>
    <row r="9">
      <c r="A9" s="1" t="s">
        <v>14</v>
      </c>
      <c r="B9" s="4">
        <v>10033.0</v>
      </c>
      <c r="C9" s="1" t="s">
        <v>61</v>
      </c>
      <c r="D9" s="1" t="s">
        <v>62</v>
      </c>
      <c r="E9" s="1" t="s">
        <v>38</v>
      </c>
      <c r="F9" s="1" t="s">
        <v>18</v>
      </c>
      <c r="G9" s="4">
        <v>35233.0</v>
      </c>
      <c r="H9" s="1" t="s">
        <v>26</v>
      </c>
      <c r="I9" s="4">
        <v>32.0</v>
      </c>
      <c r="J9" s="2" t="s">
        <v>63</v>
      </c>
      <c r="K9" s="4">
        <f>IFERROR(__xludf.DUMMYFUNCTION("SPLIT(J9,""$"")"),35841.09)</f>
        <v>35841.09</v>
      </c>
      <c r="L9" s="2" t="s">
        <v>64</v>
      </c>
      <c r="M9" s="5">
        <f>IFERROR(__xludf.DUMMYFUNCTION("SPLIT(L9,""$"")"),8031.12)</f>
        <v>8031.12</v>
      </c>
      <c r="N9" s="2" t="s">
        <v>65</v>
      </c>
    </row>
    <row r="10">
      <c r="A10" s="1" t="s">
        <v>14</v>
      </c>
      <c r="B10" s="4">
        <v>10039.0</v>
      </c>
      <c r="C10" s="1" t="s">
        <v>66</v>
      </c>
      <c r="D10" s="1" t="s">
        <v>67</v>
      </c>
      <c r="E10" s="1" t="s">
        <v>68</v>
      </c>
      <c r="F10" s="1" t="s">
        <v>18</v>
      </c>
      <c r="G10" s="4">
        <v>35801.0</v>
      </c>
      <c r="H10" s="1" t="s">
        <v>69</v>
      </c>
      <c r="I10" s="4">
        <v>135.0</v>
      </c>
      <c r="J10" s="2" t="s">
        <v>70</v>
      </c>
      <c r="K10" s="4">
        <f>IFERROR(__xludf.DUMMYFUNCTION("SPLIT(J10,""$"")"),28523.39)</f>
        <v>28523.39</v>
      </c>
      <c r="L10" s="2" t="s">
        <v>71</v>
      </c>
      <c r="M10" s="5">
        <f>IFERROR(__xludf.DUMMYFUNCTION("SPLIT(L10,""$"")"),6113.38)</f>
        <v>6113.38</v>
      </c>
      <c r="N10" s="2" t="s">
        <v>72</v>
      </c>
    </row>
    <row r="11">
      <c r="A11" s="1" t="s">
        <v>14</v>
      </c>
      <c r="B11" s="4">
        <v>10040.0</v>
      </c>
      <c r="C11" s="1" t="s">
        <v>73</v>
      </c>
      <c r="D11" s="1" t="s">
        <v>74</v>
      </c>
      <c r="E11" s="1" t="s">
        <v>75</v>
      </c>
      <c r="F11" s="1" t="s">
        <v>18</v>
      </c>
      <c r="G11" s="4">
        <v>35903.0</v>
      </c>
      <c r="H11" s="1" t="s">
        <v>26</v>
      </c>
      <c r="I11" s="4">
        <v>34.0</v>
      </c>
      <c r="J11" s="2" t="s">
        <v>76</v>
      </c>
      <c r="K11" s="4">
        <f>IFERROR(__xludf.DUMMYFUNCTION("SPLIT(J11,""$"")"),75233.38)</f>
        <v>75233.38</v>
      </c>
      <c r="L11" s="2" t="s">
        <v>77</v>
      </c>
      <c r="M11" s="5">
        <f>IFERROR(__xludf.DUMMYFUNCTION("SPLIT(L11,""$"")"),5541.05)</f>
        <v>5541.05</v>
      </c>
      <c r="N11" s="2" t="s">
        <v>78</v>
      </c>
    </row>
    <row r="12">
      <c r="A12" s="1" t="s">
        <v>14</v>
      </c>
      <c r="B12" s="4">
        <v>10046.0</v>
      </c>
      <c r="C12" s="1" t="s">
        <v>79</v>
      </c>
      <c r="D12" s="1" t="s">
        <v>80</v>
      </c>
      <c r="E12" s="1" t="s">
        <v>75</v>
      </c>
      <c r="F12" s="1" t="s">
        <v>18</v>
      </c>
      <c r="G12" s="4">
        <v>35901.0</v>
      </c>
      <c r="H12" s="1" t="s">
        <v>26</v>
      </c>
      <c r="I12" s="4">
        <v>14.0</v>
      </c>
      <c r="J12" s="2" t="s">
        <v>81</v>
      </c>
      <c r="K12" s="4">
        <f>IFERROR(__xludf.DUMMYFUNCTION("SPLIT(J12,""$"")"),67327.92)</f>
        <v>67327.92</v>
      </c>
      <c r="L12" s="2" t="s">
        <v>82</v>
      </c>
      <c r="M12" s="5">
        <f>IFERROR(__xludf.DUMMYFUNCTION("SPLIT(L12,""$"")"),5461.57)</f>
        <v>5461.57</v>
      </c>
      <c r="N12" s="2" t="s">
        <v>83</v>
      </c>
    </row>
    <row r="13">
      <c r="A13" s="1" t="s">
        <v>14</v>
      </c>
      <c r="B13" s="4">
        <v>10055.0</v>
      </c>
      <c r="C13" s="1" t="s">
        <v>84</v>
      </c>
      <c r="D13" s="1" t="s">
        <v>85</v>
      </c>
      <c r="E13" s="1" t="s">
        <v>17</v>
      </c>
      <c r="F13" s="1" t="s">
        <v>18</v>
      </c>
      <c r="G13" s="4">
        <v>36305.0</v>
      </c>
      <c r="H13" s="1" t="s">
        <v>19</v>
      </c>
      <c r="I13" s="4">
        <v>45.0</v>
      </c>
      <c r="J13" s="2" t="s">
        <v>86</v>
      </c>
      <c r="K13" s="4">
        <f>IFERROR(__xludf.DUMMYFUNCTION("SPLIT(J13,""$"")"),39607.28)</f>
        <v>39607.28</v>
      </c>
      <c r="L13" s="2" t="s">
        <v>87</v>
      </c>
      <c r="M13" s="5">
        <f>IFERROR(__xludf.DUMMYFUNCTION("SPLIT(L13,""$"")"),5356.28)</f>
        <v>5356.28</v>
      </c>
      <c r="N13" s="2" t="s">
        <v>88</v>
      </c>
    </row>
    <row r="14">
      <c r="A14" s="1" t="s">
        <v>14</v>
      </c>
      <c r="B14" s="4">
        <v>10056.0</v>
      </c>
      <c r="C14" s="1" t="s">
        <v>89</v>
      </c>
      <c r="D14" s="1" t="s">
        <v>90</v>
      </c>
      <c r="E14" s="1" t="s">
        <v>38</v>
      </c>
      <c r="F14" s="1" t="s">
        <v>18</v>
      </c>
      <c r="G14" s="4">
        <v>35205.0</v>
      </c>
      <c r="H14" s="1" t="s">
        <v>26</v>
      </c>
      <c r="I14" s="4">
        <v>43.0</v>
      </c>
      <c r="J14" s="2" t="s">
        <v>91</v>
      </c>
      <c r="K14" s="4">
        <f>IFERROR(__xludf.DUMMYFUNCTION("SPLIT(J14,""$"")"),22862.23)</f>
        <v>22862.23</v>
      </c>
      <c r="L14" s="2" t="s">
        <v>92</v>
      </c>
      <c r="M14" s="5">
        <f>IFERROR(__xludf.DUMMYFUNCTION("SPLIT(L14,""$"")"),5374.65)</f>
        <v>5374.65</v>
      </c>
      <c r="N14" s="2" t="s">
        <v>93</v>
      </c>
    </row>
    <row r="15">
      <c r="A15" s="1" t="s">
        <v>14</v>
      </c>
      <c r="B15" s="4">
        <v>10078.0</v>
      </c>
      <c r="C15" s="1" t="s">
        <v>94</v>
      </c>
      <c r="D15" s="1" t="s">
        <v>95</v>
      </c>
      <c r="E15" s="1" t="s">
        <v>96</v>
      </c>
      <c r="F15" s="1" t="s">
        <v>18</v>
      </c>
      <c r="G15" s="4">
        <v>36207.0</v>
      </c>
      <c r="H15" s="1" t="s">
        <v>26</v>
      </c>
      <c r="I15" s="4">
        <v>21.0</v>
      </c>
      <c r="J15" s="2" t="s">
        <v>97</v>
      </c>
      <c r="K15" s="4">
        <f>IFERROR(__xludf.DUMMYFUNCTION("SPLIT(J15,""$"")"),31110.85)</f>
        <v>31110.85</v>
      </c>
      <c r="L15" s="2" t="s">
        <v>98</v>
      </c>
      <c r="M15" s="5">
        <f>IFERROR(__xludf.DUMMYFUNCTION("SPLIT(L15,""$"")"),5366.23)</f>
        <v>5366.23</v>
      </c>
      <c r="N15" s="2" t="s">
        <v>99</v>
      </c>
    </row>
    <row r="16">
      <c r="A16" s="1" t="s">
        <v>14</v>
      </c>
      <c r="B16" s="4">
        <v>10083.0</v>
      </c>
      <c r="C16" s="1" t="s">
        <v>100</v>
      </c>
      <c r="D16" s="1" t="s">
        <v>101</v>
      </c>
      <c r="E16" s="1" t="s">
        <v>102</v>
      </c>
      <c r="F16" s="1" t="s">
        <v>18</v>
      </c>
      <c r="G16" s="4">
        <v>36535.0</v>
      </c>
      <c r="H16" s="1" t="s">
        <v>103</v>
      </c>
      <c r="I16" s="4">
        <v>15.0</v>
      </c>
      <c r="J16" s="2" t="s">
        <v>104</v>
      </c>
      <c r="K16" s="4">
        <f>IFERROR(__xludf.DUMMYFUNCTION("SPLIT(J16,""$"")"),25411.33)</f>
        <v>25411.33</v>
      </c>
      <c r="L16" s="2" t="s">
        <v>105</v>
      </c>
      <c r="M16" s="5">
        <f>IFERROR(__xludf.DUMMYFUNCTION("SPLIT(L16,""$"")"),5282.93)</f>
        <v>5282.93</v>
      </c>
      <c r="N16" s="2" t="s">
        <v>106</v>
      </c>
    </row>
    <row r="17">
      <c r="A17" s="1" t="s">
        <v>14</v>
      </c>
      <c r="B17" s="4">
        <v>10085.0</v>
      </c>
      <c r="C17" s="1" t="s">
        <v>107</v>
      </c>
      <c r="D17" s="1" t="s">
        <v>108</v>
      </c>
      <c r="E17" s="1" t="s">
        <v>109</v>
      </c>
      <c r="F17" s="1" t="s">
        <v>18</v>
      </c>
      <c r="G17" s="4">
        <v>35609.0</v>
      </c>
      <c r="H17" s="1" t="s">
        <v>69</v>
      </c>
      <c r="I17" s="4">
        <v>27.0</v>
      </c>
      <c r="J17" s="2" t="s">
        <v>110</v>
      </c>
      <c r="K17" s="4">
        <f>IFERROR(__xludf.DUMMYFUNCTION("SPLIT(J17,""$"")"),9234.51)</f>
        <v>9234.51</v>
      </c>
      <c r="L17" s="2" t="s">
        <v>111</v>
      </c>
      <c r="M17" s="5">
        <f>IFERROR(__xludf.DUMMYFUNCTION("SPLIT(L17,""$"")"),5676.55)</f>
        <v>5676.55</v>
      </c>
      <c r="N17" s="2" t="s">
        <v>112</v>
      </c>
    </row>
    <row r="18">
      <c r="A18" s="1" t="s">
        <v>14</v>
      </c>
      <c r="B18" s="4">
        <v>10090.0</v>
      </c>
      <c r="C18" s="1" t="s">
        <v>113</v>
      </c>
      <c r="D18" s="1" t="s">
        <v>114</v>
      </c>
      <c r="E18" s="1" t="s">
        <v>115</v>
      </c>
      <c r="F18" s="1" t="s">
        <v>18</v>
      </c>
      <c r="G18" s="4">
        <v>36608.0</v>
      </c>
      <c r="H18" s="1" t="s">
        <v>103</v>
      </c>
      <c r="I18" s="4">
        <v>27.0</v>
      </c>
      <c r="J18" s="2" t="s">
        <v>116</v>
      </c>
      <c r="K18" s="4">
        <f>IFERROR(__xludf.DUMMYFUNCTION("SPLIT(J18,""$"")"),15895.85)</f>
        <v>15895.85</v>
      </c>
      <c r="L18" s="2" t="s">
        <v>117</v>
      </c>
      <c r="M18" s="5">
        <f>IFERROR(__xludf.DUMMYFUNCTION("SPLIT(L18,""$"")"),5930.11)</f>
        <v>5930.11</v>
      </c>
      <c r="N18" s="2" t="s">
        <v>118</v>
      </c>
    </row>
    <row r="19">
      <c r="A19" s="1" t="s">
        <v>14</v>
      </c>
      <c r="B19" s="4">
        <v>10092.0</v>
      </c>
      <c r="C19" s="1" t="s">
        <v>119</v>
      </c>
      <c r="D19" s="1" t="s">
        <v>120</v>
      </c>
      <c r="E19" s="1" t="s">
        <v>121</v>
      </c>
      <c r="F19" s="1" t="s">
        <v>18</v>
      </c>
      <c r="G19" s="4">
        <v>35401.0</v>
      </c>
      <c r="H19" s="1" t="s">
        <v>122</v>
      </c>
      <c r="I19" s="4">
        <v>31.0</v>
      </c>
      <c r="J19" s="2" t="s">
        <v>123</v>
      </c>
      <c r="K19" s="4">
        <f>IFERROR(__xludf.DUMMYFUNCTION("SPLIT(J19,""$"")"),19721.16)</f>
        <v>19721.16</v>
      </c>
      <c r="L19" s="2" t="s">
        <v>124</v>
      </c>
      <c r="M19" s="5">
        <f>IFERROR(__xludf.DUMMYFUNCTION("SPLIT(L19,""$"")"),6192.54)</f>
        <v>6192.54</v>
      </c>
      <c r="N19" s="2" t="s">
        <v>125</v>
      </c>
    </row>
    <row r="20">
      <c r="A20" s="1" t="s">
        <v>14</v>
      </c>
      <c r="B20" s="4">
        <v>10100.0</v>
      </c>
      <c r="C20" s="1" t="s">
        <v>126</v>
      </c>
      <c r="D20" s="1" t="s">
        <v>127</v>
      </c>
      <c r="E20" s="1" t="s">
        <v>128</v>
      </c>
      <c r="F20" s="1" t="s">
        <v>18</v>
      </c>
      <c r="G20" s="4">
        <v>36532.0</v>
      </c>
      <c r="H20" s="1" t="s">
        <v>103</v>
      </c>
      <c r="I20" s="4">
        <v>18.0</v>
      </c>
      <c r="J20" s="2" t="s">
        <v>129</v>
      </c>
      <c r="K20" s="4">
        <f>IFERROR(__xludf.DUMMYFUNCTION("SPLIT(J20,""$"")"),10710.88)</f>
        <v>10710.88</v>
      </c>
      <c r="L20" s="2" t="s">
        <v>130</v>
      </c>
      <c r="M20" s="5">
        <f>IFERROR(__xludf.DUMMYFUNCTION("SPLIT(L20,""$"")"),4968.0)</f>
        <v>4968</v>
      </c>
      <c r="N20" s="2" t="s">
        <v>131</v>
      </c>
    </row>
    <row r="21">
      <c r="A21" s="1" t="s">
        <v>14</v>
      </c>
      <c r="B21" s="4">
        <v>10103.0</v>
      </c>
      <c r="C21" s="1" t="s">
        <v>132</v>
      </c>
      <c r="D21" s="1" t="s">
        <v>133</v>
      </c>
      <c r="E21" s="1" t="s">
        <v>38</v>
      </c>
      <c r="F21" s="1" t="s">
        <v>18</v>
      </c>
      <c r="G21" s="4">
        <v>35211.0</v>
      </c>
      <c r="H21" s="1" t="s">
        <v>26</v>
      </c>
      <c r="I21" s="4">
        <v>33.0</v>
      </c>
      <c r="J21" s="2" t="s">
        <v>134</v>
      </c>
      <c r="K21" s="4">
        <f>IFERROR(__xludf.DUMMYFUNCTION("SPLIT(J21,""$"")"),51343.75)</f>
        <v>51343.75</v>
      </c>
      <c r="L21" s="2" t="s">
        <v>135</v>
      </c>
      <c r="M21" s="5">
        <f>IFERROR(__xludf.DUMMYFUNCTION("SPLIT(L21,""$"")"),5996.0)</f>
        <v>5996</v>
      </c>
      <c r="N21" s="2" t="s">
        <v>136</v>
      </c>
    </row>
    <row r="22">
      <c r="A22" s="1" t="s">
        <v>14</v>
      </c>
      <c r="B22" s="4">
        <v>10104.0</v>
      </c>
      <c r="C22" s="1" t="s">
        <v>137</v>
      </c>
      <c r="D22" s="1" t="s">
        <v>138</v>
      </c>
      <c r="E22" s="1" t="s">
        <v>38</v>
      </c>
      <c r="F22" s="1" t="s">
        <v>18</v>
      </c>
      <c r="G22" s="4">
        <v>35213.0</v>
      </c>
      <c r="H22" s="1" t="s">
        <v>26</v>
      </c>
      <c r="I22" s="4">
        <v>29.0</v>
      </c>
      <c r="J22" s="2" t="s">
        <v>139</v>
      </c>
      <c r="K22" s="4">
        <f>IFERROR(__xludf.DUMMYFUNCTION("SPLIT(J22,""$"")"),55219.31)</f>
        <v>55219.31</v>
      </c>
      <c r="L22" s="2" t="s">
        <v>140</v>
      </c>
      <c r="M22" s="5">
        <f>IFERROR(__xludf.DUMMYFUNCTION("SPLIT(L22,""$"")"),5710.31)</f>
        <v>5710.31</v>
      </c>
      <c r="N22" s="2" t="s">
        <v>141</v>
      </c>
    </row>
    <row r="23">
      <c r="A23" s="1" t="s">
        <v>14</v>
      </c>
      <c r="B23" s="4">
        <v>10113.0</v>
      </c>
      <c r="C23" s="1" t="s">
        <v>142</v>
      </c>
      <c r="D23" s="1" t="s">
        <v>143</v>
      </c>
      <c r="E23" s="1" t="s">
        <v>115</v>
      </c>
      <c r="F23" s="1" t="s">
        <v>18</v>
      </c>
      <c r="G23" s="4">
        <v>36652.0</v>
      </c>
      <c r="H23" s="1" t="s">
        <v>103</v>
      </c>
      <c r="I23" s="4">
        <v>66.0</v>
      </c>
      <c r="J23" s="2" t="s">
        <v>144</v>
      </c>
      <c r="K23" s="4">
        <f>IFERROR(__xludf.DUMMYFUNCTION("SPLIT(J23,""$"")"),14948.15)</f>
        <v>14948.15</v>
      </c>
      <c r="L23" s="2" t="s">
        <v>145</v>
      </c>
      <c r="M23" s="5">
        <f>IFERROR(__xludf.DUMMYFUNCTION("SPLIT(L23,""$"")"),5550.9)</f>
        <v>5550.9</v>
      </c>
      <c r="N23" s="2" t="s">
        <v>146</v>
      </c>
    </row>
    <row r="24">
      <c r="A24" s="1" t="s">
        <v>14</v>
      </c>
      <c r="B24" s="4">
        <v>10139.0</v>
      </c>
      <c r="C24" s="1" t="s">
        <v>147</v>
      </c>
      <c r="D24" s="1" t="s">
        <v>148</v>
      </c>
      <c r="E24" s="1" t="s">
        <v>38</v>
      </c>
      <c r="F24" s="1" t="s">
        <v>18</v>
      </c>
      <c r="G24" s="4">
        <v>35209.0</v>
      </c>
      <c r="H24" s="1" t="s">
        <v>26</v>
      </c>
      <c r="I24" s="4">
        <v>19.0</v>
      </c>
      <c r="J24" s="2" t="s">
        <v>149</v>
      </c>
      <c r="K24" s="4">
        <f>IFERROR(__xludf.DUMMYFUNCTION("SPLIT(J24,""$"")"),73846.21)</f>
        <v>73846.21</v>
      </c>
      <c r="L24" s="2" t="s">
        <v>150</v>
      </c>
      <c r="M24" s="5">
        <f>IFERROR(__xludf.DUMMYFUNCTION("SPLIT(L24,""$"")"),4987.26)</f>
        <v>4987.26</v>
      </c>
      <c r="N24" s="2" t="s">
        <v>151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2" t="s">
        <v>9</v>
      </c>
      <c r="K25" s="1" t="s">
        <v>10</v>
      </c>
      <c r="L25" s="2" t="s">
        <v>11</v>
      </c>
      <c r="M25" s="3" t="s">
        <v>12</v>
      </c>
      <c r="N25" s="2" t="s">
        <v>13</v>
      </c>
    </row>
    <row r="26">
      <c r="A26" s="1" t="s">
        <v>152</v>
      </c>
      <c r="B26" s="4">
        <v>10129.1067193676</v>
      </c>
      <c r="C26" s="1" t="s">
        <v>15</v>
      </c>
      <c r="D26" s="1" t="s">
        <v>153</v>
      </c>
      <c r="E26" s="1" t="s">
        <v>17</v>
      </c>
      <c r="F26" s="1" t="s">
        <v>18</v>
      </c>
      <c r="G26" s="4">
        <v>35851.2608695652</v>
      </c>
      <c r="H26" s="1" t="s">
        <v>19</v>
      </c>
      <c r="I26" s="4">
        <v>27.8300395256917</v>
      </c>
      <c r="J26" s="2" t="s">
        <v>154</v>
      </c>
      <c r="K26" s="4">
        <f>IFERROR(__xludf.DUMMYFUNCTION("SPLIT(J26,""$"")"),32963.08)</f>
        <v>32963.08</v>
      </c>
      <c r="L26" s="2" t="s">
        <v>155</v>
      </c>
      <c r="M26" s="5">
        <f>IFERROR(__xludf.DUMMYFUNCTION("SPLIT(L26,""$"")"),5777.25)</f>
        <v>5777.25</v>
      </c>
      <c r="N26" s="2" t="s">
        <v>156</v>
      </c>
    </row>
    <row r="27">
      <c r="A27" s="1" t="s">
        <v>152</v>
      </c>
      <c r="B27" s="4">
        <v>10134.9851778656</v>
      </c>
      <c r="C27" s="1" t="s">
        <v>23</v>
      </c>
      <c r="D27" s="1" t="s">
        <v>157</v>
      </c>
      <c r="E27" s="1" t="s">
        <v>25</v>
      </c>
      <c r="F27" s="1" t="s">
        <v>18</v>
      </c>
      <c r="G27" s="4">
        <v>35851.2826086956</v>
      </c>
      <c r="H27" s="1" t="s">
        <v>26</v>
      </c>
      <c r="I27" s="4">
        <v>26.9644268774703</v>
      </c>
      <c r="J27" s="2" t="s">
        <v>158</v>
      </c>
      <c r="K27" s="4">
        <f>IFERROR(__xludf.DUMMYFUNCTION("SPLIT(J27,""$"")"),15131.86)</f>
        <v>15131.86</v>
      </c>
      <c r="L27" s="2" t="s">
        <v>159</v>
      </c>
      <c r="M27" s="5">
        <f>IFERROR(__xludf.DUMMYFUNCTION("SPLIT(L27,""$"")"),5787.58)</f>
        <v>5787.58</v>
      </c>
      <c r="N27" s="2" t="s">
        <v>160</v>
      </c>
    </row>
    <row r="28">
      <c r="A28" s="1" t="s">
        <v>152</v>
      </c>
      <c r="B28" s="4">
        <v>10140.8636363636</v>
      </c>
      <c r="C28" s="1" t="s">
        <v>30</v>
      </c>
      <c r="D28" s="1" t="s">
        <v>161</v>
      </c>
      <c r="E28" s="1" t="s">
        <v>32</v>
      </c>
      <c r="F28" s="1" t="s">
        <v>18</v>
      </c>
      <c r="G28" s="4">
        <v>35851.3043478261</v>
      </c>
      <c r="H28" s="1" t="s">
        <v>26</v>
      </c>
      <c r="I28" s="4">
        <v>26.098814229249</v>
      </c>
      <c r="J28" s="2" t="s">
        <v>162</v>
      </c>
      <c r="K28" s="4">
        <f>IFERROR(__xludf.DUMMYFUNCTION("SPLIT(J28,""$"")"),37560.38)</f>
        <v>37560.38</v>
      </c>
      <c r="L28" s="2" t="s">
        <v>163</v>
      </c>
      <c r="M28" s="5">
        <f>IFERROR(__xludf.DUMMYFUNCTION("SPLIT(L28,""$"")"),5434.96)</f>
        <v>5434.96</v>
      </c>
      <c r="N28" s="2" t="s">
        <v>164</v>
      </c>
    </row>
    <row r="29">
      <c r="A29" s="1" t="s">
        <v>152</v>
      </c>
      <c r="B29" s="4">
        <v>10146.7420948617</v>
      </c>
      <c r="C29" s="1" t="s">
        <v>36</v>
      </c>
      <c r="D29" s="1" t="s">
        <v>165</v>
      </c>
      <c r="E29" s="1" t="s">
        <v>38</v>
      </c>
      <c r="F29" s="1" t="s">
        <v>18</v>
      </c>
      <c r="G29" s="4">
        <v>35851.3260869565</v>
      </c>
      <c r="H29" s="1" t="s">
        <v>26</v>
      </c>
      <c r="I29" s="4">
        <v>25.2332015810277</v>
      </c>
      <c r="J29" s="2" t="s">
        <v>166</v>
      </c>
      <c r="K29" s="4">
        <f>IFERROR(__xludf.DUMMYFUNCTION("SPLIT(J29,""$"")"),13998.29)</f>
        <v>13998.29</v>
      </c>
      <c r="L29" s="2" t="s">
        <v>167</v>
      </c>
      <c r="M29" s="5">
        <f>IFERROR(__xludf.DUMMYFUNCTION("SPLIT(L29,""$"")"),5417.57)</f>
        <v>5417.57</v>
      </c>
      <c r="N29" s="2" t="s">
        <v>168</v>
      </c>
    </row>
    <row r="30">
      <c r="A30" s="1" t="s">
        <v>152</v>
      </c>
      <c r="B30" s="4">
        <v>10152.6205533597</v>
      </c>
      <c r="C30" s="1" t="s">
        <v>42</v>
      </c>
      <c r="D30" s="1" t="s">
        <v>169</v>
      </c>
      <c r="E30" s="1" t="s">
        <v>44</v>
      </c>
      <c r="F30" s="1" t="s">
        <v>18</v>
      </c>
      <c r="G30" s="4">
        <v>35851.3478260869</v>
      </c>
      <c r="H30" s="1" t="s">
        <v>26</v>
      </c>
      <c r="I30" s="4">
        <v>24.3675889328063</v>
      </c>
      <c r="J30" s="2" t="s">
        <v>170</v>
      </c>
      <c r="K30" s="4">
        <f>IFERROR(__xludf.DUMMYFUNCTION("SPLIT(J30,""$"")"),31633.28)</f>
        <v>31633.28</v>
      </c>
      <c r="L30" s="2" t="s">
        <v>171</v>
      </c>
      <c r="M30" s="5">
        <f>IFERROR(__xludf.DUMMYFUNCTION("SPLIT(L30,""$"")"),5658.34)</f>
        <v>5658.34</v>
      </c>
      <c r="N30" s="2" t="s">
        <v>172</v>
      </c>
    </row>
    <row r="31">
      <c r="A31" s="1" t="s">
        <v>152</v>
      </c>
      <c r="B31" s="4">
        <v>10158.4990118577</v>
      </c>
      <c r="C31" s="1" t="s">
        <v>48</v>
      </c>
      <c r="D31" s="1" t="s">
        <v>173</v>
      </c>
      <c r="E31" s="1" t="s">
        <v>50</v>
      </c>
      <c r="F31" s="1" t="s">
        <v>18</v>
      </c>
      <c r="G31" s="4">
        <v>35851.3695652174</v>
      </c>
      <c r="H31" s="1" t="s">
        <v>51</v>
      </c>
      <c r="I31" s="4">
        <v>23.501976284585</v>
      </c>
      <c r="J31" s="2" t="s">
        <v>174</v>
      </c>
      <c r="K31" s="4">
        <f>IFERROR(__xludf.DUMMYFUNCTION("SPLIT(J31,""$"")"),16920.8)</f>
        <v>16920.8</v>
      </c>
      <c r="L31" s="2" t="s">
        <v>175</v>
      </c>
      <c r="M31" s="5">
        <f>IFERROR(__xludf.DUMMYFUNCTION("SPLIT(L31,""$"")"),6653.81)</f>
        <v>6653.81</v>
      </c>
      <c r="N31" s="2" t="s">
        <v>176</v>
      </c>
    </row>
    <row r="32">
      <c r="A32" s="1" t="s">
        <v>152</v>
      </c>
      <c r="B32" s="4">
        <v>10164.3774703557</v>
      </c>
      <c r="C32" s="1" t="s">
        <v>55</v>
      </c>
      <c r="D32" s="1" t="s">
        <v>177</v>
      </c>
      <c r="E32" s="1" t="s">
        <v>57</v>
      </c>
      <c r="F32" s="1" t="s">
        <v>18</v>
      </c>
      <c r="G32" s="4">
        <v>35851.3913043478</v>
      </c>
      <c r="H32" s="1" t="s">
        <v>26</v>
      </c>
      <c r="I32" s="4">
        <v>22.6363636363636</v>
      </c>
      <c r="J32" s="2" t="s">
        <v>178</v>
      </c>
      <c r="K32" s="4">
        <f>IFERROR(__xludf.DUMMYFUNCTION("SPLIT(J32,""$"")"),11977.14)</f>
        <v>11977.14</v>
      </c>
      <c r="L32" s="2" t="s">
        <v>179</v>
      </c>
      <c r="M32" s="5">
        <f>IFERROR(__xludf.DUMMYFUNCTION("SPLIT(L32,""$"")"),5834.75)</f>
        <v>5834.75</v>
      </c>
      <c r="N32" s="2" t="s">
        <v>180</v>
      </c>
    </row>
    <row r="33">
      <c r="A33" s="1" t="s">
        <v>152</v>
      </c>
      <c r="B33" s="4">
        <v>10170.2559288538</v>
      </c>
      <c r="C33" s="1" t="s">
        <v>61</v>
      </c>
      <c r="D33" s="1" t="s">
        <v>181</v>
      </c>
      <c r="E33" s="1" t="s">
        <v>38</v>
      </c>
      <c r="F33" s="1" t="s">
        <v>18</v>
      </c>
      <c r="G33" s="4">
        <v>35851.4130434782</v>
      </c>
      <c r="H33" s="1" t="s">
        <v>26</v>
      </c>
      <c r="I33" s="4">
        <v>21.7707509881423</v>
      </c>
      <c r="J33" s="2" t="s">
        <v>182</v>
      </c>
      <c r="K33" s="4">
        <f>IFERROR(__xludf.DUMMYFUNCTION("SPLIT(J33,""$"")"),35841.1)</f>
        <v>35841.1</v>
      </c>
      <c r="L33" s="2" t="s">
        <v>183</v>
      </c>
      <c r="M33" s="5">
        <f>IFERROR(__xludf.DUMMYFUNCTION("SPLIT(L33,""$"")"),8031.13)</f>
        <v>8031.13</v>
      </c>
      <c r="N33" s="2" t="s">
        <v>184</v>
      </c>
    </row>
    <row r="34">
      <c r="A34" s="1" t="s">
        <v>152</v>
      </c>
      <c r="B34" s="4">
        <v>10176.1343873518</v>
      </c>
      <c r="C34" s="1" t="s">
        <v>66</v>
      </c>
      <c r="D34" s="1" t="s">
        <v>185</v>
      </c>
      <c r="E34" s="1" t="s">
        <v>68</v>
      </c>
      <c r="F34" s="1" t="s">
        <v>18</v>
      </c>
      <c r="G34" s="4">
        <v>35851.4347826087</v>
      </c>
      <c r="H34" s="1" t="s">
        <v>69</v>
      </c>
      <c r="I34" s="4">
        <v>20.9051383399209</v>
      </c>
      <c r="J34" s="2" t="s">
        <v>186</v>
      </c>
      <c r="K34" s="4">
        <f>IFERROR(__xludf.DUMMYFUNCTION("SPLIT(J34,""$"")"),28523.4)</f>
        <v>28523.4</v>
      </c>
      <c r="L34" s="2" t="s">
        <v>187</v>
      </c>
      <c r="M34" s="5">
        <f>IFERROR(__xludf.DUMMYFUNCTION("SPLIT(L34,""$"")"),6113.39)</f>
        <v>6113.39</v>
      </c>
      <c r="N34" s="2" t="s">
        <v>188</v>
      </c>
    </row>
    <row r="35">
      <c r="A35" s="1" t="s">
        <v>152</v>
      </c>
      <c r="B35" s="4">
        <v>10182.0128458498</v>
      </c>
      <c r="C35" s="1" t="s">
        <v>73</v>
      </c>
      <c r="D35" s="1" t="s">
        <v>189</v>
      </c>
      <c r="E35" s="1" t="s">
        <v>75</v>
      </c>
      <c r="F35" s="1" t="s">
        <v>18</v>
      </c>
      <c r="G35" s="4">
        <v>35851.4565217391</v>
      </c>
      <c r="H35" s="1" t="s">
        <v>26</v>
      </c>
      <c r="I35" s="4">
        <v>20.0395256916996</v>
      </c>
      <c r="J35" s="2" t="s">
        <v>190</v>
      </c>
      <c r="K35" s="4">
        <f>IFERROR(__xludf.DUMMYFUNCTION("SPLIT(J35,""$"")"),75233.39)</f>
        <v>75233.39</v>
      </c>
      <c r="L35" s="2" t="s">
        <v>191</v>
      </c>
      <c r="M35" s="5">
        <f>IFERROR(__xludf.DUMMYFUNCTION("SPLIT(L35,""$"")"),5541.06)</f>
        <v>5541.06</v>
      </c>
      <c r="N35" s="2" t="s">
        <v>192</v>
      </c>
    </row>
    <row r="36">
      <c r="A36" s="1" t="s">
        <v>152</v>
      </c>
      <c r="B36" s="4">
        <v>10187.8913043478</v>
      </c>
      <c r="C36" s="1" t="s">
        <v>79</v>
      </c>
      <c r="D36" s="1" t="s">
        <v>193</v>
      </c>
      <c r="E36" s="1" t="s">
        <v>75</v>
      </c>
      <c r="F36" s="1" t="s">
        <v>18</v>
      </c>
      <c r="G36" s="4">
        <v>35851.4782608695</v>
      </c>
      <c r="H36" s="1" t="s">
        <v>26</v>
      </c>
      <c r="I36" s="4">
        <v>19.1739130434783</v>
      </c>
      <c r="J36" s="2" t="s">
        <v>194</v>
      </c>
      <c r="K36" s="4">
        <f>IFERROR(__xludf.DUMMYFUNCTION("SPLIT(J36,""$"")"),67327.93)</f>
        <v>67327.93</v>
      </c>
      <c r="L36" s="2" t="s">
        <v>195</v>
      </c>
      <c r="M36" s="5">
        <f>IFERROR(__xludf.DUMMYFUNCTION("SPLIT(L36,""$"")"),5461.58)</f>
        <v>5461.58</v>
      </c>
      <c r="N36" s="2" t="s">
        <v>196</v>
      </c>
    </row>
    <row r="37">
      <c r="A37" s="1" t="s">
        <v>152</v>
      </c>
      <c r="B37" s="4">
        <v>10193.7697628458</v>
      </c>
      <c r="C37" s="1" t="s">
        <v>84</v>
      </c>
      <c r="D37" s="1" t="s">
        <v>197</v>
      </c>
      <c r="E37" s="1" t="s">
        <v>17</v>
      </c>
      <c r="F37" s="1" t="s">
        <v>18</v>
      </c>
      <c r="G37" s="4">
        <v>35851.5</v>
      </c>
      <c r="H37" s="1" t="s">
        <v>19</v>
      </c>
      <c r="I37" s="4">
        <v>18.3083003952569</v>
      </c>
      <c r="J37" s="2" t="s">
        <v>198</v>
      </c>
      <c r="K37" s="4">
        <f>IFERROR(__xludf.DUMMYFUNCTION("SPLIT(J37,""$"")"),39607.29)</f>
        <v>39607.29</v>
      </c>
      <c r="L37" s="2" t="s">
        <v>199</v>
      </c>
      <c r="M37" s="5">
        <f>IFERROR(__xludf.DUMMYFUNCTION("SPLIT(L37,""$"")"),5356.29)</f>
        <v>5356.29</v>
      </c>
      <c r="N37" s="2" t="s">
        <v>200</v>
      </c>
    </row>
    <row r="38">
      <c r="A38" s="1" t="s">
        <v>152</v>
      </c>
      <c r="B38" s="4">
        <v>10199.6482213439</v>
      </c>
      <c r="C38" s="1" t="s">
        <v>89</v>
      </c>
      <c r="D38" s="1" t="s">
        <v>201</v>
      </c>
      <c r="E38" s="1" t="s">
        <v>38</v>
      </c>
      <c r="F38" s="1" t="s">
        <v>18</v>
      </c>
      <c r="G38" s="4">
        <v>35851.5217391304</v>
      </c>
      <c r="H38" s="1" t="s">
        <v>26</v>
      </c>
      <c r="I38" s="4">
        <v>17.4426877470356</v>
      </c>
      <c r="J38" s="2" t="s">
        <v>202</v>
      </c>
      <c r="K38" s="4">
        <f>IFERROR(__xludf.DUMMYFUNCTION("SPLIT(J38,""$"")"),22862.24)</f>
        <v>22862.24</v>
      </c>
      <c r="L38" s="2" t="s">
        <v>203</v>
      </c>
      <c r="M38" s="5">
        <f>IFERROR(__xludf.DUMMYFUNCTION("SPLIT(L38,""$"")"),5374.66)</f>
        <v>5374.66</v>
      </c>
      <c r="N38" s="2" t="s">
        <v>204</v>
      </c>
    </row>
    <row r="39">
      <c r="A39" s="1" t="s">
        <v>152</v>
      </c>
      <c r="B39" s="4">
        <v>10205.5266798419</v>
      </c>
      <c r="C39" s="1" t="s">
        <v>94</v>
      </c>
      <c r="D39" s="1" t="s">
        <v>205</v>
      </c>
      <c r="E39" s="1" t="s">
        <v>96</v>
      </c>
      <c r="F39" s="1" t="s">
        <v>18</v>
      </c>
      <c r="G39" s="4">
        <v>35851.5434782609</v>
      </c>
      <c r="H39" s="1" t="s">
        <v>26</v>
      </c>
      <c r="I39" s="4">
        <v>16.5770750988142</v>
      </c>
      <c r="J39" s="2" t="s">
        <v>206</v>
      </c>
      <c r="K39" s="4">
        <f>IFERROR(__xludf.DUMMYFUNCTION("SPLIT(J39,""$"")"),31110.86)</f>
        <v>31110.86</v>
      </c>
      <c r="L39" s="2" t="s">
        <v>207</v>
      </c>
      <c r="M39" s="5">
        <f>IFERROR(__xludf.DUMMYFUNCTION("SPLIT(L39,""$"")"),5366.24)</f>
        <v>5366.24</v>
      </c>
      <c r="N39" s="2" t="s">
        <v>208</v>
      </c>
    </row>
    <row r="40">
      <c r="A40" s="1" t="s">
        <v>152</v>
      </c>
      <c r="B40" s="4">
        <v>10211.4051383399</v>
      </c>
      <c r="C40" s="1" t="s">
        <v>100</v>
      </c>
      <c r="D40" s="1" t="s">
        <v>209</v>
      </c>
      <c r="E40" s="1" t="s">
        <v>102</v>
      </c>
      <c r="F40" s="1" t="s">
        <v>18</v>
      </c>
      <c r="G40" s="4">
        <v>35851.5652173913</v>
      </c>
      <c r="H40" s="1" t="s">
        <v>103</v>
      </c>
      <c r="I40" s="4">
        <v>15.7114624505929</v>
      </c>
      <c r="J40" s="2" t="s">
        <v>210</v>
      </c>
      <c r="K40" s="4">
        <f>IFERROR(__xludf.DUMMYFUNCTION("SPLIT(J40,""$"")"),25411.34)</f>
        <v>25411.34</v>
      </c>
      <c r="L40" s="2" t="s">
        <v>211</v>
      </c>
      <c r="M40" s="5">
        <f>IFERROR(__xludf.DUMMYFUNCTION("SPLIT(L40,""$"")"),5282.94)</f>
        <v>5282.94</v>
      </c>
      <c r="N40" s="2" t="s">
        <v>212</v>
      </c>
    </row>
    <row r="41">
      <c r="A41" s="1" t="s">
        <v>152</v>
      </c>
      <c r="B41" s="4">
        <v>10217.2835968379</v>
      </c>
      <c r="C41" s="1" t="s">
        <v>107</v>
      </c>
      <c r="D41" s="1" t="s">
        <v>213</v>
      </c>
      <c r="E41" s="1" t="s">
        <v>109</v>
      </c>
      <c r="F41" s="1" t="s">
        <v>18</v>
      </c>
      <c r="G41" s="4">
        <v>35851.5869565217</v>
      </c>
      <c r="H41" s="1" t="s">
        <v>69</v>
      </c>
      <c r="I41" s="4">
        <v>14.8458498023715</v>
      </c>
      <c r="J41" s="2" t="s">
        <v>214</v>
      </c>
      <c r="K41" s="4">
        <f>IFERROR(__xludf.DUMMYFUNCTION("SPLIT(J41,""$"")"),9234.52)</f>
        <v>9234.52</v>
      </c>
      <c r="L41" s="2" t="s">
        <v>215</v>
      </c>
      <c r="M41" s="5">
        <f>IFERROR(__xludf.DUMMYFUNCTION("SPLIT(L41,""$"")"),5676.56)</f>
        <v>5676.56</v>
      </c>
      <c r="N41" s="2" t="s">
        <v>216</v>
      </c>
    </row>
    <row r="42">
      <c r="A42" s="1" t="s">
        <v>152</v>
      </c>
      <c r="B42" s="4">
        <v>10223.162055336</v>
      </c>
      <c r="C42" s="1" t="s">
        <v>113</v>
      </c>
      <c r="D42" s="1" t="s">
        <v>217</v>
      </c>
      <c r="E42" s="1" t="s">
        <v>115</v>
      </c>
      <c r="F42" s="1" t="s">
        <v>18</v>
      </c>
      <c r="G42" s="4">
        <v>35851.6086956522</v>
      </c>
      <c r="H42" s="1" t="s">
        <v>103</v>
      </c>
      <c r="I42" s="4">
        <v>13.9802371541502</v>
      </c>
      <c r="J42" s="2" t="s">
        <v>218</v>
      </c>
      <c r="K42" s="4">
        <f>IFERROR(__xludf.DUMMYFUNCTION("SPLIT(J42,""$"")"),15895.86)</f>
        <v>15895.86</v>
      </c>
      <c r="L42" s="2" t="s">
        <v>219</v>
      </c>
      <c r="M42" s="5">
        <f>IFERROR(__xludf.DUMMYFUNCTION("SPLIT(L42,""$"")"),5930.12)</f>
        <v>5930.12</v>
      </c>
      <c r="N42" s="2" t="s">
        <v>220</v>
      </c>
    </row>
    <row r="43">
      <c r="A43" s="1" t="s">
        <v>152</v>
      </c>
      <c r="B43" s="4">
        <v>10229.040513834</v>
      </c>
      <c r="C43" s="1" t="s">
        <v>119</v>
      </c>
      <c r="D43" s="1" t="s">
        <v>221</v>
      </c>
      <c r="E43" s="1" t="s">
        <v>121</v>
      </c>
      <c r="F43" s="1" t="s">
        <v>18</v>
      </c>
      <c r="G43" s="4">
        <v>35851.6304347826</v>
      </c>
      <c r="H43" s="1" t="s">
        <v>122</v>
      </c>
      <c r="I43" s="4">
        <v>13.1146245059288</v>
      </c>
      <c r="J43" s="2" t="s">
        <v>222</v>
      </c>
      <c r="K43" s="4">
        <f>IFERROR(__xludf.DUMMYFUNCTION("SPLIT(J43,""$"")"),19721.17)</f>
        <v>19721.17</v>
      </c>
      <c r="L43" s="2" t="s">
        <v>223</v>
      </c>
      <c r="M43" s="5">
        <f>IFERROR(__xludf.DUMMYFUNCTION("SPLIT(L43,""$"")"),6192.55)</f>
        <v>6192.55</v>
      </c>
      <c r="N43" s="2" t="s">
        <v>224</v>
      </c>
    </row>
    <row r="44">
      <c r="A44" s="1" t="s">
        <v>152</v>
      </c>
      <c r="B44" s="4">
        <v>10234.918972332</v>
      </c>
      <c r="C44" s="1" t="s">
        <v>126</v>
      </c>
      <c r="D44" s="1" t="s">
        <v>225</v>
      </c>
      <c r="E44" s="1" t="s">
        <v>128</v>
      </c>
      <c r="F44" s="1" t="s">
        <v>18</v>
      </c>
      <c r="G44" s="4">
        <v>35851.652173913</v>
      </c>
      <c r="H44" s="1" t="s">
        <v>103</v>
      </c>
      <c r="I44" s="4">
        <v>12.2490118577075</v>
      </c>
      <c r="J44" s="2" t="s">
        <v>226</v>
      </c>
      <c r="K44" s="4">
        <f>IFERROR(__xludf.DUMMYFUNCTION("SPLIT(J44,""$"")"),10710.89)</f>
        <v>10710.89</v>
      </c>
      <c r="L44" s="2" t="s">
        <v>227</v>
      </c>
      <c r="M44" s="5">
        <f>IFERROR(__xludf.DUMMYFUNCTION("SPLIT(L44,""$"")"),4968.01)</f>
        <v>4968.01</v>
      </c>
      <c r="N44" s="2" t="s">
        <v>228</v>
      </c>
    </row>
    <row r="45">
      <c r="A45" s="1" t="s">
        <v>152</v>
      </c>
      <c r="B45" s="4">
        <v>10240.79743083</v>
      </c>
      <c r="C45" s="1" t="s">
        <v>132</v>
      </c>
      <c r="D45" s="1" t="s">
        <v>229</v>
      </c>
      <c r="E45" s="1" t="s">
        <v>38</v>
      </c>
      <c r="F45" s="1" t="s">
        <v>18</v>
      </c>
      <c r="G45" s="4">
        <v>35851.6739130435</v>
      </c>
      <c r="H45" s="1" t="s">
        <v>26</v>
      </c>
      <c r="I45" s="4">
        <v>11.3833992094862</v>
      </c>
      <c r="J45" s="2" t="s">
        <v>230</v>
      </c>
      <c r="K45" s="4">
        <f>IFERROR(__xludf.DUMMYFUNCTION("SPLIT(J45,""$"")"),51343.76)</f>
        <v>51343.76</v>
      </c>
      <c r="L45" s="2" t="s">
        <v>231</v>
      </c>
      <c r="M45" s="5">
        <f>IFERROR(__xludf.DUMMYFUNCTION("SPLIT(L45,""$"")"),5996.01)</f>
        <v>5996.01</v>
      </c>
      <c r="N45" s="2" t="s">
        <v>232</v>
      </c>
    </row>
    <row r="46">
      <c r="A46" s="1" t="s">
        <v>152</v>
      </c>
      <c r="B46" s="4">
        <v>10246.6758893281</v>
      </c>
      <c r="C46" s="1" t="s">
        <v>137</v>
      </c>
      <c r="D46" s="1" t="s">
        <v>233</v>
      </c>
      <c r="E46" s="1" t="s">
        <v>38</v>
      </c>
      <c r="F46" s="1" t="s">
        <v>18</v>
      </c>
      <c r="G46" s="4">
        <v>35851.6956521739</v>
      </c>
      <c r="H46" s="1" t="s">
        <v>26</v>
      </c>
      <c r="I46" s="4">
        <v>10.5177865612648</v>
      </c>
      <c r="J46" s="2" t="s">
        <v>234</v>
      </c>
      <c r="K46" s="4">
        <f>IFERROR(__xludf.DUMMYFUNCTION("SPLIT(J46,""$"")"),55219.32)</f>
        <v>55219.32</v>
      </c>
      <c r="L46" s="2" t="s">
        <v>235</v>
      </c>
      <c r="M46" s="5">
        <f>IFERROR(__xludf.DUMMYFUNCTION("SPLIT(L46,""$"")"),5710.32)</f>
        <v>5710.32</v>
      </c>
      <c r="N46" s="2" t="s">
        <v>236</v>
      </c>
    </row>
    <row r="47">
      <c r="A47" s="1" t="s">
        <v>152</v>
      </c>
      <c r="B47" s="4">
        <v>10252.5543478261</v>
      </c>
      <c r="C47" s="1" t="s">
        <v>142</v>
      </c>
      <c r="D47" s="1" t="s">
        <v>237</v>
      </c>
      <c r="E47" s="1" t="s">
        <v>115</v>
      </c>
      <c r="F47" s="1" t="s">
        <v>18</v>
      </c>
      <c r="G47" s="4">
        <v>35851.7173913043</v>
      </c>
      <c r="H47" s="1" t="s">
        <v>103</v>
      </c>
      <c r="I47" s="4">
        <v>9.65217391304347</v>
      </c>
      <c r="J47" s="2" t="s">
        <v>238</v>
      </c>
      <c r="K47" s="4">
        <f>IFERROR(__xludf.DUMMYFUNCTION("SPLIT(J47,""$"")"),14948.16)</f>
        <v>14948.16</v>
      </c>
      <c r="L47" s="2" t="s">
        <v>239</v>
      </c>
      <c r="M47" s="5">
        <f>IFERROR(__xludf.DUMMYFUNCTION("SPLIT(L47,""$"")"),5550.91)</f>
        <v>5550.91</v>
      </c>
      <c r="N47" s="2" t="s">
        <v>240</v>
      </c>
    </row>
    <row r="48">
      <c r="A48" s="1" t="s">
        <v>152</v>
      </c>
      <c r="B48" s="4">
        <v>10258.4328063241</v>
      </c>
      <c r="C48" s="1" t="s">
        <v>147</v>
      </c>
      <c r="D48" s="1" t="s">
        <v>241</v>
      </c>
      <c r="E48" s="1" t="s">
        <v>38</v>
      </c>
      <c r="F48" s="1" t="s">
        <v>18</v>
      </c>
      <c r="G48" s="4">
        <v>35851.7391304348</v>
      </c>
      <c r="H48" s="1" t="s">
        <v>26</v>
      </c>
      <c r="I48" s="4">
        <v>8.78656126482213</v>
      </c>
      <c r="J48" s="2" t="s">
        <v>242</v>
      </c>
      <c r="K48" s="4">
        <f>IFERROR(__xludf.DUMMYFUNCTION("SPLIT(J48,""$"")"),73846.22)</f>
        <v>73846.22</v>
      </c>
      <c r="L48" s="2" t="s">
        <v>243</v>
      </c>
      <c r="M48" s="5">
        <f>IFERROR(__xludf.DUMMYFUNCTION("SPLIT(L48,""$"")"),4987.27)</f>
        <v>4987.27</v>
      </c>
      <c r="N48" s="2" t="s">
        <v>244</v>
      </c>
    </row>
    <row r="49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2" t="s">
        <v>9</v>
      </c>
      <c r="K49" s="1" t="s">
        <v>10</v>
      </c>
      <c r="L49" s="2" t="s">
        <v>11</v>
      </c>
      <c r="M49" s="3" t="s">
        <v>12</v>
      </c>
      <c r="N49" s="2" t="s">
        <v>13</v>
      </c>
    </row>
    <row r="50">
      <c r="A50" s="1" t="s">
        <v>152</v>
      </c>
      <c r="B50" s="4">
        <v>10264.3112648221</v>
      </c>
      <c r="C50" s="1" t="s">
        <v>15</v>
      </c>
      <c r="D50" s="1" t="s">
        <v>245</v>
      </c>
      <c r="E50" s="1" t="s">
        <v>17</v>
      </c>
      <c r="F50" s="1" t="s">
        <v>18</v>
      </c>
      <c r="G50" s="4">
        <v>35851.7608695652</v>
      </c>
      <c r="H50" s="1" t="s">
        <v>19</v>
      </c>
      <c r="I50" s="4">
        <v>7.92094861660078</v>
      </c>
      <c r="J50" s="2" t="s">
        <v>246</v>
      </c>
      <c r="K50" s="4">
        <f>IFERROR(__xludf.DUMMYFUNCTION("SPLIT(J50,""$"")"),32963.09)</f>
        <v>32963.09</v>
      </c>
      <c r="L50" s="2" t="s">
        <v>247</v>
      </c>
      <c r="M50" s="5">
        <f>IFERROR(__xludf.DUMMYFUNCTION("SPLIT(L50,""$"")"),5777.26)</f>
        <v>5777.26</v>
      </c>
      <c r="N50" s="2" t="s">
        <v>248</v>
      </c>
    </row>
    <row r="51">
      <c r="A51" s="1" t="s">
        <v>152</v>
      </c>
      <c r="B51" s="4">
        <v>10270.1897233202</v>
      </c>
      <c r="C51" s="1" t="s">
        <v>23</v>
      </c>
      <c r="D51" s="1" t="s">
        <v>249</v>
      </c>
      <c r="E51" s="1" t="s">
        <v>25</v>
      </c>
      <c r="F51" s="1" t="s">
        <v>18</v>
      </c>
      <c r="G51" s="4">
        <v>35851.7826086956</v>
      </c>
      <c r="H51" s="1" t="s">
        <v>26</v>
      </c>
      <c r="I51" s="4">
        <v>7.05533596837944</v>
      </c>
      <c r="J51" s="2" t="s">
        <v>250</v>
      </c>
      <c r="K51" s="4">
        <f>IFERROR(__xludf.DUMMYFUNCTION("SPLIT(J51,""$"")"),15131.87)</f>
        <v>15131.87</v>
      </c>
      <c r="L51" s="2" t="s">
        <v>251</v>
      </c>
      <c r="M51" s="5">
        <f>IFERROR(__xludf.DUMMYFUNCTION("SPLIT(L51,""$"")"),5787.59)</f>
        <v>5787.59</v>
      </c>
      <c r="N51" s="2" t="s">
        <v>252</v>
      </c>
    </row>
    <row r="52">
      <c r="A52" s="1" t="s">
        <v>152</v>
      </c>
      <c r="B52" s="4">
        <v>10276.0681818182</v>
      </c>
      <c r="C52" s="1" t="s">
        <v>30</v>
      </c>
      <c r="D52" s="1" t="s">
        <v>253</v>
      </c>
      <c r="E52" s="1" t="s">
        <v>32</v>
      </c>
      <c r="F52" s="1" t="s">
        <v>18</v>
      </c>
      <c r="G52" s="4">
        <v>35851.8043478261</v>
      </c>
      <c r="H52" s="1" t="s">
        <v>26</v>
      </c>
      <c r="I52" s="4">
        <v>6.18972332015809</v>
      </c>
      <c r="J52" s="2" t="s">
        <v>254</v>
      </c>
      <c r="K52" s="4">
        <f>IFERROR(__xludf.DUMMYFUNCTION("SPLIT(J52,""$"")"),37560.39)</f>
        <v>37560.39</v>
      </c>
      <c r="L52" s="2" t="s">
        <v>255</v>
      </c>
      <c r="M52" s="5">
        <f>IFERROR(__xludf.DUMMYFUNCTION("SPLIT(L52,""$"")"),5434.97)</f>
        <v>5434.97</v>
      </c>
      <c r="N52" s="2" t="s">
        <v>256</v>
      </c>
    </row>
    <row r="53">
      <c r="A53" s="1" t="s">
        <v>152</v>
      </c>
      <c r="B53" s="4">
        <v>10281.9466403162</v>
      </c>
      <c r="C53" s="1" t="s">
        <v>36</v>
      </c>
      <c r="D53" s="1" t="s">
        <v>257</v>
      </c>
      <c r="E53" s="1" t="s">
        <v>38</v>
      </c>
      <c r="F53" s="1" t="s">
        <v>18</v>
      </c>
      <c r="G53" s="4">
        <v>35851.8260869565</v>
      </c>
      <c r="H53" s="1" t="s">
        <v>26</v>
      </c>
      <c r="I53" s="4">
        <v>5.32411067193674</v>
      </c>
      <c r="J53" s="2" t="s">
        <v>258</v>
      </c>
      <c r="K53" s="4">
        <f>IFERROR(__xludf.DUMMYFUNCTION("SPLIT(J53,""$"")"),13998.3)</f>
        <v>13998.3</v>
      </c>
      <c r="L53" s="2" t="s">
        <v>259</v>
      </c>
      <c r="M53" s="5">
        <f>IFERROR(__xludf.DUMMYFUNCTION("SPLIT(L53,""$"")"),5417.58)</f>
        <v>5417.58</v>
      </c>
      <c r="N53" s="2" t="s">
        <v>260</v>
      </c>
    </row>
    <row r="54">
      <c r="A54" s="1" t="s">
        <v>152</v>
      </c>
      <c r="B54" s="4">
        <v>10287.8250988142</v>
      </c>
      <c r="C54" s="1" t="s">
        <v>42</v>
      </c>
      <c r="D54" s="1" t="s">
        <v>261</v>
      </c>
      <c r="E54" s="1" t="s">
        <v>44</v>
      </c>
      <c r="F54" s="1" t="s">
        <v>18</v>
      </c>
      <c r="G54" s="4">
        <v>35851.8478260869</v>
      </c>
      <c r="H54" s="1" t="s">
        <v>26</v>
      </c>
      <c r="I54" s="4">
        <v>4.4584980237154</v>
      </c>
      <c r="J54" s="2" t="s">
        <v>262</v>
      </c>
      <c r="K54" s="4">
        <f>IFERROR(__xludf.DUMMYFUNCTION("SPLIT(J54,""$"")"),31633.29)</f>
        <v>31633.29</v>
      </c>
      <c r="L54" s="2" t="s">
        <v>263</v>
      </c>
      <c r="M54" s="5">
        <f>IFERROR(__xludf.DUMMYFUNCTION("SPLIT(L54,""$"")"),5658.35)</f>
        <v>5658.35</v>
      </c>
      <c r="N54" s="2" t="s">
        <v>264</v>
      </c>
    </row>
    <row r="55">
      <c r="A55" s="1" t="s">
        <v>152</v>
      </c>
      <c r="B55" s="4">
        <v>10293.7035573123</v>
      </c>
      <c r="C55" s="1" t="s">
        <v>48</v>
      </c>
      <c r="D55" s="1" t="s">
        <v>265</v>
      </c>
      <c r="E55" s="1" t="s">
        <v>50</v>
      </c>
      <c r="F55" s="1" t="s">
        <v>18</v>
      </c>
      <c r="G55" s="4">
        <v>35851.8695652174</v>
      </c>
      <c r="H55" s="1" t="s">
        <v>51</v>
      </c>
      <c r="I55" s="4">
        <v>3.59288537549406</v>
      </c>
      <c r="J55" s="2" t="s">
        <v>266</v>
      </c>
      <c r="K55" s="4">
        <f>IFERROR(__xludf.DUMMYFUNCTION("SPLIT(J55,""$"")"),16920.81)</f>
        <v>16920.81</v>
      </c>
      <c r="L55" s="2" t="s">
        <v>267</v>
      </c>
      <c r="M55" s="5">
        <f>IFERROR(__xludf.DUMMYFUNCTION("SPLIT(L55,""$"")"),6653.82)</f>
        <v>6653.82</v>
      </c>
      <c r="N55" s="2" t="s">
        <v>268</v>
      </c>
    </row>
    <row r="56">
      <c r="A56" s="1" t="s">
        <v>152</v>
      </c>
      <c r="B56" s="4">
        <v>10299.5820158103</v>
      </c>
      <c r="C56" s="1" t="s">
        <v>55</v>
      </c>
      <c r="D56" s="1" t="s">
        <v>269</v>
      </c>
      <c r="E56" s="1" t="s">
        <v>57</v>
      </c>
      <c r="F56" s="1" t="s">
        <v>18</v>
      </c>
      <c r="G56" s="4">
        <v>35851.8913043478</v>
      </c>
      <c r="H56" s="1" t="s">
        <v>26</v>
      </c>
      <c r="I56" s="4">
        <v>2.72727272727271</v>
      </c>
      <c r="J56" s="2" t="s">
        <v>270</v>
      </c>
      <c r="K56" s="4">
        <f>IFERROR(__xludf.DUMMYFUNCTION("SPLIT(J56,""$"")"),11977.15)</f>
        <v>11977.15</v>
      </c>
      <c r="L56" s="2" t="s">
        <v>271</v>
      </c>
      <c r="M56" s="5">
        <f>IFERROR(__xludf.DUMMYFUNCTION("SPLIT(L56,""$"")"),5834.76)</f>
        <v>5834.76</v>
      </c>
      <c r="N56" s="2" t="s">
        <v>272</v>
      </c>
    </row>
    <row r="57">
      <c r="A57" s="1" t="s">
        <v>152</v>
      </c>
      <c r="B57" s="4">
        <v>10305.4604743083</v>
      </c>
      <c r="C57" s="1" t="s">
        <v>61</v>
      </c>
      <c r="D57" s="1" t="s">
        <v>273</v>
      </c>
      <c r="E57" s="1" t="s">
        <v>38</v>
      </c>
      <c r="F57" s="1" t="s">
        <v>18</v>
      </c>
      <c r="G57" s="4">
        <v>35851.9130434782</v>
      </c>
      <c r="H57" s="1" t="s">
        <v>26</v>
      </c>
      <c r="I57" s="4">
        <v>1.86166007905137</v>
      </c>
      <c r="J57" s="2" t="s">
        <v>274</v>
      </c>
      <c r="K57" s="4">
        <f>IFERROR(__xludf.DUMMYFUNCTION("SPLIT(J57,""$"")"),35841.11)</f>
        <v>35841.11</v>
      </c>
      <c r="L57" s="2" t="s">
        <v>275</v>
      </c>
      <c r="M57" s="5">
        <f>IFERROR(__xludf.DUMMYFUNCTION("SPLIT(L57,""$"")"),8031.14)</f>
        <v>8031.14</v>
      </c>
      <c r="N57" s="2" t="s">
        <v>276</v>
      </c>
    </row>
    <row r="58">
      <c r="A58" s="1" t="s">
        <v>152</v>
      </c>
      <c r="B58" s="4">
        <v>10311.3389328063</v>
      </c>
      <c r="C58" s="1" t="s">
        <v>66</v>
      </c>
      <c r="D58" s="1" t="s">
        <v>277</v>
      </c>
      <c r="E58" s="1" t="s">
        <v>68</v>
      </c>
      <c r="F58" s="1" t="s">
        <v>18</v>
      </c>
      <c r="G58" s="4">
        <v>35851.9347826087</v>
      </c>
      <c r="H58" s="1" t="s">
        <v>69</v>
      </c>
      <c r="I58" s="4">
        <v>0.996047430830025</v>
      </c>
      <c r="J58" s="2" t="s">
        <v>278</v>
      </c>
      <c r="K58" s="4">
        <f>IFERROR(__xludf.DUMMYFUNCTION("SPLIT(J58,""$"")"),28523.41)</f>
        <v>28523.41</v>
      </c>
      <c r="L58" s="2" t="s">
        <v>279</v>
      </c>
      <c r="M58" s="5">
        <f>IFERROR(__xludf.DUMMYFUNCTION("SPLIT(L58,""$"")"),6113.4)</f>
        <v>6113.4</v>
      </c>
      <c r="N58" s="2" t="s">
        <v>280</v>
      </c>
    </row>
    <row r="59">
      <c r="A59" s="1" t="s">
        <v>152</v>
      </c>
      <c r="B59" s="4">
        <v>10317.2173913043</v>
      </c>
      <c r="C59" s="1" t="s">
        <v>73</v>
      </c>
      <c r="D59" s="1" t="s">
        <v>281</v>
      </c>
      <c r="E59" s="1" t="s">
        <v>75</v>
      </c>
      <c r="F59" s="1" t="s">
        <v>18</v>
      </c>
      <c r="G59" s="4">
        <v>35851.9565217391</v>
      </c>
      <c r="H59" s="1" t="s">
        <v>26</v>
      </c>
      <c r="I59" s="4">
        <v>0.130434782608681</v>
      </c>
      <c r="J59" s="2" t="s">
        <v>282</v>
      </c>
      <c r="K59" s="4">
        <f>IFERROR(__xludf.DUMMYFUNCTION("SPLIT(J59,""$"")"),75233.4)</f>
        <v>75233.4</v>
      </c>
      <c r="L59" s="2" t="s">
        <v>283</v>
      </c>
      <c r="M59" s="5">
        <f>IFERROR(__xludf.DUMMYFUNCTION("SPLIT(L59,""$"")"),5541.07)</f>
        <v>5541.07</v>
      </c>
      <c r="N59" s="2" t="s">
        <v>284</v>
      </c>
    </row>
    <row r="60">
      <c r="A60" s="1" t="s">
        <v>152</v>
      </c>
      <c r="B60" s="4">
        <v>10323.0958498024</v>
      </c>
      <c r="C60" s="1" t="s">
        <v>79</v>
      </c>
      <c r="D60" s="1" t="s">
        <v>285</v>
      </c>
      <c r="E60" s="1" t="s">
        <v>75</v>
      </c>
      <c r="F60" s="1" t="s">
        <v>18</v>
      </c>
      <c r="G60" s="4">
        <v>35851.9782608695</v>
      </c>
      <c r="H60" s="1" t="s">
        <v>26</v>
      </c>
      <c r="I60" s="4">
        <v>-0.735177865612663</v>
      </c>
      <c r="J60" s="2" t="s">
        <v>286</v>
      </c>
      <c r="K60" s="4">
        <f>IFERROR(__xludf.DUMMYFUNCTION("SPLIT(J60,""$"")"),67327.94)</f>
        <v>67327.94</v>
      </c>
      <c r="L60" s="2" t="s">
        <v>287</v>
      </c>
      <c r="M60" s="5">
        <f>IFERROR(__xludf.DUMMYFUNCTION("SPLIT(L60,""$"")"),5461.59)</f>
        <v>5461.59</v>
      </c>
      <c r="N60" s="2" t="s">
        <v>288</v>
      </c>
    </row>
    <row r="61">
      <c r="A61" s="1" t="s">
        <v>152</v>
      </c>
      <c r="B61" s="4">
        <v>10328.9743083004</v>
      </c>
      <c r="C61" s="1" t="s">
        <v>84</v>
      </c>
      <c r="D61" s="1" t="s">
        <v>289</v>
      </c>
      <c r="E61" s="1" t="s">
        <v>17</v>
      </c>
      <c r="F61" s="1" t="s">
        <v>18</v>
      </c>
      <c r="G61" s="4">
        <v>35852.0</v>
      </c>
      <c r="H61" s="1" t="s">
        <v>19</v>
      </c>
      <c r="I61" s="4">
        <v>-1.60079051383401</v>
      </c>
      <c r="J61" s="2" t="s">
        <v>290</v>
      </c>
      <c r="K61" s="4">
        <f>IFERROR(__xludf.DUMMYFUNCTION("SPLIT(J61,""$"")"),39607.3)</f>
        <v>39607.3</v>
      </c>
      <c r="L61" s="2" t="s">
        <v>291</v>
      </c>
      <c r="M61" s="5">
        <f>IFERROR(__xludf.DUMMYFUNCTION("SPLIT(L61,""$"")"),5356.3)</f>
        <v>5356.3</v>
      </c>
      <c r="N61" s="2" t="s">
        <v>292</v>
      </c>
    </row>
    <row r="62">
      <c r="A62" s="1" t="s">
        <v>152</v>
      </c>
      <c r="B62" s="4">
        <v>10334.8527667984</v>
      </c>
      <c r="C62" s="1" t="s">
        <v>89</v>
      </c>
      <c r="D62" s="1" t="s">
        <v>293</v>
      </c>
      <c r="E62" s="1" t="s">
        <v>38</v>
      </c>
      <c r="F62" s="1" t="s">
        <v>18</v>
      </c>
      <c r="G62" s="4">
        <v>35852.0217391304</v>
      </c>
      <c r="H62" s="1" t="s">
        <v>26</v>
      </c>
      <c r="I62" s="4">
        <v>-2.46640316205535</v>
      </c>
      <c r="J62" s="2" t="s">
        <v>294</v>
      </c>
      <c r="K62" s="4">
        <f>IFERROR(__xludf.DUMMYFUNCTION("SPLIT(J62,""$"")"),22862.25)</f>
        <v>22862.25</v>
      </c>
      <c r="L62" s="2" t="s">
        <v>295</v>
      </c>
      <c r="M62" s="5">
        <f>IFERROR(__xludf.DUMMYFUNCTION("SPLIT(L62,""$"")"),5374.67)</f>
        <v>5374.67</v>
      </c>
      <c r="N62" s="2" t="s">
        <v>296</v>
      </c>
    </row>
    <row r="63">
      <c r="A63" s="1" t="s">
        <v>152</v>
      </c>
      <c r="B63" s="4">
        <v>10340.7312252964</v>
      </c>
      <c r="C63" s="1" t="s">
        <v>94</v>
      </c>
      <c r="D63" s="1" t="s">
        <v>297</v>
      </c>
      <c r="E63" s="1" t="s">
        <v>96</v>
      </c>
      <c r="F63" s="1" t="s">
        <v>18</v>
      </c>
      <c r="G63" s="4">
        <v>35852.0434782609</v>
      </c>
      <c r="H63" s="1" t="s">
        <v>26</v>
      </c>
      <c r="I63" s="4">
        <v>-3.33201581027669</v>
      </c>
      <c r="J63" s="2" t="s">
        <v>298</v>
      </c>
      <c r="K63" s="4">
        <f>IFERROR(__xludf.DUMMYFUNCTION("SPLIT(J63,""$"")"),31110.87)</f>
        <v>31110.87</v>
      </c>
      <c r="L63" s="2" t="s">
        <v>299</v>
      </c>
      <c r="M63" s="5">
        <f>IFERROR(__xludf.DUMMYFUNCTION("SPLIT(L63,""$"")"),5366.25)</f>
        <v>5366.25</v>
      </c>
      <c r="N63" s="2" t="s">
        <v>300</v>
      </c>
    </row>
    <row r="64">
      <c r="A64" s="1" t="s">
        <v>152</v>
      </c>
      <c r="B64" s="4">
        <v>10346.6096837945</v>
      </c>
      <c r="C64" s="1" t="s">
        <v>100</v>
      </c>
      <c r="D64" s="1" t="s">
        <v>301</v>
      </c>
      <c r="E64" s="1" t="s">
        <v>102</v>
      </c>
      <c r="F64" s="1" t="s">
        <v>18</v>
      </c>
      <c r="G64" s="4">
        <v>35852.0652173913</v>
      </c>
      <c r="H64" s="1" t="s">
        <v>103</v>
      </c>
      <c r="I64" s="4">
        <v>-4.19762845849804</v>
      </c>
      <c r="J64" s="2" t="s">
        <v>302</v>
      </c>
      <c r="K64" s="4">
        <f>IFERROR(__xludf.DUMMYFUNCTION("SPLIT(J64,""$"")"),25411.35)</f>
        <v>25411.35</v>
      </c>
      <c r="L64" s="2" t="s">
        <v>303</v>
      </c>
      <c r="M64" s="5">
        <f>IFERROR(__xludf.DUMMYFUNCTION("SPLIT(L64,""$"")"),5282.95)</f>
        <v>5282.95</v>
      </c>
      <c r="N64" s="2" t="s">
        <v>304</v>
      </c>
    </row>
    <row r="65">
      <c r="A65" s="1" t="s">
        <v>152</v>
      </c>
      <c r="B65" s="4">
        <v>10352.4881422925</v>
      </c>
      <c r="C65" s="1" t="s">
        <v>107</v>
      </c>
      <c r="D65" s="1" t="s">
        <v>305</v>
      </c>
      <c r="E65" s="1" t="s">
        <v>109</v>
      </c>
      <c r="F65" s="1" t="s">
        <v>18</v>
      </c>
      <c r="G65" s="4">
        <v>35852.0869565217</v>
      </c>
      <c r="H65" s="1" t="s">
        <v>69</v>
      </c>
      <c r="I65" s="4">
        <v>-5.06324110671938</v>
      </c>
      <c r="J65" s="2" t="s">
        <v>306</v>
      </c>
      <c r="K65" s="4">
        <f>IFERROR(__xludf.DUMMYFUNCTION("SPLIT(J65,""$"")"),9234.53)</f>
        <v>9234.53</v>
      </c>
      <c r="L65" s="2" t="s">
        <v>307</v>
      </c>
      <c r="M65" s="5">
        <f>IFERROR(__xludf.DUMMYFUNCTION("SPLIT(L65,""$"")"),5676.57)</f>
        <v>5676.57</v>
      </c>
      <c r="N65" s="2" t="s">
        <v>308</v>
      </c>
    </row>
    <row r="66">
      <c r="A66" s="1" t="s">
        <v>152</v>
      </c>
      <c r="B66" s="4">
        <v>10358.3666007905</v>
      </c>
      <c r="C66" s="1" t="s">
        <v>113</v>
      </c>
      <c r="D66" s="1" t="s">
        <v>309</v>
      </c>
      <c r="E66" s="1" t="s">
        <v>115</v>
      </c>
      <c r="F66" s="1" t="s">
        <v>18</v>
      </c>
      <c r="G66" s="4">
        <v>35852.1086956522</v>
      </c>
      <c r="H66" s="1" t="s">
        <v>103</v>
      </c>
      <c r="I66" s="4">
        <v>-5.92885375494072</v>
      </c>
      <c r="J66" s="2" t="s">
        <v>310</v>
      </c>
      <c r="K66" s="4">
        <f>IFERROR(__xludf.DUMMYFUNCTION("SPLIT(J66,""$"")"),15895.87)</f>
        <v>15895.87</v>
      </c>
      <c r="L66" s="2" t="s">
        <v>311</v>
      </c>
      <c r="M66" s="5">
        <f>IFERROR(__xludf.DUMMYFUNCTION("SPLIT(L66,""$"")"),5930.13)</f>
        <v>5930.13</v>
      </c>
      <c r="N66" s="2" t="s">
        <v>312</v>
      </c>
    </row>
    <row r="67">
      <c r="A67" s="1" t="s">
        <v>152</v>
      </c>
      <c r="B67" s="4">
        <v>10364.2450592885</v>
      </c>
      <c r="C67" s="1" t="s">
        <v>119</v>
      </c>
      <c r="D67" s="1" t="s">
        <v>313</v>
      </c>
      <c r="E67" s="1" t="s">
        <v>121</v>
      </c>
      <c r="F67" s="1" t="s">
        <v>18</v>
      </c>
      <c r="G67" s="4">
        <v>35852.1304347826</v>
      </c>
      <c r="H67" s="1" t="s">
        <v>122</v>
      </c>
      <c r="I67" s="4">
        <v>-6.79446640316207</v>
      </c>
      <c r="J67" s="2" t="s">
        <v>314</v>
      </c>
      <c r="K67" s="4">
        <f>IFERROR(__xludf.DUMMYFUNCTION("SPLIT(J67,""$"")"),19721.18)</f>
        <v>19721.18</v>
      </c>
      <c r="L67" s="2" t="s">
        <v>315</v>
      </c>
      <c r="M67" s="5">
        <f>IFERROR(__xludf.DUMMYFUNCTION("SPLIT(L67,""$"")"),6192.56)</f>
        <v>6192.56</v>
      </c>
      <c r="N67" s="2" t="s">
        <v>316</v>
      </c>
    </row>
    <row r="68">
      <c r="A68" s="1" t="s">
        <v>152</v>
      </c>
      <c r="B68" s="4">
        <v>10370.1235177866</v>
      </c>
      <c r="C68" s="1" t="s">
        <v>126</v>
      </c>
      <c r="D68" s="1" t="s">
        <v>317</v>
      </c>
      <c r="E68" s="1" t="s">
        <v>128</v>
      </c>
      <c r="F68" s="1" t="s">
        <v>18</v>
      </c>
      <c r="G68" s="4">
        <v>35852.152173913</v>
      </c>
      <c r="H68" s="1" t="s">
        <v>103</v>
      </c>
      <c r="I68" s="4">
        <v>-7.66007905138341</v>
      </c>
      <c r="J68" s="2" t="s">
        <v>318</v>
      </c>
      <c r="K68" s="4">
        <f>IFERROR(__xludf.DUMMYFUNCTION("SPLIT(J68,""$"")"),10710.9)</f>
        <v>10710.9</v>
      </c>
      <c r="L68" s="2" t="s">
        <v>319</v>
      </c>
      <c r="M68" s="5">
        <f>IFERROR(__xludf.DUMMYFUNCTION("SPLIT(L68,""$"")"),4968.02)</f>
        <v>4968.02</v>
      </c>
      <c r="N68" s="2" t="s">
        <v>320</v>
      </c>
    </row>
    <row r="69">
      <c r="A69" s="1" t="s">
        <v>152</v>
      </c>
      <c r="B69" s="4">
        <v>10376.0019762846</v>
      </c>
      <c r="C69" s="1" t="s">
        <v>132</v>
      </c>
      <c r="D69" s="1" t="s">
        <v>321</v>
      </c>
      <c r="E69" s="1" t="s">
        <v>38</v>
      </c>
      <c r="F69" s="1" t="s">
        <v>18</v>
      </c>
      <c r="G69" s="4">
        <v>35852.1739130435</v>
      </c>
      <c r="H69" s="1" t="s">
        <v>26</v>
      </c>
      <c r="I69" s="4">
        <v>-8.52569169960476</v>
      </c>
      <c r="J69" s="2" t="s">
        <v>322</v>
      </c>
      <c r="K69" s="4">
        <f>IFERROR(__xludf.DUMMYFUNCTION("SPLIT(J69,""$"")"),51343.77)</f>
        <v>51343.77</v>
      </c>
      <c r="L69" s="2" t="s">
        <v>323</v>
      </c>
      <c r="M69" s="5">
        <f>IFERROR(__xludf.DUMMYFUNCTION("SPLIT(L69,""$"")"),5996.02)</f>
        <v>5996.02</v>
      </c>
      <c r="N69" s="2" t="s">
        <v>324</v>
      </c>
    </row>
    <row r="70">
      <c r="A70" s="1" t="s">
        <v>152</v>
      </c>
      <c r="B70" s="4">
        <v>10381.8804347826</v>
      </c>
      <c r="C70" s="1" t="s">
        <v>137</v>
      </c>
      <c r="D70" s="1" t="s">
        <v>325</v>
      </c>
      <c r="E70" s="1" t="s">
        <v>38</v>
      </c>
      <c r="F70" s="1" t="s">
        <v>18</v>
      </c>
      <c r="G70" s="4">
        <v>35852.1956521739</v>
      </c>
      <c r="H70" s="1" t="s">
        <v>26</v>
      </c>
      <c r="I70" s="4">
        <v>-9.3913043478261</v>
      </c>
      <c r="J70" s="2" t="s">
        <v>326</v>
      </c>
      <c r="K70" s="4">
        <f>IFERROR(__xludf.DUMMYFUNCTION("SPLIT(J70,""$"")"),55219.33)</f>
        <v>55219.33</v>
      </c>
      <c r="L70" s="2" t="s">
        <v>327</v>
      </c>
      <c r="M70" s="5">
        <f>IFERROR(__xludf.DUMMYFUNCTION("SPLIT(L70,""$"")"),5710.33)</f>
        <v>5710.33</v>
      </c>
      <c r="N70" s="2" t="s">
        <v>328</v>
      </c>
    </row>
    <row r="71">
      <c r="A71" s="1" t="s">
        <v>152</v>
      </c>
      <c r="B71" s="4">
        <v>10387.7588932806</v>
      </c>
      <c r="C71" s="1" t="s">
        <v>142</v>
      </c>
      <c r="D71" s="1" t="s">
        <v>329</v>
      </c>
      <c r="E71" s="1" t="s">
        <v>115</v>
      </c>
      <c r="F71" s="1" t="s">
        <v>18</v>
      </c>
      <c r="G71" s="4">
        <v>35852.2173913043</v>
      </c>
      <c r="H71" s="1" t="s">
        <v>103</v>
      </c>
      <c r="I71" s="4">
        <v>-10.2569169960474</v>
      </c>
      <c r="J71" s="2" t="s">
        <v>330</v>
      </c>
      <c r="K71" s="4">
        <f>IFERROR(__xludf.DUMMYFUNCTION("SPLIT(J71,""$"")"),14948.17)</f>
        <v>14948.17</v>
      </c>
      <c r="L71" s="2" t="s">
        <v>331</v>
      </c>
      <c r="M71" s="5">
        <f>IFERROR(__xludf.DUMMYFUNCTION("SPLIT(L71,""$"")"),5550.92)</f>
        <v>5550.92</v>
      </c>
      <c r="N71" s="2" t="s">
        <v>332</v>
      </c>
    </row>
    <row r="72">
      <c r="A72" s="1" t="s">
        <v>152</v>
      </c>
      <c r="B72" s="4">
        <v>10393.6373517787</v>
      </c>
      <c r="C72" s="1" t="s">
        <v>147</v>
      </c>
      <c r="D72" s="1" t="s">
        <v>333</v>
      </c>
      <c r="E72" s="1" t="s">
        <v>38</v>
      </c>
      <c r="F72" s="1" t="s">
        <v>18</v>
      </c>
      <c r="G72" s="4">
        <v>35852.2391304348</v>
      </c>
      <c r="H72" s="1" t="s">
        <v>26</v>
      </c>
      <c r="I72" s="4">
        <v>-11.1225296442688</v>
      </c>
      <c r="J72" s="2" t="s">
        <v>334</v>
      </c>
      <c r="K72" s="4">
        <f>IFERROR(__xludf.DUMMYFUNCTION("SPLIT(J72,""$"")"),73846.23)</f>
        <v>73846.23</v>
      </c>
      <c r="L72" s="2" t="s">
        <v>335</v>
      </c>
      <c r="M72" s="5">
        <f>IFERROR(__xludf.DUMMYFUNCTION("SPLIT(L72,""$"")"),4987.28)</f>
        <v>4987.28</v>
      </c>
      <c r="N72" s="2" t="s">
        <v>336</v>
      </c>
    </row>
    <row r="7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2" t="s">
        <v>9</v>
      </c>
      <c r="K73" s="1" t="s">
        <v>10</v>
      </c>
      <c r="L73" s="2" t="s">
        <v>11</v>
      </c>
      <c r="M73" s="3" t="s">
        <v>12</v>
      </c>
      <c r="N73" s="2" t="s">
        <v>13</v>
      </c>
    </row>
    <row r="74">
      <c r="A74" s="1" t="s">
        <v>152</v>
      </c>
      <c r="B74" s="4">
        <v>10399.5158102767</v>
      </c>
      <c r="C74" s="1" t="s">
        <v>15</v>
      </c>
      <c r="D74" s="1" t="s">
        <v>337</v>
      </c>
      <c r="E74" s="1" t="s">
        <v>17</v>
      </c>
      <c r="F74" s="1" t="s">
        <v>18</v>
      </c>
      <c r="G74" s="4">
        <v>35852.2608695652</v>
      </c>
      <c r="H74" s="1" t="s">
        <v>19</v>
      </c>
      <c r="I74" s="4">
        <v>-11.9881422924901</v>
      </c>
      <c r="J74" s="2" t="s">
        <v>338</v>
      </c>
      <c r="K74" s="4">
        <f>IFERROR(__xludf.DUMMYFUNCTION("SPLIT(J74,""$"")"),32963.1)</f>
        <v>32963.1</v>
      </c>
      <c r="L74" s="2" t="s">
        <v>339</v>
      </c>
      <c r="M74" s="5">
        <f>IFERROR(__xludf.DUMMYFUNCTION("SPLIT(L74,""$"")"),5777.27)</f>
        <v>5777.27</v>
      </c>
      <c r="N74" s="2" t="s">
        <v>340</v>
      </c>
    </row>
    <row r="75">
      <c r="A75" s="1" t="s">
        <v>152</v>
      </c>
      <c r="B75" s="4">
        <v>10405.3942687747</v>
      </c>
      <c r="C75" s="1" t="s">
        <v>23</v>
      </c>
      <c r="D75" s="1" t="s">
        <v>341</v>
      </c>
      <c r="E75" s="1" t="s">
        <v>25</v>
      </c>
      <c r="F75" s="1" t="s">
        <v>18</v>
      </c>
      <c r="G75" s="4">
        <v>35852.2826086956</v>
      </c>
      <c r="H75" s="1" t="s">
        <v>26</v>
      </c>
      <c r="I75" s="4">
        <v>-12.8537549407115</v>
      </c>
      <c r="J75" s="2" t="s">
        <v>342</v>
      </c>
      <c r="K75" s="4">
        <f>IFERROR(__xludf.DUMMYFUNCTION("SPLIT(J75,""$"")"),15131.88)</f>
        <v>15131.88</v>
      </c>
      <c r="L75" s="2" t="s">
        <v>343</v>
      </c>
      <c r="M75" s="5">
        <f>IFERROR(__xludf.DUMMYFUNCTION("SPLIT(L75,""$"")"),5787.6)</f>
        <v>5787.6</v>
      </c>
      <c r="N75" s="2" t="s">
        <v>344</v>
      </c>
    </row>
    <row r="76">
      <c r="A76" s="1" t="s">
        <v>152</v>
      </c>
      <c r="B76" s="4">
        <v>10411.2727272727</v>
      </c>
      <c r="C76" s="1" t="s">
        <v>30</v>
      </c>
      <c r="D76" s="1" t="s">
        <v>345</v>
      </c>
      <c r="E76" s="1" t="s">
        <v>32</v>
      </c>
      <c r="F76" s="1" t="s">
        <v>18</v>
      </c>
      <c r="G76" s="4">
        <v>35852.3043478261</v>
      </c>
      <c r="H76" s="1" t="s">
        <v>26</v>
      </c>
      <c r="I76" s="4">
        <v>-13.7193675889328</v>
      </c>
      <c r="J76" s="2" t="s">
        <v>346</v>
      </c>
      <c r="K76" s="4">
        <f>IFERROR(__xludf.DUMMYFUNCTION("SPLIT(J76,""$"")"),37560.4)</f>
        <v>37560.4</v>
      </c>
      <c r="L76" s="2" t="s">
        <v>347</v>
      </c>
      <c r="M76" s="5">
        <f>IFERROR(__xludf.DUMMYFUNCTION("SPLIT(L76,""$"")"),5434.98)</f>
        <v>5434.98</v>
      </c>
      <c r="N76" s="2" t="s">
        <v>348</v>
      </c>
    </row>
    <row r="77">
      <c r="A77" s="1" t="s">
        <v>152</v>
      </c>
      <c r="B77" s="4">
        <v>10417.1511857707</v>
      </c>
      <c r="C77" s="1" t="s">
        <v>36</v>
      </c>
      <c r="D77" s="1" t="s">
        <v>349</v>
      </c>
      <c r="E77" s="1" t="s">
        <v>38</v>
      </c>
      <c r="F77" s="1" t="s">
        <v>18</v>
      </c>
      <c r="G77" s="4">
        <v>35852.3260869565</v>
      </c>
      <c r="H77" s="1" t="s">
        <v>26</v>
      </c>
      <c r="I77" s="4">
        <v>-14.5849802371542</v>
      </c>
      <c r="J77" s="2" t="s">
        <v>350</v>
      </c>
      <c r="K77" s="4">
        <f>IFERROR(__xludf.DUMMYFUNCTION("SPLIT(J77,""$"")"),13998.31)</f>
        <v>13998.31</v>
      </c>
      <c r="L77" s="2" t="s">
        <v>351</v>
      </c>
      <c r="M77" s="5">
        <f>IFERROR(__xludf.DUMMYFUNCTION("SPLIT(L77,""$"")"),5417.59)</f>
        <v>5417.59</v>
      </c>
      <c r="N77" s="2" t="s">
        <v>352</v>
      </c>
    </row>
    <row r="78">
      <c r="A78" s="1" t="s">
        <v>152</v>
      </c>
      <c r="B78" s="4">
        <v>10423.0296442688</v>
      </c>
      <c r="C78" s="1" t="s">
        <v>42</v>
      </c>
      <c r="D78" s="1" t="s">
        <v>353</v>
      </c>
      <c r="E78" s="1" t="s">
        <v>44</v>
      </c>
      <c r="F78" s="1" t="s">
        <v>18</v>
      </c>
      <c r="G78" s="4">
        <v>35852.3478260869</v>
      </c>
      <c r="H78" s="1" t="s">
        <v>26</v>
      </c>
      <c r="I78" s="4">
        <v>-15.4505928853755</v>
      </c>
      <c r="J78" s="2" t="s">
        <v>354</v>
      </c>
      <c r="K78" s="4">
        <f>IFERROR(__xludf.DUMMYFUNCTION("SPLIT(J78,""$"")"),31633.3)</f>
        <v>31633.3</v>
      </c>
      <c r="L78" s="2" t="s">
        <v>355</v>
      </c>
      <c r="M78" s="5">
        <f>IFERROR(__xludf.DUMMYFUNCTION("SPLIT(L78,""$"")"),5658.36)</f>
        <v>5658.36</v>
      </c>
      <c r="N78" s="2" t="s">
        <v>356</v>
      </c>
    </row>
    <row r="79">
      <c r="A79" s="1" t="s">
        <v>152</v>
      </c>
      <c r="B79" s="4">
        <v>10428.9081027668</v>
      </c>
      <c r="C79" s="1" t="s">
        <v>48</v>
      </c>
      <c r="D79" s="1" t="s">
        <v>357</v>
      </c>
      <c r="E79" s="1" t="s">
        <v>50</v>
      </c>
      <c r="F79" s="1" t="s">
        <v>18</v>
      </c>
      <c r="G79" s="4">
        <v>35852.3695652174</v>
      </c>
      <c r="H79" s="1" t="s">
        <v>51</v>
      </c>
      <c r="I79" s="4">
        <v>-16.3162055335968</v>
      </c>
      <c r="J79" s="2" t="s">
        <v>358</v>
      </c>
      <c r="K79" s="4">
        <f>IFERROR(__xludf.DUMMYFUNCTION("SPLIT(J79,""$"")"),16920.82)</f>
        <v>16920.82</v>
      </c>
      <c r="L79" s="2" t="s">
        <v>359</v>
      </c>
      <c r="M79" s="5">
        <f>IFERROR(__xludf.DUMMYFUNCTION("SPLIT(L79,""$"")"),6653.83)</f>
        <v>6653.83</v>
      </c>
      <c r="N79" s="2" t="s">
        <v>360</v>
      </c>
    </row>
    <row r="80">
      <c r="A80" s="1" t="s">
        <v>152</v>
      </c>
      <c r="B80" s="4">
        <v>10434.7865612648</v>
      </c>
      <c r="C80" s="1" t="s">
        <v>55</v>
      </c>
      <c r="D80" s="1" t="s">
        <v>361</v>
      </c>
      <c r="E80" s="1" t="s">
        <v>57</v>
      </c>
      <c r="F80" s="1" t="s">
        <v>18</v>
      </c>
      <c r="G80" s="4">
        <v>35852.3913043478</v>
      </c>
      <c r="H80" s="1" t="s">
        <v>26</v>
      </c>
      <c r="I80" s="4">
        <v>-17.1818181818182</v>
      </c>
      <c r="J80" s="2" t="s">
        <v>362</v>
      </c>
      <c r="K80" s="4">
        <f>IFERROR(__xludf.DUMMYFUNCTION("SPLIT(J80,""$"")"),11977.16)</f>
        <v>11977.16</v>
      </c>
      <c r="L80" s="2" t="s">
        <v>363</v>
      </c>
      <c r="M80" s="5">
        <f>IFERROR(__xludf.DUMMYFUNCTION("SPLIT(L80,""$"")"),5834.77)</f>
        <v>5834.77</v>
      </c>
      <c r="N80" s="2" t="s">
        <v>364</v>
      </c>
    </row>
    <row r="81">
      <c r="A81" s="1" t="s">
        <v>152</v>
      </c>
      <c r="B81" s="4">
        <v>10440.6650197628</v>
      </c>
      <c r="C81" s="1" t="s">
        <v>61</v>
      </c>
      <c r="D81" s="1" t="s">
        <v>365</v>
      </c>
      <c r="E81" s="1" t="s">
        <v>38</v>
      </c>
      <c r="F81" s="1" t="s">
        <v>18</v>
      </c>
      <c r="G81" s="4">
        <v>35852.4130434782</v>
      </c>
      <c r="H81" s="1" t="s">
        <v>26</v>
      </c>
      <c r="I81" s="4">
        <v>-18.0474308300395</v>
      </c>
      <c r="J81" s="2" t="s">
        <v>366</v>
      </c>
      <c r="K81" s="4">
        <f>IFERROR(__xludf.DUMMYFUNCTION("SPLIT(J81,""$"")"),35841.12)</f>
        <v>35841.12</v>
      </c>
      <c r="L81" s="2" t="s">
        <v>367</v>
      </c>
      <c r="M81" s="5">
        <f>IFERROR(__xludf.DUMMYFUNCTION("SPLIT(L81,""$"")"),8031.15)</f>
        <v>8031.15</v>
      </c>
      <c r="N81" s="2" t="s">
        <v>368</v>
      </c>
    </row>
    <row r="82">
      <c r="A82" s="1" t="s">
        <v>152</v>
      </c>
      <c r="B82" s="4">
        <v>10446.5434782609</v>
      </c>
      <c r="C82" s="1" t="s">
        <v>66</v>
      </c>
      <c r="D82" s="1" t="s">
        <v>369</v>
      </c>
      <c r="E82" s="1" t="s">
        <v>68</v>
      </c>
      <c r="F82" s="1" t="s">
        <v>18</v>
      </c>
      <c r="G82" s="4">
        <v>35852.4347826087</v>
      </c>
      <c r="H82" s="1" t="s">
        <v>69</v>
      </c>
      <c r="I82" s="4">
        <v>-18.9130434782609</v>
      </c>
      <c r="J82" s="2" t="s">
        <v>370</v>
      </c>
      <c r="K82" s="4">
        <f>IFERROR(__xludf.DUMMYFUNCTION("SPLIT(J82,""$"")"),28523.42)</f>
        <v>28523.42</v>
      </c>
      <c r="L82" s="2" t="s">
        <v>371</v>
      </c>
      <c r="M82" s="5">
        <f>IFERROR(__xludf.DUMMYFUNCTION("SPLIT(L82,""$"")"),6113.41)</f>
        <v>6113.41</v>
      </c>
      <c r="N82" s="2" t="s">
        <v>372</v>
      </c>
    </row>
    <row r="83">
      <c r="A83" s="1" t="s">
        <v>152</v>
      </c>
      <c r="B83" s="4">
        <v>10452.4219367589</v>
      </c>
      <c r="C83" s="1" t="s">
        <v>73</v>
      </c>
      <c r="D83" s="1" t="s">
        <v>373</v>
      </c>
      <c r="E83" s="1" t="s">
        <v>75</v>
      </c>
      <c r="F83" s="1" t="s">
        <v>18</v>
      </c>
      <c r="G83" s="4">
        <v>35852.4565217391</v>
      </c>
      <c r="H83" s="1" t="s">
        <v>26</v>
      </c>
      <c r="I83" s="4">
        <v>-19.7786561264822</v>
      </c>
      <c r="J83" s="2" t="s">
        <v>374</v>
      </c>
      <c r="K83" s="4">
        <f>IFERROR(__xludf.DUMMYFUNCTION("SPLIT(J83,""$"")"),75233.41)</f>
        <v>75233.41</v>
      </c>
      <c r="L83" s="2" t="s">
        <v>375</v>
      </c>
      <c r="M83" s="5">
        <f>IFERROR(__xludf.DUMMYFUNCTION("SPLIT(L83,""$"")"),5541.08)</f>
        <v>5541.08</v>
      </c>
      <c r="N83" s="2" t="s">
        <v>376</v>
      </c>
    </row>
    <row r="84">
      <c r="A84" s="1" t="s">
        <v>152</v>
      </c>
      <c r="B84" s="4">
        <v>10458.3003952569</v>
      </c>
      <c r="C84" s="1" t="s">
        <v>79</v>
      </c>
      <c r="D84" s="1" t="s">
        <v>377</v>
      </c>
      <c r="E84" s="1" t="s">
        <v>75</v>
      </c>
      <c r="F84" s="1" t="s">
        <v>18</v>
      </c>
      <c r="G84" s="4">
        <v>35852.4782608695</v>
      </c>
      <c r="H84" s="1" t="s">
        <v>26</v>
      </c>
      <c r="I84" s="4">
        <v>-20.6442687747036</v>
      </c>
      <c r="J84" s="2" t="s">
        <v>378</v>
      </c>
      <c r="K84" s="4">
        <f>IFERROR(__xludf.DUMMYFUNCTION("SPLIT(J84,""$"")"),67327.95)</f>
        <v>67327.95</v>
      </c>
      <c r="L84" s="2" t="s">
        <v>379</v>
      </c>
      <c r="M84" s="5">
        <f>IFERROR(__xludf.DUMMYFUNCTION("SPLIT(L84,""$"")"),5461.6)</f>
        <v>5461.6</v>
      </c>
      <c r="N84" s="2" t="s">
        <v>380</v>
      </c>
    </row>
    <row r="85">
      <c r="A85" s="1" t="s">
        <v>152</v>
      </c>
      <c r="B85" s="4">
        <v>10464.1788537549</v>
      </c>
      <c r="C85" s="1" t="s">
        <v>84</v>
      </c>
      <c r="D85" s="1" t="s">
        <v>381</v>
      </c>
      <c r="E85" s="1" t="s">
        <v>17</v>
      </c>
      <c r="F85" s="1" t="s">
        <v>18</v>
      </c>
      <c r="G85" s="4">
        <v>35852.5</v>
      </c>
      <c r="H85" s="1" t="s">
        <v>19</v>
      </c>
      <c r="I85" s="4">
        <v>-21.5098814229249</v>
      </c>
      <c r="J85" s="2" t="s">
        <v>382</v>
      </c>
      <c r="K85" s="4">
        <f>IFERROR(__xludf.DUMMYFUNCTION("SPLIT(J85,""$"")"),39607.31)</f>
        <v>39607.31</v>
      </c>
      <c r="L85" s="2" t="s">
        <v>383</v>
      </c>
      <c r="M85" s="5">
        <f>IFERROR(__xludf.DUMMYFUNCTION("SPLIT(L85,""$"")"),5356.31)</f>
        <v>5356.31</v>
      </c>
      <c r="N85" s="2" t="s">
        <v>384</v>
      </c>
    </row>
    <row r="86">
      <c r="A86" s="1" t="s">
        <v>152</v>
      </c>
      <c r="B86" s="4">
        <v>10470.057312253</v>
      </c>
      <c r="C86" s="1" t="s">
        <v>89</v>
      </c>
      <c r="D86" s="1" t="s">
        <v>385</v>
      </c>
      <c r="E86" s="1" t="s">
        <v>38</v>
      </c>
      <c r="F86" s="1" t="s">
        <v>18</v>
      </c>
      <c r="G86" s="4">
        <v>35852.5217391304</v>
      </c>
      <c r="H86" s="1" t="s">
        <v>26</v>
      </c>
      <c r="I86" s="4">
        <v>-22.3754940711463</v>
      </c>
      <c r="J86" s="2" t="s">
        <v>386</v>
      </c>
      <c r="K86" s="4">
        <f>IFERROR(__xludf.DUMMYFUNCTION("SPLIT(J86,""$"")"),22862.26)</f>
        <v>22862.26</v>
      </c>
      <c r="L86" s="2" t="s">
        <v>387</v>
      </c>
      <c r="M86" s="5">
        <f>IFERROR(__xludf.DUMMYFUNCTION("SPLIT(L86,""$"")"),5374.68)</f>
        <v>5374.68</v>
      </c>
      <c r="N86" s="2" t="s">
        <v>388</v>
      </c>
    </row>
    <row r="87">
      <c r="A87" s="1" t="s">
        <v>152</v>
      </c>
      <c r="B87" s="4">
        <v>10475.935770751</v>
      </c>
      <c r="C87" s="1" t="s">
        <v>94</v>
      </c>
      <c r="D87" s="1" t="s">
        <v>389</v>
      </c>
      <c r="E87" s="1" t="s">
        <v>96</v>
      </c>
      <c r="F87" s="1" t="s">
        <v>18</v>
      </c>
      <c r="G87" s="4">
        <v>35852.5434782609</v>
      </c>
      <c r="H87" s="1" t="s">
        <v>26</v>
      </c>
      <c r="I87" s="4">
        <v>-23.2411067193676</v>
      </c>
      <c r="J87" s="2" t="s">
        <v>390</v>
      </c>
      <c r="K87" s="4">
        <f>IFERROR(__xludf.DUMMYFUNCTION("SPLIT(J87,""$"")"),31110.88)</f>
        <v>31110.88</v>
      </c>
      <c r="L87" s="2" t="s">
        <v>391</v>
      </c>
      <c r="M87" s="5">
        <f>IFERROR(__xludf.DUMMYFUNCTION("SPLIT(L87,""$"")"),5366.26)</f>
        <v>5366.26</v>
      </c>
      <c r="N87" s="2" t="s">
        <v>392</v>
      </c>
    </row>
    <row r="88">
      <c r="A88" s="1" t="s">
        <v>152</v>
      </c>
      <c r="B88" s="4">
        <v>10481.814229249</v>
      </c>
      <c r="C88" s="1" t="s">
        <v>100</v>
      </c>
      <c r="D88" s="1" t="s">
        <v>393</v>
      </c>
      <c r="E88" s="1" t="s">
        <v>102</v>
      </c>
      <c r="F88" s="1" t="s">
        <v>18</v>
      </c>
      <c r="G88" s="4">
        <v>35852.5652173913</v>
      </c>
      <c r="H88" s="1" t="s">
        <v>103</v>
      </c>
      <c r="I88" s="4">
        <v>-24.1067193675889</v>
      </c>
      <c r="J88" s="2" t="s">
        <v>394</v>
      </c>
      <c r="K88" s="4">
        <f>IFERROR(__xludf.DUMMYFUNCTION("SPLIT(J88,""$"")"),25411.36)</f>
        <v>25411.36</v>
      </c>
      <c r="L88" s="2" t="s">
        <v>395</v>
      </c>
      <c r="M88" s="5">
        <f>IFERROR(__xludf.DUMMYFUNCTION("SPLIT(L88,""$"")"),5282.96)</f>
        <v>5282.96</v>
      </c>
      <c r="N88" s="2" t="s">
        <v>396</v>
      </c>
    </row>
    <row r="89">
      <c r="A89" s="1" t="s">
        <v>152</v>
      </c>
      <c r="B89" s="4">
        <v>10487.692687747</v>
      </c>
      <c r="C89" s="1" t="s">
        <v>107</v>
      </c>
      <c r="D89" s="1" t="s">
        <v>397</v>
      </c>
      <c r="E89" s="1" t="s">
        <v>109</v>
      </c>
      <c r="F89" s="1" t="s">
        <v>18</v>
      </c>
      <c r="G89" s="4">
        <v>35852.5869565217</v>
      </c>
      <c r="H89" s="1" t="s">
        <v>69</v>
      </c>
      <c r="I89" s="4">
        <v>-24.9723320158103</v>
      </c>
      <c r="J89" s="2" t="s">
        <v>398</v>
      </c>
      <c r="K89" s="4">
        <f>IFERROR(__xludf.DUMMYFUNCTION("SPLIT(J89,""$"")"),9234.54)</f>
        <v>9234.54</v>
      </c>
      <c r="L89" s="2" t="s">
        <v>399</v>
      </c>
      <c r="M89" s="5">
        <f>IFERROR(__xludf.DUMMYFUNCTION("SPLIT(L89,""$"")"),5676.58)</f>
        <v>5676.58</v>
      </c>
      <c r="N89" s="2" t="s">
        <v>400</v>
      </c>
    </row>
    <row r="90">
      <c r="A90" s="1" t="s">
        <v>152</v>
      </c>
      <c r="B90" s="4">
        <v>10493.5711462451</v>
      </c>
      <c r="C90" s="1" t="s">
        <v>113</v>
      </c>
      <c r="D90" s="1" t="s">
        <v>401</v>
      </c>
      <c r="E90" s="1" t="s">
        <v>115</v>
      </c>
      <c r="F90" s="1" t="s">
        <v>18</v>
      </c>
      <c r="G90" s="4">
        <v>35852.6086956522</v>
      </c>
      <c r="H90" s="1" t="s">
        <v>103</v>
      </c>
      <c r="I90" s="4">
        <v>-25.8379446640316</v>
      </c>
      <c r="J90" s="2" t="s">
        <v>402</v>
      </c>
      <c r="K90" s="4">
        <f>IFERROR(__xludf.DUMMYFUNCTION("SPLIT(J90,""$"")"),15895.88)</f>
        <v>15895.88</v>
      </c>
      <c r="L90" s="2" t="s">
        <v>403</v>
      </c>
      <c r="M90" s="5">
        <f>IFERROR(__xludf.DUMMYFUNCTION("SPLIT(L90,""$"")"),5930.14)</f>
        <v>5930.14</v>
      </c>
      <c r="N90" s="2" t="s">
        <v>404</v>
      </c>
    </row>
    <row r="91">
      <c r="A91" s="1" t="s">
        <v>152</v>
      </c>
      <c r="B91" s="4">
        <v>10499.4496047431</v>
      </c>
      <c r="C91" s="1" t="s">
        <v>119</v>
      </c>
      <c r="D91" s="1" t="s">
        <v>405</v>
      </c>
      <c r="E91" s="1" t="s">
        <v>121</v>
      </c>
      <c r="F91" s="1" t="s">
        <v>18</v>
      </c>
      <c r="G91" s="4">
        <v>35852.6304347826</v>
      </c>
      <c r="H91" s="1" t="s">
        <v>122</v>
      </c>
      <c r="I91" s="4">
        <v>-26.703557312253</v>
      </c>
      <c r="J91" s="2" t="s">
        <v>406</v>
      </c>
      <c r="K91" s="4">
        <f>IFERROR(__xludf.DUMMYFUNCTION("SPLIT(J91,""$"")"),19721.19)</f>
        <v>19721.19</v>
      </c>
      <c r="L91" s="2" t="s">
        <v>407</v>
      </c>
      <c r="M91" s="5">
        <f>IFERROR(__xludf.DUMMYFUNCTION("SPLIT(L91,""$"")"),6192.57)</f>
        <v>6192.57</v>
      </c>
      <c r="N91" s="2" t="s">
        <v>408</v>
      </c>
    </row>
    <row r="92">
      <c r="A92" s="1" t="s">
        <v>152</v>
      </c>
      <c r="B92" s="4">
        <v>10505.3280632411</v>
      </c>
      <c r="C92" s="1" t="s">
        <v>126</v>
      </c>
      <c r="D92" s="1" t="s">
        <v>409</v>
      </c>
      <c r="E92" s="1" t="s">
        <v>128</v>
      </c>
      <c r="F92" s="1" t="s">
        <v>18</v>
      </c>
      <c r="G92" s="4">
        <v>35852.652173913</v>
      </c>
      <c r="H92" s="1" t="s">
        <v>103</v>
      </c>
      <c r="I92" s="4">
        <v>-27.5691699604743</v>
      </c>
      <c r="J92" s="2" t="s">
        <v>410</v>
      </c>
      <c r="K92" s="4">
        <f>IFERROR(__xludf.DUMMYFUNCTION("SPLIT(J92,""$"")"),10710.91)</f>
        <v>10710.91</v>
      </c>
      <c r="L92" s="2" t="s">
        <v>411</v>
      </c>
      <c r="M92" s="5">
        <f>IFERROR(__xludf.DUMMYFUNCTION("SPLIT(L92,""$"")"),4968.03)</f>
        <v>4968.03</v>
      </c>
      <c r="N92" s="2" t="s">
        <v>412</v>
      </c>
    </row>
    <row r="93">
      <c r="A93" s="1" t="s">
        <v>152</v>
      </c>
      <c r="B93" s="4">
        <v>10511.2065217391</v>
      </c>
      <c r="C93" s="1" t="s">
        <v>132</v>
      </c>
      <c r="D93" s="1" t="s">
        <v>413</v>
      </c>
      <c r="E93" s="1" t="s">
        <v>38</v>
      </c>
      <c r="F93" s="1" t="s">
        <v>18</v>
      </c>
      <c r="G93" s="4">
        <v>35852.6739130435</v>
      </c>
      <c r="H93" s="1" t="s">
        <v>26</v>
      </c>
      <c r="I93" s="4">
        <v>-28.4347826086957</v>
      </c>
      <c r="J93" s="2" t="s">
        <v>414</v>
      </c>
      <c r="K93" s="4">
        <f>IFERROR(__xludf.DUMMYFUNCTION("SPLIT(J93,""$"")"),51343.78)</f>
        <v>51343.78</v>
      </c>
      <c r="L93" s="2" t="s">
        <v>415</v>
      </c>
      <c r="M93" s="5">
        <f>IFERROR(__xludf.DUMMYFUNCTION("SPLIT(L93,""$"")"),5996.03)</f>
        <v>5996.03</v>
      </c>
      <c r="N93" s="2" t="s">
        <v>416</v>
      </c>
    </row>
    <row r="94">
      <c r="A94" s="1" t="s">
        <v>152</v>
      </c>
      <c r="B94" s="4">
        <v>10517.0849802372</v>
      </c>
      <c r="C94" s="1" t="s">
        <v>137</v>
      </c>
      <c r="D94" s="1" t="s">
        <v>417</v>
      </c>
      <c r="E94" s="1" t="s">
        <v>38</v>
      </c>
      <c r="F94" s="1" t="s">
        <v>18</v>
      </c>
      <c r="G94" s="4">
        <v>35852.6956521739</v>
      </c>
      <c r="H94" s="1" t="s">
        <v>26</v>
      </c>
      <c r="I94" s="4">
        <v>-29.300395256917</v>
      </c>
      <c r="J94" s="2" t="s">
        <v>418</v>
      </c>
      <c r="K94" s="4">
        <f>IFERROR(__xludf.DUMMYFUNCTION("SPLIT(J94,""$"")"),55219.34)</f>
        <v>55219.34</v>
      </c>
      <c r="L94" s="2" t="s">
        <v>419</v>
      </c>
      <c r="M94" s="5">
        <f>IFERROR(__xludf.DUMMYFUNCTION("SPLIT(L94,""$"")"),5710.34)</f>
        <v>5710.34</v>
      </c>
      <c r="N94" s="2" t="s">
        <v>420</v>
      </c>
    </row>
    <row r="95">
      <c r="A95" s="1" t="s">
        <v>152</v>
      </c>
      <c r="B95" s="4">
        <v>10522.9634387352</v>
      </c>
      <c r="C95" s="1" t="s">
        <v>142</v>
      </c>
      <c r="D95" s="1" t="s">
        <v>421</v>
      </c>
      <c r="E95" s="1" t="s">
        <v>115</v>
      </c>
      <c r="F95" s="1" t="s">
        <v>18</v>
      </c>
      <c r="G95" s="4">
        <v>35852.7173913043</v>
      </c>
      <c r="H95" s="1" t="s">
        <v>103</v>
      </c>
      <c r="I95" s="4">
        <v>-30.1660079051383</v>
      </c>
      <c r="J95" s="2" t="s">
        <v>422</v>
      </c>
      <c r="K95" s="4">
        <f>IFERROR(__xludf.DUMMYFUNCTION("SPLIT(J95,""$"")"),14948.18)</f>
        <v>14948.18</v>
      </c>
      <c r="L95" s="2" t="s">
        <v>423</v>
      </c>
      <c r="M95" s="5">
        <f>IFERROR(__xludf.DUMMYFUNCTION("SPLIT(L95,""$"")"),5550.93)</f>
        <v>5550.93</v>
      </c>
      <c r="N95" s="2" t="s">
        <v>424</v>
      </c>
    </row>
    <row r="96">
      <c r="A96" s="1" t="s">
        <v>152</v>
      </c>
      <c r="B96" s="4">
        <v>10528.8418972332</v>
      </c>
      <c r="C96" s="1" t="s">
        <v>147</v>
      </c>
      <c r="D96" s="1" t="s">
        <v>425</v>
      </c>
      <c r="E96" s="1" t="s">
        <v>38</v>
      </c>
      <c r="F96" s="1" t="s">
        <v>18</v>
      </c>
      <c r="G96" s="4">
        <v>35852.7391304348</v>
      </c>
      <c r="H96" s="1" t="s">
        <v>26</v>
      </c>
      <c r="I96" s="4">
        <v>-31.0316205533597</v>
      </c>
      <c r="J96" s="2" t="s">
        <v>426</v>
      </c>
      <c r="K96" s="4">
        <f>IFERROR(__xludf.DUMMYFUNCTION("SPLIT(J96,""$"")"),73846.24)</f>
        <v>73846.24</v>
      </c>
      <c r="L96" s="2" t="s">
        <v>427</v>
      </c>
      <c r="M96" s="5">
        <f>IFERROR(__xludf.DUMMYFUNCTION("SPLIT(L96,""$"")"),4987.29)</f>
        <v>4987.29</v>
      </c>
      <c r="N96" s="2" t="s">
        <v>428</v>
      </c>
    </row>
    <row r="97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2" t="s">
        <v>9</v>
      </c>
      <c r="K97" s="1" t="s">
        <v>10</v>
      </c>
      <c r="L97" s="2" t="s">
        <v>11</v>
      </c>
      <c r="M97" s="3" t="s">
        <v>12</v>
      </c>
      <c r="N97" s="2" t="s">
        <v>13</v>
      </c>
    </row>
    <row r="98">
      <c r="A98" s="1" t="s">
        <v>152</v>
      </c>
      <c r="B98" s="4">
        <v>10534.7203557312</v>
      </c>
      <c r="C98" s="1" t="s">
        <v>15</v>
      </c>
      <c r="D98" s="1" t="s">
        <v>429</v>
      </c>
      <c r="E98" s="1" t="s">
        <v>17</v>
      </c>
      <c r="F98" s="1" t="s">
        <v>18</v>
      </c>
      <c r="G98" s="4">
        <v>35852.7608695652</v>
      </c>
      <c r="H98" s="1" t="s">
        <v>19</v>
      </c>
      <c r="I98" s="4">
        <v>-31.897233201581</v>
      </c>
      <c r="J98" s="2" t="s">
        <v>430</v>
      </c>
      <c r="K98" s="4">
        <f>IFERROR(__xludf.DUMMYFUNCTION("SPLIT(J98,""$"")"),32963.11)</f>
        <v>32963.11</v>
      </c>
      <c r="L98" s="2" t="s">
        <v>431</v>
      </c>
      <c r="M98" s="5">
        <f>IFERROR(__xludf.DUMMYFUNCTION("SPLIT(L98,""$"")"),5777.28)</f>
        <v>5777.28</v>
      </c>
      <c r="N98" s="2" t="s">
        <v>432</v>
      </c>
    </row>
    <row r="99">
      <c r="A99" s="1" t="s">
        <v>152</v>
      </c>
      <c r="B99" s="4">
        <v>10540.5988142292</v>
      </c>
      <c r="C99" s="1" t="s">
        <v>23</v>
      </c>
      <c r="D99" s="1" t="s">
        <v>433</v>
      </c>
      <c r="E99" s="1" t="s">
        <v>25</v>
      </c>
      <c r="F99" s="1" t="s">
        <v>18</v>
      </c>
      <c r="G99" s="4">
        <v>35852.7826086956</v>
      </c>
      <c r="H99" s="1" t="s">
        <v>26</v>
      </c>
      <c r="I99" s="4">
        <v>-32.7628458498024</v>
      </c>
      <c r="J99" s="2" t="s">
        <v>434</v>
      </c>
      <c r="K99" s="4">
        <f>IFERROR(__xludf.DUMMYFUNCTION("SPLIT(J99,""$"")"),15131.89)</f>
        <v>15131.89</v>
      </c>
      <c r="L99" s="2" t="s">
        <v>435</v>
      </c>
      <c r="M99" s="5">
        <f>IFERROR(__xludf.DUMMYFUNCTION("SPLIT(L99,""$"")"),5787.61)</f>
        <v>5787.61</v>
      </c>
      <c r="N99" s="2" t="s">
        <v>436</v>
      </c>
    </row>
    <row r="100">
      <c r="A100" s="1" t="s">
        <v>152</v>
      </c>
      <c r="B100" s="4">
        <v>10546.4772727273</v>
      </c>
      <c r="C100" s="1" t="s">
        <v>30</v>
      </c>
      <c r="D100" s="1" t="s">
        <v>437</v>
      </c>
      <c r="E100" s="1" t="s">
        <v>32</v>
      </c>
      <c r="F100" s="1" t="s">
        <v>18</v>
      </c>
      <c r="G100" s="4">
        <v>35852.8043478261</v>
      </c>
      <c r="H100" s="1" t="s">
        <v>26</v>
      </c>
      <c r="I100" s="4">
        <v>-33.6284584980237</v>
      </c>
      <c r="J100" s="2" t="s">
        <v>438</v>
      </c>
      <c r="K100" s="4">
        <f>IFERROR(__xludf.DUMMYFUNCTION("SPLIT(J100,""$"")"),37560.41)</f>
        <v>37560.41</v>
      </c>
      <c r="L100" s="2" t="s">
        <v>439</v>
      </c>
      <c r="M100" s="5">
        <f>IFERROR(__xludf.DUMMYFUNCTION("SPLIT(L100,""$"")"),5434.99)</f>
        <v>5434.99</v>
      </c>
      <c r="N100" s="2" t="s">
        <v>440</v>
      </c>
    </row>
    <row r="101">
      <c r="A101" s="1" t="s">
        <v>152</v>
      </c>
      <c r="B101" s="4">
        <v>10552.3557312253</v>
      </c>
      <c r="C101" s="1" t="s">
        <v>36</v>
      </c>
      <c r="D101" s="1" t="s">
        <v>441</v>
      </c>
      <c r="E101" s="1" t="s">
        <v>38</v>
      </c>
      <c r="F101" s="1" t="s">
        <v>18</v>
      </c>
      <c r="G101" s="4">
        <v>35852.8260869565</v>
      </c>
      <c r="H101" s="1" t="s">
        <v>26</v>
      </c>
      <c r="I101" s="4">
        <v>-34.4940711462451</v>
      </c>
      <c r="J101" s="2" t="s">
        <v>442</v>
      </c>
      <c r="K101" s="4">
        <f>IFERROR(__xludf.DUMMYFUNCTION("SPLIT(J101,""$"")"),13998.32)</f>
        <v>13998.32</v>
      </c>
      <c r="L101" s="2" t="s">
        <v>443</v>
      </c>
      <c r="M101" s="5">
        <f>IFERROR(__xludf.DUMMYFUNCTION("SPLIT(L101,""$"")"),5417.6)</f>
        <v>5417.6</v>
      </c>
      <c r="N101" s="2" t="s">
        <v>444</v>
      </c>
    </row>
    <row r="102">
      <c r="A102" s="1" t="s">
        <v>152</v>
      </c>
      <c r="B102" s="4">
        <v>10558.2341897233</v>
      </c>
      <c r="C102" s="1" t="s">
        <v>42</v>
      </c>
      <c r="D102" s="1" t="s">
        <v>445</v>
      </c>
      <c r="E102" s="1" t="s">
        <v>44</v>
      </c>
      <c r="F102" s="1" t="s">
        <v>18</v>
      </c>
      <c r="G102" s="4">
        <v>35852.8478260869</v>
      </c>
      <c r="H102" s="1" t="s">
        <v>26</v>
      </c>
      <c r="I102" s="4">
        <v>-35.3596837944664</v>
      </c>
      <c r="J102" s="2" t="s">
        <v>446</v>
      </c>
      <c r="K102" s="4">
        <f>IFERROR(__xludf.DUMMYFUNCTION("SPLIT(J102,""$"")"),31633.31)</f>
        <v>31633.31</v>
      </c>
      <c r="L102" s="2" t="s">
        <v>447</v>
      </c>
      <c r="M102" s="5">
        <f>IFERROR(__xludf.DUMMYFUNCTION("SPLIT(L102,""$"")"),5658.37)</f>
        <v>5658.37</v>
      </c>
      <c r="N102" s="2" t="s">
        <v>448</v>
      </c>
    </row>
    <row r="103">
      <c r="A103" s="1" t="s">
        <v>152</v>
      </c>
      <c r="B103" s="4">
        <v>10564.1126482213</v>
      </c>
      <c r="C103" s="1" t="s">
        <v>48</v>
      </c>
      <c r="D103" s="1" t="s">
        <v>449</v>
      </c>
      <c r="E103" s="1" t="s">
        <v>50</v>
      </c>
      <c r="F103" s="1" t="s">
        <v>18</v>
      </c>
      <c r="G103" s="4">
        <v>35852.8695652174</v>
      </c>
      <c r="H103" s="1" t="s">
        <v>51</v>
      </c>
      <c r="I103" s="4">
        <v>-36.2252964426878</v>
      </c>
      <c r="J103" s="2" t="s">
        <v>450</v>
      </c>
      <c r="K103" s="4">
        <f>IFERROR(__xludf.DUMMYFUNCTION("SPLIT(J103,""$"")"),16920.83)</f>
        <v>16920.83</v>
      </c>
      <c r="L103" s="2" t="s">
        <v>451</v>
      </c>
      <c r="M103" s="5">
        <f>IFERROR(__xludf.DUMMYFUNCTION("SPLIT(L103,""$"")"),6653.84)</f>
        <v>6653.84</v>
      </c>
      <c r="N103" s="2" t="s">
        <v>452</v>
      </c>
    </row>
    <row r="104">
      <c r="A104" s="1" t="s">
        <v>152</v>
      </c>
      <c r="B104" s="4">
        <v>10569.9911067194</v>
      </c>
      <c r="C104" s="1" t="s">
        <v>55</v>
      </c>
      <c r="D104" s="1" t="s">
        <v>453</v>
      </c>
      <c r="E104" s="1" t="s">
        <v>57</v>
      </c>
      <c r="F104" s="1" t="s">
        <v>18</v>
      </c>
      <c r="G104" s="4">
        <v>35852.8913043478</v>
      </c>
      <c r="H104" s="1" t="s">
        <v>26</v>
      </c>
      <c r="I104" s="4">
        <v>-37.0909090909091</v>
      </c>
      <c r="J104" s="2" t="s">
        <v>454</v>
      </c>
      <c r="K104" s="4">
        <f>IFERROR(__xludf.DUMMYFUNCTION("SPLIT(J104,""$"")"),11977.17)</f>
        <v>11977.17</v>
      </c>
      <c r="L104" s="2" t="s">
        <v>455</v>
      </c>
      <c r="M104" s="5">
        <f>IFERROR(__xludf.DUMMYFUNCTION("SPLIT(L104,""$"")"),5834.78)</f>
        <v>5834.78</v>
      </c>
      <c r="N104" s="2" t="s">
        <v>456</v>
      </c>
    </row>
    <row r="105">
      <c r="A105" s="1" t="s">
        <v>152</v>
      </c>
      <c r="B105" s="4">
        <v>10575.8695652174</v>
      </c>
      <c r="C105" s="1" t="s">
        <v>61</v>
      </c>
      <c r="D105" s="1" t="s">
        <v>457</v>
      </c>
      <c r="E105" s="1" t="s">
        <v>38</v>
      </c>
      <c r="F105" s="1" t="s">
        <v>18</v>
      </c>
      <c r="G105" s="4">
        <v>35852.9130434782</v>
      </c>
      <c r="H105" s="1" t="s">
        <v>26</v>
      </c>
      <c r="I105" s="4">
        <v>-37.9565217391305</v>
      </c>
      <c r="J105" s="2" t="s">
        <v>458</v>
      </c>
      <c r="K105" s="4">
        <f>IFERROR(__xludf.DUMMYFUNCTION("SPLIT(J105,""$"")"),35841.13)</f>
        <v>35841.13</v>
      </c>
      <c r="L105" s="2" t="s">
        <v>459</v>
      </c>
      <c r="M105" s="5">
        <f>IFERROR(__xludf.DUMMYFUNCTION("SPLIT(L105,""$"")"),8031.16)</f>
        <v>8031.16</v>
      </c>
      <c r="N105" s="2" t="s">
        <v>460</v>
      </c>
    </row>
    <row r="106">
      <c r="A106" s="1" t="s">
        <v>152</v>
      </c>
      <c r="B106" s="4">
        <v>10581.7480237154</v>
      </c>
      <c r="C106" s="1" t="s">
        <v>66</v>
      </c>
      <c r="D106" s="1" t="s">
        <v>461</v>
      </c>
      <c r="E106" s="1" t="s">
        <v>68</v>
      </c>
      <c r="F106" s="1" t="s">
        <v>18</v>
      </c>
      <c r="G106" s="4">
        <v>35852.9347826087</v>
      </c>
      <c r="H106" s="1" t="s">
        <v>69</v>
      </c>
      <c r="I106" s="4">
        <v>-38.8221343873518</v>
      </c>
      <c r="J106" s="2" t="s">
        <v>462</v>
      </c>
      <c r="K106" s="4">
        <f>IFERROR(__xludf.DUMMYFUNCTION("SPLIT(J106,""$"")"),28523.43)</f>
        <v>28523.43</v>
      </c>
      <c r="L106" s="2" t="s">
        <v>463</v>
      </c>
      <c r="M106" s="5">
        <f>IFERROR(__xludf.DUMMYFUNCTION("SPLIT(L106,""$"")"),6113.42)</f>
        <v>6113.42</v>
      </c>
      <c r="N106" s="2" t="s">
        <v>464</v>
      </c>
    </row>
    <row r="107">
      <c r="A107" s="1" t="s">
        <v>152</v>
      </c>
      <c r="B107" s="4">
        <v>10587.6264822134</v>
      </c>
      <c r="C107" s="1" t="s">
        <v>73</v>
      </c>
      <c r="D107" s="1" t="s">
        <v>465</v>
      </c>
      <c r="E107" s="1" t="s">
        <v>75</v>
      </c>
      <c r="F107" s="1" t="s">
        <v>18</v>
      </c>
      <c r="G107" s="4">
        <v>35852.9565217391</v>
      </c>
      <c r="H107" s="1" t="s">
        <v>26</v>
      </c>
      <c r="I107" s="4">
        <v>-39.6877470355731</v>
      </c>
      <c r="J107" s="2" t="s">
        <v>466</v>
      </c>
      <c r="K107" s="4">
        <f>IFERROR(__xludf.DUMMYFUNCTION("SPLIT(J107,""$"")"),75233.42)</f>
        <v>75233.42</v>
      </c>
      <c r="L107" s="2" t="s">
        <v>467</v>
      </c>
      <c r="M107" s="5">
        <f>IFERROR(__xludf.DUMMYFUNCTION("SPLIT(L107,""$"")"),5541.09)</f>
        <v>5541.09</v>
      </c>
      <c r="N107" s="2" t="s">
        <v>468</v>
      </c>
    </row>
    <row r="108">
      <c r="A108" s="1" t="s">
        <v>152</v>
      </c>
      <c r="B108" s="4">
        <v>10593.5049407115</v>
      </c>
      <c r="C108" s="1" t="s">
        <v>79</v>
      </c>
      <c r="D108" s="1" t="s">
        <v>469</v>
      </c>
      <c r="E108" s="1" t="s">
        <v>75</v>
      </c>
      <c r="F108" s="1" t="s">
        <v>18</v>
      </c>
      <c r="G108" s="4">
        <v>35852.9782608695</v>
      </c>
      <c r="H108" s="1" t="s">
        <v>26</v>
      </c>
      <c r="I108" s="4">
        <v>-40.5533596837945</v>
      </c>
      <c r="J108" s="2" t="s">
        <v>470</v>
      </c>
      <c r="K108" s="4">
        <f>IFERROR(__xludf.DUMMYFUNCTION("SPLIT(J108,""$"")"),67327.96)</f>
        <v>67327.96</v>
      </c>
      <c r="L108" s="2" t="s">
        <v>471</v>
      </c>
      <c r="M108" s="5">
        <f>IFERROR(__xludf.DUMMYFUNCTION("SPLIT(L108,""$"")"),5461.61)</f>
        <v>5461.61</v>
      </c>
      <c r="N108" s="2" t="s">
        <v>472</v>
      </c>
    </row>
    <row r="109">
      <c r="A109" s="1" t="s">
        <v>152</v>
      </c>
      <c r="B109" s="4">
        <v>10599.3833992095</v>
      </c>
      <c r="C109" s="1" t="s">
        <v>84</v>
      </c>
      <c r="D109" s="1" t="s">
        <v>473</v>
      </c>
      <c r="E109" s="1" t="s">
        <v>17</v>
      </c>
      <c r="F109" s="1" t="s">
        <v>18</v>
      </c>
      <c r="G109" s="4">
        <v>35853.0</v>
      </c>
      <c r="H109" s="1" t="s">
        <v>19</v>
      </c>
      <c r="I109" s="4">
        <v>-41.4189723320158</v>
      </c>
      <c r="J109" s="2" t="s">
        <v>474</v>
      </c>
      <c r="K109" s="4">
        <f>IFERROR(__xludf.DUMMYFUNCTION("SPLIT(J109,""$"")"),39607.32)</f>
        <v>39607.32</v>
      </c>
      <c r="L109" s="2" t="s">
        <v>475</v>
      </c>
      <c r="M109" s="5">
        <f>IFERROR(__xludf.DUMMYFUNCTION("SPLIT(L109,""$"")"),5356.32)</f>
        <v>5356.32</v>
      </c>
      <c r="N109" s="2" t="s">
        <v>476</v>
      </c>
    </row>
    <row r="110">
      <c r="A110" s="1" t="s">
        <v>152</v>
      </c>
      <c r="B110" s="4">
        <v>10605.2618577075</v>
      </c>
      <c r="C110" s="1" t="s">
        <v>89</v>
      </c>
      <c r="D110" s="1" t="s">
        <v>477</v>
      </c>
      <c r="E110" s="1" t="s">
        <v>38</v>
      </c>
      <c r="F110" s="1" t="s">
        <v>18</v>
      </c>
      <c r="G110" s="4">
        <v>35853.0217391304</v>
      </c>
      <c r="H110" s="1" t="s">
        <v>26</v>
      </c>
      <c r="I110" s="4">
        <v>-42.2845849802372</v>
      </c>
      <c r="J110" s="2" t="s">
        <v>478</v>
      </c>
      <c r="K110" s="4">
        <f>IFERROR(__xludf.DUMMYFUNCTION("SPLIT(J110,""$"")"),22862.27)</f>
        <v>22862.27</v>
      </c>
      <c r="L110" s="2" t="s">
        <v>479</v>
      </c>
      <c r="M110" s="5">
        <f>IFERROR(__xludf.DUMMYFUNCTION("SPLIT(L110,""$"")"),5374.69)</f>
        <v>5374.69</v>
      </c>
      <c r="N110" s="2" t="s">
        <v>480</v>
      </c>
    </row>
    <row r="111">
      <c r="A111" s="1" t="s">
        <v>152</v>
      </c>
      <c r="B111" s="4">
        <v>10611.1403162055</v>
      </c>
      <c r="C111" s="1" t="s">
        <v>94</v>
      </c>
      <c r="D111" s="1" t="s">
        <v>481</v>
      </c>
      <c r="E111" s="1" t="s">
        <v>96</v>
      </c>
      <c r="F111" s="1" t="s">
        <v>18</v>
      </c>
      <c r="G111" s="4">
        <v>35853.0434782609</v>
      </c>
      <c r="H111" s="1" t="s">
        <v>26</v>
      </c>
      <c r="I111" s="4">
        <v>-43.1501976284585</v>
      </c>
      <c r="J111" s="2" t="s">
        <v>482</v>
      </c>
      <c r="K111" s="4">
        <f>IFERROR(__xludf.DUMMYFUNCTION("SPLIT(J111,""$"")"),31110.89)</f>
        <v>31110.89</v>
      </c>
      <c r="L111" s="2" t="s">
        <v>483</v>
      </c>
      <c r="M111" s="5">
        <f>IFERROR(__xludf.DUMMYFUNCTION("SPLIT(L111,""$"")"),5366.27)</f>
        <v>5366.27</v>
      </c>
      <c r="N111" s="2" t="s">
        <v>484</v>
      </c>
    </row>
    <row r="112">
      <c r="A112" s="1" t="s">
        <v>152</v>
      </c>
      <c r="B112" s="4">
        <v>10617.0187747036</v>
      </c>
      <c r="C112" s="1" t="s">
        <v>100</v>
      </c>
      <c r="D112" s="1" t="s">
        <v>485</v>
      </c>
      <c r="E112" s="1" t="s">
        <v>102</v>
      </c>
      <c r="F112" s="1" t="s">
        <v>18</v>
      </c>
      <c r="G112" s="4">
        <v>35853.0652173913</v>
      </c>
      <c r="H112" s="1" t="s">
        <v>103</v>
      </c>
      <c r="I112" s="4">
        <v>-44.0158102766799</v>
      </c>
      <c r="J112" s="2" t="s">
        <v>486</v>
      </c>
      <c r="K112" s="4">
        <f>IFERROR(__xludf.DUMMYFUNCTION("SPLIT(J112,""$"")"),25411.37)</f>
        <v>25411.37</v>
      </c>
      <c r="L112" s="2" t="s">
        <v>487</v>
      </c>
      <c r="M112" s="5">
        <f>IFERROR(__xludf.DUMMYFUNCTION("SPLIT(L112,""$"")"),5282.97)</f>
        <v>5282.97</v>
      </c>
      <c r="N112" s="2" t="s">
        <v>488</v>
      </c>
    </row>
    <row r="113">
      <c r="A113" s="1" t="s">
        <v>152</v>
      </c>
      <c r="B113" s="4">
        <v>10622.8972332016</v>
      </c>
      <c r="C113" s="1" t="s">
        <v>107</v>
      </c>
      <c r="D113" s="1" t="s">
        <v>489</v>
      </c>
      <c r="E113" s="1" t="s">
        <v>109</v>
      </c>
      <c r="F113" s="1" t="s">
        <v>18</v>
      </c>
      <c r="G113" s="4">
        <v>35853.0869565217</v>
      </c>
      <c r="H113" s="1" t="s">
        <v>69</v>
      </c>
      <c r="I113" s="4">
        <v>-44.8814229249012</v>
      </c>
      <c r="J113" s="2" t="s">
        <v>490</v>
      </c>
      <c r="K113" s="4">
        <f>IFERROR(__xludf.DUMMYFUNCTION("SPLIT(J113,""$"")"),9234.55)</f>
        <v>9234.55</v>
      </c>
      <c r="L113" s="2" t="s">
        <v>491</v>
      </c>
      <c r="M113" s="5">
        <f>IFERROR(__xludf.DUMMYFUNCTION("SPLIT(L113,""$"")"),5676.59)</f>
        <v>5676.59</v>
      </c>
      <c r="N113" s="2" t="s">
        <v>492</v>
      </c>
    </row>
    <row r="114">
      <c r="A114" s="1" t="s">
        <v>152</v>
      </c>
      <c r="B114" s="4">
        <v>10628.7756916996</v>
      </c>
      <c r="C114" s="1" t="s">
        <v>113</v>
      </c>
      <c r="D114" s="1" t="s">
        <v>493</v>
      </c>
      <c r="E114" s="1" t="s">
        <v>115</v>
      </c>
      <c r="F114" s="1" t="s">
        <v>18</v>
      </c>
      <c r="G114" s="4">
        <v>35853.1086956522</v>
      </c>
      <c r="H114" s="1" t="s">
        <v>103</v>
      </c>
      <c r="I114" s="4">
        <v>-45.7470355731225</v>
      </c>
      <c r="J114" s="2" t="s">
        <v>494</v>
      </c>
      <c r="K114" s="4">
        <f>IFERROR(__xludf.DUMMYFUNCTION("SPLIT(J114,""$"")"),15895.89)</f>
        <v>15895.89</v>
      </c>
      <c r="L114" s="2" t="s">
        <v>495</v>
      </c>
      <c r="M114" s="5">
        <f>IFERROR(__xludf.DUMMYFUNCTION("SPLIT(L114,""$"")"),5930.15)</f>
        <v>5930.15</v>
      </c>
      <c r="N114" s="2" t="s">
        <v>496</v>
      </c>
    </row>
    <row r="115">
      <c r="A115" s="1" t="s">
        <v>152</v>
      </c>
      <c r="B115" s="4">
        <v>10634.6541501976</v>
      </c>
      <c r="C115" s="1" t="s">
        <v>119</v>
      </c>
      <c r="D115" s="1" t="s">
        <v>497</v>
      </c>
      <c r="E115" s="1" t="s">
        <v>121</v>
      </c>
      <c r="F115" s="1" t="s">
        <v>18</v>
      </c>
      <c r="G115" s="4">
        <v>35853.1304347826</v>
      </c>
      <c r="H115" s="1" t="s">
        <v>122</v>
      </c>
      <c r="I115" s="4">
        <v>-46.6126482213439</v>
      </c>
      <c r="J115" s="2" t="s">
        <v>498</v>
      </c>
      <c r="K115" s="4">
        <f>IFERROR(__xludf.DUMMYFUNCTION("SPLIT(J115,""$"")"),19721.2)</f>
        <v>19721.2</v>
      </c>
      <c r="L115" s="2" t="s">
        <v>499</v>
      </c>
      <c r="M115" s="5">
        <f>IFERROR(__xludf.DUMMYFUNCTION("SPLIT(L115,""$"")"),6192.58)</f>
        <v>6192.58</v>
      </c>
      <c r="N115" s="2" t="s">
        <v>500</v>
      </c>
    </row>
    <row r="116">
      <c r="A116" s="1" t="s">
        <v>152</v>
      </c>
      <c r="B116" s="4">
        <v>10640.5326086957</v>
      </c>
      <c r="C116" s="1" t="s">
        <v>126</v>
      </c>
      <c r="D116" s="1" t="s">
        <v>501</v>
      </c>
      <c r="E116" s="1" t="s">
        <v>128</v>
      </c>
      <c r="F116" s="1" t="s">
        <v>18</v>
      </c>
      <c r="G116" s="4">
        <v>35853.152173913</v>
      </c>
      <c r="H116" s="1" t="s">
        <v>103</v>
      </c>
      <c r="I116" s="4">
        <v>-47.4782608695652</v>
      </c>
      <c r="J116" s="2" t="s">
        <v>502</v>
      </c>
      <c r="K116" s="4">
        <f>IFERROR(__xludf.DUMMYFUNCTION("SPLIT(J116,""$"")"),10710.92)</f>
        <v>10710.92</v>
      </c>
      <c r="L116" s="2" t="s">
        <v>503</v>
      </c>
      <c r="M116" s="5">
        <f>IFERROR(__xludf.DUMMYFUNCTION("SPLIT(L116,""$"")"),4968.04)</f>
        <v>4968.04</v>
      </c>
      <c r="N116" s="2" t="s">
        <v>504</v>
      </c>
    </row>
    <row r="117">
      <c r="A117" s="1" t="s">
        <v>152</v>
      </c>
      <c r="B117" s="4">
        <v>10646.4110671937</v>
      </c>
      <c r="C117" s="1" t="s">
        <v>132</v>
      </c>
      <c r="D117" s="1" t="s">
        <v>505</v>
      </c>
      <c r="E117" s="1" t="s">
        <v>38</v>
      </c>
      <c r="F117" s="1" t="s">
        <v>18</v>
      </c>
      <c r="G117" s="4">
        <v>35853.1739130435</v>
      </c>
      <c r="H117" s="1" t="s">
        <v>26</v>
      </c>
      <c r="I117" s="4">
        <v>-48.3438735177866</v>
      </c>
      <c r="J117" s="2" t="s">
        <v>506</v>
      </c>
      <c r="K117" s="4">
        <f>IFERROR(__xludf.DUMMYFUNCTION("SPLIT(J117,""$"")"),51343.79)</f>
        <v>51343.79</v>
      </c>
      <c r="L117" s="2" t="s">
        <v>507</v>
      </c>
      <c r="M117" s="5">
        <f>IFERROR(__xludf.DUMMYFUNCTION("SPLIT(L117,""$"")"),5996.04)</f>
        <v>5996.04</v>
      </c>
      <c r="N117" s="2" t="s">
        <v>508</v>
      </c>
    </row>
    <row r="118">
      <c r="A118" s="1" t="s">
        <v>152</v>
      </c>
      <c r="B118" s="4">
        <v>10652.2895256917</v>
      </c>
      <c r="C118" s="1" t="s">
        <v>137</v>
      </c>
      <c r="D118" s="1" t="s">
        <v>509</v>
      </c>
      <c r="E118" s="1" t="s">
        <v>38</v>
      </c>
      <c r="F118" s="1" t="s">
        <v>18</v>
      </c>
      <c r="G118" s="4">
        <v>35853.1956521739</v>
      </c>
      <c r="H118" s="1" t="s">
        <v>26</v>
      </c>
      <c r="I118" s="4">
        <v>-49.2094861660079</v>
      </c>
      <c r="J118" s="2" t="s">
        <v>510</v>
      </c>
      <c r="K118" s="4">
        <f>IFERROR(__xludf.DUMMYFUNCTION("SPLIT(J118,""$"")"),55219.35)</f>
        <v>55219.35</v>
      </c>
      <c r="L118" s="2" t="s">
        <v>511</v>
      </c>
      <c r="M118" s="5">
        <f>IFERROR(__xludf.DUMMYFUNCTION("SPLIT(L118,""$"")"),5710.35)</f>
        <v>5710.35</v>
      </c>
      <c r="N118" s="2" t="s">
        <v>512</v>
      </c>
    </row>
    <row r="119">
      <c r="A119" s="1" t="s">
        <v>152</v>
      </c>
      <c r="B119" s="4">
        <v>10658.1679841897</v>
      </c>
      <c r="C119" s="1" t="s">
        <v>142</v>
      </c>
      <c r="D119" s="1" t="s">
        <v>513</v>
      </c>
      <c r="E119" s="1" t="s">
        <v>115</v>
      </c>
      <c r="F119" s="1" t="s">
        <v>18</v>
      </c>
      <c r="G119" s="4">
        <v>35853.2173913043</v>
      </c>
      <c r="H119" s="1" t="s">
        <v>103</v>
      </c>
      <c r="I119" s="4">
        <v>-50.0750988142293</v>
      </c>
      <c r="J119" s="2" t="s">
        <v>514</v>
      </c>
      <c r="K119" s="4">
        <f>IFERROR(__xludf.DUMMYFUNCTION("SPLIT(J119,""$"")"),14948.19)</f>
        <v>14948.19</v>
      </c>
      <c r="L119" s="2" t="s">
        <v>515</v>
      </c>
      <c r="M119" s="5">
        <f>IFERROR(__xludf.DUMMYFUNCTION("SPLIT(L119,""$"")"),5550.94)</f>
        <v>5550.94</v>
      </c>
      <c r="N119" s="2" t="s">
        <v>516</v>
      </c>
    </row>
    <row r="120">
      <c r="A120" s="1" t="s">
        <v>152</v>
      </c>
      <c r="B120" s="4">
        <v>10664.0464426877</v>
      </c>
      <c r="C120" s="1" t="s">
        <v>147</v>
      </c>
      <c r="D120" s="1" t="s">
        <v>517</v>
      </c>
      <c r="E120" s="1" t="s">
        <v>38</v>
      </c>
      <c r="F120" s="1" t="s">
        <v>18</v>
      </c>
      <c r="G120" s="4">
        <v>35853.2391304348</v>
      </c>
      <c r="H120" s="1" t="s">
        <v>26</v>
      </c>
      <c r="I120" s="4">
        <v>-50.9407114624506</v>
      </c>
      <c r="J120" s="2" t="s">
        <v>518</v>
      </c>
      <c r="K120" s="4">
        <f>IFERROR(__xludf.DUMMYFUNCTION("SPLIT(J120,""$"")"),73846.25)</f>
        <v>73846.25</v>
      </c>
      <c r="L120" s="2" t="s">
        <v>519</v>
      </c>
      <c r="M120" s="5">
        <f>IFERROR(__xludf.DUMMYFUNCTION("SPLIT(L120,""$"")"),4987.3)</f>
        <v>4987.3</v>
      </c>
      <c r="N120" s="2" t="s">
        <v>520</v>
      </c>
    </row>
    <row r="12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  <c r="J121" s="2" t="s">
        <v>9</v>
      </c>
      <c r="K121" s="1" t="s">
        <v>10</v>
      </c>
      <c r="L121" s="2" t="s">
        <v>11</v>
      </c>
      <c r="M121" s="3" t="s">
        <v>12</v>
      </c>
      <c r="N121" s="2" t="s">
        <v>13</v>
      </c>
    </row>
    <row r="122">
      <c r="A122" s="1" t="s">
        <v>152</v>
      </c>
      <c r="B122" s="4">
        <v>10669.9249011858</v>
      </c>
      <c r="C122" s="1" t="s">
        <v>15</v>
      </c>
      <c r="D122" s="1" t="s">
        <v>521</v>
      </c>
      <c r="E122" s="1" t="s">
        <v>17</v>
      </c>
      <c r="F122" s="1" t="s">
        <v>18</v>
      </c>
      <c r="G122" s="4">
        <v>35853.2608695652</v>
      </c>
      <c r="H122" s="1" t="s">
        <v>19</v>
      </c>
      <c r="I122" s="4">
        <v>-51.806324110672</v>
      </c>
      <c r="J122" s="2" t="s">
        <v>522</v>
      </c>
      <c r="K122" s="4">
        <f>IFERROR(__xludf.DUMMYFUNCTION("SPLIT(J122,""$"")"),32963.12)</f>
        <v>32963.12</v>
      </c>
      <c r="L122" s="2" t="s">
        <v>523</v>
      </c>
      <c r="M122" s="5">
        <f>IFERROR(__xludf.DUMMYFUNCTION("SPLIT(L122,""$"")"),5777.29)</f>
        <v>5777.29</v>
      </c>
      <c r="N122" s="2" t="s">
        <v>524</v>
      </c>
    </row>
    <row r="123">
      <c r="A123" s="1" t="s">
        <v>152</v>
      </c>
      <c r="B123" s="4">
        <v>10675.8033596838</v>
      </c>
      <c r="C123" s="1" t="s">
        <v>23</v>
      </c>
      <c r="D123" s="1" t="s">
        <v>525</v>
      </c>
      <c r="E123" s="1" t="s">
        <v>25</v>
      </c>
      <c r="F123" s="1" t="s">
        <v>18</v>
      </c>
      <c r="G123" s="4">
        <v>35853.2826086956</v>
      </c>
      <c r="H123" s="1" t="s">
        <v>26</v>
      </c>
      <c r="I123" s="4">
        <v>-52.6719367588933</v>
      </c>
      <c r="J123" s="2" t="s">
        <v>526</v>
      </c>
      <c r="K123" s="4">
        <f>IFERROR(__xludf.DUMMYFUNCTION("SPLIT(J123,""$"")"),15131.9)</f>
        <v>15131.9</v>
      </c>
      <c r="L123" s="2" t="s">
        <v>527</v>
      </c>
      <c r="M123" s="5">
        <f>IFERROR(__xludf.DUMMYFUNCTION("SPLIT(L123,""$"")"),5787.62)</f>
        <v>5787.62</v>
      </c>
      <c r="N123" s="2" t="s">
        <v>528</v>
      </c>
    </row>
    <row r="124">
      <c r="A124" s="1" t="s">
        <v>152</v>
      </c>
      <c r="B124" s="4">
        <v>10681.6818181818</v>
      </c>
      <c r="C124" s="1" t="s">
        <v>30</v>
      </c>
      <c r="D124" s="1" t="s">
        <v>529</v>
      </c>
      <c r="E124" s="1" t="s">
        <v>32</v>
      </c>
      <c r="F124" s="1" t="s">
        <v>18</v>
      </c>
      <c r="G124" s="4">
        <v>35853.3043478261</v>
      </c>
      <c r="H124" s="1" t="s">
        <v>26</v>
      </c>
      <c r="I124" s="4">
        <v>-53.5375494071146</v>
      </c>
      <c r="J124" s="2" t="s">
        <v>530</v>
      </c>
      <c r="K124" s="4">
        <f>IFERROR(__xludf.DUMMYFUNCTION("SPLIT(J124,""$"")"),37560.42)</f>
        <v>37560.42</v>
      </c>
      <c r="L124" s="2" t="s">
        <v>531</v>
      </c>
      <c r="M124" s="5">
        <f>IFERROR(__xludf.DUMMYFUNCTION("SPLIT(L124,""$"")"),5434.1)</f>
        <v>5434.1</v>
      </c>
      <c r="N124" s="2" t="s">
        <v>532</v>
      </c>
    </row>
    <row r="125">
      <c r="A125" s="1" t="s">
        <v>152</v>
      </c>
      <c r="B125" s="4">
        <v>10687.5602766798</v>
      </c>
      <c r="C125" s="1" t="s">
        <v>36</v>
      </c>
      <c r="D125" s="1" t="s">
        <v>533</v>
      </c>
      <c r="E125" s="1" t="s">
        <v>38</v>
      </c>
      <c r="F125" s="1" t="s">
        <v>18</v>
      </c>
      <c r="G125" s="4">
        <v>35853.3260869565</v>
      </c>
      <c r="H125" s="1" t="s">
        <v>26</v>
      </c>
      <c r="I125" s="4">
        <v>-54.403162055336</v>
      </c>
      <c r="J125" s="2" t="s">
        <v>534</v>
      </c>
      <c r="K125" s="4">
        <f>IFERROR(__xludf.DUMMYFUNCTION("SPLIT(J125,""$"")"),13998.33)</f>
        <v>13998.33</v>
      </c>
      <c r="L125" s="2" t="s">
        <v>535</v>
      </c>
      <c r="M125" s="5">
        <f>IFERROR(__xludf.DUMMYFUNCTION("SPLIT(L125,""$"")"),5417.61)</f>
        <v>5417.61</v>
      </c>
      <c r="N125" s="2" t="s">
        <v>536</v>
      </c>
    </row>
    <row r="126">
      <c r="A126" s="1" t="s">
        <v>152</v>
      </c>
      <c r="B126" s="4">
        <v>10693.4387351779</v>
      </c>
      <c r="C126" s="1" t="s">
        <v>42</v>
      </c>
      <c r="D126" s="1" t="s">
        <v>537</v>
      </c>
      <c r="E126" s="1" t="s">
        <v>44</v>
      </c>
      <c r="F126" s="1" t="s">
        <v>18</v>
      </c>
      <c r="G126" s="4">
        <v>35853.3478260869</v>
      </c>
      <c r="H126" s="1" t="s">
        <v>26</v>
      </c>
      <c r="I126" s="4">
        <v>-55.2687747035573</v>
      </c>
      <c r="J126" s="2" t="s">
        <v>538</v>
      </c>
      <c r="K126" s="4">
        <f>IFERROR(__xludf.DUMMYFUNCTION("SPLIT(J126,""$"")"),31633.32)</f>
        <v>31633.32</v>
      </c>
      <c r="L126" s="2" t="s">
        <v>539</v>
      </c>
      <c r="M126" s="5">
        <f>IFERROR(__xludf.DUMMYFUNCTION("SPLIT(L126,""$"")"),5658.38)</f>
        <v>5658.38</v>
      </c>
      <c r="N126" s="2" t="s">
        <v>540</v>
      </c>
    </row>
    <row r="127">
      <c r="A127" s="1" t="s">
        <v>152</v>
      </c>
      <c r="B127" s="4">
        <v>10699.3171936759</v>
      </c>
      <c r="C127" s="1" t="s">
        <v>48</v>
      </c>
      <c r="D127" s="1" t="s">
        <v>541</v>
      </c>
      <c r="E127" s="1" t="s">
        <v>50</v>
      </c>
      <c r="F127" s="1" t="s">
        <v>18</v>
      </c>
      <c r="G127" s="4">
        <v>35853.3695652174</v>
      </c>
      <c r="H127" s="1" t="s">
        <v>51</v>
      </c>
      <c r="I127" s="4">
        <v>-56.1343873517787</v>
      </c>
      <c r="J127" s="2" t="s">
        <v>542</v>
      </c>
      <c r="K127" s="4">
        <f>IFERROR(__xludf.DUMMYFUNCTION("SPLIT(J127,""$"")"),16920.84)</f>
        <v>16920.84</v>
      </c>
      <c r="L127" s="2" t="s">
        <v>543</v>
      </c>
      <c r="M127" s="5">
        <f>IFERROR(__xludf.DUMMYFUNCTION("SPLIT(L127,""$"")"),6653.85)</f>
        <v>6653.85</v>
      </c>
      <c r="N127" s="2" t="s">
        <v>544</v>
      </c>
    </row>
    <row r="128">
      <c r="A128" s="1" t="s">
        <v>152</v>
      </c>
      <c r="B128" s="4">
        <v>10705.1956521739</v>
      </c>
      <c r="C128" s="1" t="s">
        <v>55</v>
      </c>
      <c r="D128" s="1" t="s">
        <v>545</v>
      </c>
      <c r="E128" s="1" t="s">
        <v>57</v>
      </c>
      <c r="F128" s="1" t="s">
        <v>18</v>
      </c>
      <c r="G128" s="4">
        <v>35853.3913043478</v>
      </c>
      <c r="H128" s="1" t="s">
        <v>26</v>
      </c>
      <c r="I128" s="4">
        <v>-57.0</v>
      </c>
      <c r="J128" s="2" t="s">
        <v>546</v>
      </c>
      <c r="K128" s="4">
        <f>IFERROR(__xludf.DUMMYFUNCTION("SPLIT(J128,""$"")"),11977.18)</f>
        <v>11977.18</v>
      </c>
      <c r="L128" s="2" t="s">
        <v>547</v>
      </c>
      <c r="M128" s="5">
        <f>IFERROR(__xludf.DUMMYFUNCTION("SPLIT(L128,""$"")"),5834.79)</f>
        <v>5834.79</v>
      </c>
      <c r="N128" s="2" t="s">
        <v>548</v>
      </c>
    </row>
    <row r="129">
      <c r="A129" s="1" t="s">
        <v>152</v>
      </c>
      <c r="B129" s="4">
        <v>10711.0741106719</v>
      </c>
      <c r="C129" s="1" t="s">
        <v>61</v>
      </c>
      <c r="D129" s="1" t="s">
        <v>549</v>
      </c>
      <c r="E129" s="1" t="s">
        <v>38</v>
      </c>
      <c r="F129" s="1" t="s">
        <v>18</v>
      </c>
      <c r="G129" s="4">
        <v>35853.4130434782</v>
      </c>
      <c r="H129" s="1" t="s">
        <v>26</v>
      </c>
      <c r="I129" s="4">
        <v>-57.8656126482214</v>
      </c>
      <c r="J129" s="2" t="s">
        <v>550</v>
      </c>
      <c r="K129" s="4">
        <f>IFERROR(__xludf.DUMMYFUNCTION("SPLIT(J129,""$"")"),35841.14)</f>
        <v>35841.14</v>
      </c>
      <c r="L129" s="2" t="s">
        <v>551</v>
      </c>
      <c r="M129" s="5">
        <f>IFERROR(__xludf.DUMMYFUNCTION("SPLIT(L129,""$"")"),8031.17)</f>
        <v>8031.17</v>
      </c>
      <c r="N129" s="2" t="s">
        <v>552</v>
      </c>
    </row>
    <row r="130">
      <c r="A130" s="1" t="s">
        <v>152</v>
      </c>
      <c r="B130" s="4">
        <v>10716.95256917</v>
      </c>
      <c r="C130" s="1" t="s">
        <v>66</v>
      </c>
      <c r="D130" s="1" t="s">
        <v>553</v>
      </c>
      <c r="E130" s="1" t="s">
        <v>68</v>
      </c>
      <c r="F130" s="1" t="s">
        <v>18</v>
      </c>
      <c r="G130" s="4">
        <v>35853.4347826087</v>
      </c>
      <c r="H130" s="1" t="s">
        <v>69</v>
      </c>
      <c r="I130" s="4">
        <v>-58.7312252964427</v>
      </c>
      <c r="J130" s="2" t="s">
        <v>554</v>
      </c>
      <c r="K130" s="4">
        <f>IFERROR(__xludf.DUMMYFUNCTION("SPLIT(J130,""$"")"),28523.44)</f>
        <v>28523.44</v>
      </c>
      <c r="L130" s="2" t="s">
        <v>555</v>
      </c>
      <c r="M130" s="5">
        <f>IFERROR(__xludf.DUMMYFUNCTION("SPLIT(L130,""$"")"),6113.43)</f>
        <v>6113.43</v>
      </c>
      <c r="N130" s="2" t="s">
        <v>556</v>
      </c>
    </row>
    <row r="131">
      <c r="A131" s="1" t="s">
        <v>152</v>
      </c>
      <c r="B131" s="4">
        <v>10722.831027668</v>
      </c>
      <c r="C131" s="1" t="s">
        <v>73</v>
      </c>
      <c r="D131" s="1" t="s">
        <v>557</v>
      </c>
      <c r="E131" s="1" t="s">
        <v>75</v>
      </c>
      <c r="F131" s="1" t="s">
        <v>18</v>
      </c>
      <c r="G131" s="4">
        <v>35853.4565217391</v>
      </c>
      <c r="H131" s="1" t="s">
        <v>26</v>
      </c>
      <c r="I131" s="4">
        <v>-59.596837944664</v>
      </c>
      <c r="J131" s="2" t="s">
        <v>558</v>
      </c>
      <c r="K131" s="4">
        <f>IFERROR(__xludf.DUMMYFUNCTION("SPLIT(J131,""$"")"),75233.43)</f>
        <v>75233.43</v>
      </c>
      <c r="L131" s="2" t="s">
        <v>559</v>
      </c>
      <c r="M131" s="5">
        <f>IFERROR(__xludf.DUMMYFUNCTION("SPLIT(L131,""$"")"),5541.1)</f>
        <v>5541.1</v>
      </c>
      <c r="N131" s="2" t="s">
        <v>560</v>
      </c>
    </row>
    <row r="132">
      <c r="A132" s="1" t="s">
        <v>152</v>
      </c>
      <c r="B132" s="4">
        <v>10728.709486166</v>
      </c>
      <c r="C132" s="1" t="s">
        <v>79</v>
      </c>
      <c r="D132" s="1" t="s">
        <v>561</v>
      </c>
      <c r="E132" s="1" t="s">
        <v>75</v>
      </c>
      <c r="F132" s="1" t="s">
        <v>18</v>
      </c>
      <c r="G132" s="4">
        <v>35853.4782608695</v>
      </c>
      <c r="H132" s="1" t="s">
        <v>26</v>
      </c>
      <c r="I132" s="4">
        <v>-60.4624505928854</v>
      </c>
      <c r="J132" s="2" t="s">
        <v>562</v>
      </c>
      <c r="K132" s="4">
        <f>IFERROR(__xludf.DUMMYFUNCTION("SPLIT(J132,""$"")"),67327.97)</f>
        <v>67327.97</v>
      </c>
      <c r="L132" s="2" t="s">
        <v>563</v>
      </c>
      <c r="M132" s="5">
        <f>IFERROR(__xludf.DUMMYFUNCTION("SPLIT(L132,""$"")"),5461.62)</f>
        <v>5461.62</v>
      </c>
      <c r="N132" s="2" t="s">
        <v>564</v>
      </c>
    </row>
    <row r="133">
      <c r="A133" s="1" t="s">
        <v>152</v>
      </c>
      <c r="B133" s="4">
        <v>10734.587944664</v>
      </c>
      <c r="C133" s="1" t="s">
        <v>84</v>
      </c>
      <c r="D133" s="1" t="s">
        <v>565</v>
      </c>
      <c r="E133" s="1" t="s">
        <v>17</v>
      </c>
      <c r="F133" s="1" t="s">
        <v>18</v>
      </c>
      <c r="G133" s="4">
        <v>35853.5</v>
      </c>
      <c r="H133" s="1" t="s">
        <v>19</v>
      </c>
      <c r="I133" s="4">
        <v>-61.3280632411067</v>
      </c>
      <c r="J133" s="2" t="s">
        <v>566</v>
      </c>
      <c r="K133" s="4">
        <f>IFERROR(__xludf.DUMMYFUNCTION("SPLIT(J133,""$"")"),39607.33)</f>
        <v>39607.33</v>
      </c>
      <c r="L133" s="2" t="s">
        <v>567</v>
      </c>
      <c r="M133" s="5">
        <f>IFERROR(__xludf.DUMMYFUNCTION("SPLIT(L133,""$"")"),5356.33)</f>
        <v>5356.33</v>
      </c>
      <c r="N133" s="2" t="s">
        <v>568</v>
      </c>
    </row>
    <row r="134">
      <c r="A134" s="1" t="s">
        <v>152</v>
      </c>
      <c r="B134" s="4">
        <v>10740.4664031621</v>
      </c>
      <c r="C134" s="1" t="s">
        <v>89</v>
      </c>
      <c r="D134" s="1" t="s">
        <v>569</v>
      </c>
      <c r="E134" s="1" t="s">
        <v>38</v>
      </c>
      <c r="F134" s="1" t="s">
        <v>18</v>
      </c>
      <c r="G134" s="4">
        <v>35853.5217391304</v>
      </c>
      <c r="H134" s="1" t="s">
        <v>26</v>
      </c>
      <c r="I134" s="4">
        <v>-62.1936758893281</v>
      </c>
      <c r="J134" s="2" t="s">
        <v>570</v>
      </c>
      <c r="K134" s="4">
        <f>IFERROR(__xludf.DUMMYFUNCTION("SPLIT(J134,""$"")"),22862.28)</f>
        <v>22862.28</v>
      </c>
      <c r="L134" s="2" t="s">
        <v>571</v>
      </c>
      <c r="M134" s="5">
        <f>IFERROR(__xludf.DUMMYFUNCTION("SPLIT(L134,""$"")"),5374.7)</f>
        <v>5374.7</v>
      </c>
      <c r="N134" s="2" t="s">
        <v>572</v>
      </c>
    </row>
    <row r="135">
      <c r="A135" s="1" t="s">
        <v>152</v>
      </c>
      <c r="B135" s="4">
        <v>10746.3448616601</v>
      </c>
      <c r="C135" s="1" t="s">
        <v>94</v>
      </c>
      <c r="D135" s="1" t="s">
        <v>573</v>
      </c>
      <c r="E135" s="1" t="s">
        <v>96</v>
      </c>
      <c r="F135" s="1" t="s">
        <v>18</v>
      </c>
      <c r="G135" s="4">
        <v>35853.5434782609</v>
      </c>
      <c r="H135" s="1" t="s">
        <v>26</v>
      </c>
      <c r="I135" s="4">
        <v>-63.0592885375494</v>
      </c>
      <c r="J135" s="2" t="s">
        <v>574</v>
      </c>
      <c r="K135" s="4">
        <f>IFERROR(__xludf.DUMMYFUNCTION("SPLIT(J135,""$"")"),31110.9)</f>
        <v>31110.9</v>
      </c>
      <c r="L135" s="2" t="s">
        <v>575</v>
      </c>
      <c r="M135" s="5">
        <f>IFERROR(__xludf.DUMMYFUNCTION("SPLIT(L135,""$"")"),5366.28)</f>
        <v>5366.28</v>
      </c>
      <c r="N135" s="2" t="s">
        <v>576</v>
      </c>
    </row>
    <row r="136">
      <c r="A136" s="1" t="s">
        <v>152</v>
      </c>
      <c r="B136" s="4">
        <v>10752.2233201581</v>
      </c>
      <c r="C136" s="1" t="s">
        <v>100</v>
      </c>
      <c r="D136" s="1" t="s">
        <v>577</v>
      </c>
      <c r="E136" s="1" t="s">
        <v>102</v>
      </c>
      <c r="F136" s="1" t="s">
        <v>18</v>
      </c>
      <c r="G136" s="4">
        <v>35853.5652173913</v>
      </c>
      <c r="H136" s="1" t="s">
        <v>103</v>
      </c>
      <c r="I136" s="4">
        <v>-63.9249011857708</v>
      </c>
      <c r="J136" s="2" t="s">
        <v>578</v>
      </c>
      <c r="K136" s="4">
        <f>IFERROR(__xludf.DUMMYFUNCTION("SPLIT(J136,""$"")"),25411.38)</f>
        <v>25411.38</v>
      </c>
      <c r="L136" s="2" t="s">
        <v>579</v>
      </c>
      <c r="M136" s="5">
        <f>IFERROR(__xludf.DUMMYFUNCTION("SPLIT(L136,""$"")"),5282.98)</f>
        <v>5282.98</v>
      </c>
      <c r="N136" s="2" t="s">
        <v>580</v>
      </c>
    </row>
    <row r="137">
      <c r="A137" s="1" t="s">
        <v>152</v>
      </c>
      <c r="B137" s="4">
        <v>10758.1017786561</v>
      </c>
      <c r="C137" s="1" t="s">
        <v>107</v>
      </c>
      <c r="D137" s="1" t="s">
        <v>581</v>
      </c>
      <c r="E137" s="1" t="s">
        <v>109</v>
      </c>
      <c r="F137" s="1" t="s">
        <v>18</v>
      </c>
      <c r="G137" s="4">
        <v>35853.5869565217</v>
      </c>
      <c r="H137" s="1" t="s">
        <v>69</v>
      </c>
      <c r="I137" s="4">
        <v>-64.7905138339921</v>
      </c>
      <c r="J137" s="2" t="s">
        <v>582</v>
      </c>
      <c r="K137" s="4">
        <f>IFERROR(__xludf.DUMMYFUNCTION("SPLIT(J137,""$"")"),9234.56)</f>
        <v>9234.56</v>
      </c>
      <c r="L137" s="2" t="s">
        <v>583</v>
      </c>
      <c r="M137" s="5">
        <f>IFERROR(__xludf.DUMMYFUNCTION("SPLIT(L137,""$"")"),5676.6)</f>
        <v>5676.6</v>
      </c>
      <c r="N137" s="2" t="s">
        <v>584</v>
      </c>
    </row>
    <row r="138">
      <c r="A138" s="1" t="s">
        <v>152</v>
      </c>
      <c r="B138" s="4">
        <v>10763.9802371541</v>
      </c>
      <c r="C138" s="1" t="s">
        <v>113</v>
      </c>
      <c r="D138" s="1" t="s">
        <v>585</v>
      </c>
      <c r="E138" s="1" t="s">
        <v>115</v>
      </c>
      <c r="F138" s="1" t="s">
        <v>18</v>
      </c>
      <c r="G138" s="4">
        <v>35853.6086956522</v>
      </c>
      <c r="H138" s="1" t="s">
        <v>103</v>
      </c>
      <c r="I138" s="4">
        <v>-65.6561264822135</v>
      </c>
      <c r="J138" s="2" t="s">
        <v>586</v>
      </c>
      <c r="K138" s="4">
        <f>IFERROR(__xludf.DUMMYFUNCTION("SPLIT(J138,""$"")"),15895.9)</f>
        <v>15895.9</v>
      </c>
      <c r="L138" s="2" t="s">
        <v>587</v>
      </c>
      <c r="M138" s="5">
        <f>IFERROR(__xludf.DUMMYFUNCTION("SPLIT(L138,""$"")"),5930.16)</f>
        <v>5930.16</v>
      </c>
      <c r="N138" s="2" t="s">
        <v>588</v>
      </c>
    </row>
    <row r="139">
      <c r="A139" s="1" t="s">
        <v>152</v>
      </c>
      <c r="B139" s="4">
        <v>10769.8586956522</v>
      </c>
      <c r="C139" s="1" t="s">
        <v>119</v>
      </c>
      <c r="D139" s="1" t="s">
        <v>589</v>
      </c>
      <c r="E139" s="1" t="s">
        <v>121</v>
      </c>
      <c r="F139" s="1" t="s">
        <v>18</v>
      </c>
      <c r="G139" s="4">
        <v>35853.6304347826</v>
      </c>
      <c r="H139" s="1" t="s">
        <v>122</v>
      </c>
      <c r="I139" s="4">
        <v>-66.5217391304348</v>
      </c>
      <c r="J139" s="2" t="s">
        <v>590</v>
      </c>
      <c r="K139" s="4">
        <f>IFERROR(__xludf.DUMMYFUNCTION("SPLIT(J139,""$"")"),19721.21)</f>
        <v>19721.21</v>
      </c>
      <c r="L139" s="2" t="s">
        <v>591</v>
      </c>
      <c r="M139" s="5">
        <f>IFERROR(__xludf.DUMMYFUNCTION("SPLIT(L139,""$"")"),6192.59)</f>
        <v>6192.59</v>
      </c>
      <c r="N139" s="2" t="s">
        <v>592</v>
      </c>
    </row>
    <row r="140">
      <c r="A140" s="1" t="s">
        <v>152</v>
      </c>
      <c r="B140" s="4">
        <v>10775.7371541502</v>
      </c>
      <c r="C140" s="1" t="s">
        <v>126</v>
      </c>
      <c r="D140" s="1" t="s">
        <v>593</v>
      </c>
      <c r="E140" s="1" t="s">
        <v>128</v>
      </c>
      <c r="F140" s="1" t="s">
        <v>18</v>
      </c>
      <c r="G140" s="4">
        <v>35853.652173913</v>
      </c>
      <c r="H140" s="1" t="s">
        <v>103</v>
      </c>
      <c r="I140" s="4">
        <v>-67.3873517786561</v>
      </c>
      <c r="J140" s="2" t="s">
        <v>594</v>
      </c>
      <c r="K140" s="4">
        <f>IFERROR(__xludf.DUMMYFUNCTION("SPLIT(J140,""$"")"),10710.93)</f>
        <v>10710.93</v>
      </c>
      <c r="L140" s="2" t="s">
        <v>595</v>
      </c>
      <c r="M140" s="5">
        <f>IFERROR(__xludf.DUMMYFUNCTION("SPLIT(L140,""$"")"),4968.05)</f>
        <v>4968.05</v>
      </c>
      <c r="N140" s="2" t="s">
        <v>596</v>
      </c>
    </row>
    <row r="141">
      <c r="A141" s="1" t="s">
        <v>152</v>
      </c>
      <c r="B141" s="4">
        <v>10781.6156126482</v>
      </c>
      <c r="C141" s="1" t="s">
        <v>132</v>
      </c>
      <c r="D141" s="1" t="s">
        <v>597</v>
      </c>
      <c r="E141" s="1" t="s">
        <v>38</v>
      </c>
      <c r="F141" s="1" t="s">
        <v>18</v>
      </c>
      <c r="G141" s="4">
        <v>35853.6739130435</v>
      </c>
      <c r="H141" s="1" t="s">
        <v>26</v>
      </c>
      <c r="I141" s="4">
        <v>-68.2529644268775</v>
      </c>
      <c r="J141" s="2" t="s">
        <v>598</v>
      </c>
      <c r="K141" s="4">
        <f>IFERROR(__xludf.DUMMYFUNCTION("SPLIT(J141,""$"")"),51343.8)</f>
        <v>51343.8</v>
      </c>
      <c r="L141" s="2" t="s">
        <v>599</v>
      </c>
      <c r="M141" s="5">
        <f>IFERROR(__xludf.DUMMYFUNCTION("SPLIT(L141,""$"")"),5996.05)</f>
        <v>5996.05</v>
      </c>
      <c r="N141" s="2" t="s">
        <v>600</v>
      </c>
    </row>
    <row r="142">
      <c r="A142" s="1" t="s">
        <v>152</v>
      </c>
      <c r="B142" s="4">
        <v>10787.4940711462</v>
      </c>
      <c r="C142" s="1" t="s">
        <v>137</v>
      </c>
      <c r="D142" s="1" t="s">
        <v>601</v>
      </c>
      <c r="E142" s="1" t="s">
        <v>38</v>
      </c>
      <c r="F142" s="1" t="s">
        <v>18</v>
      </c>
      <c r="G142" s="4">
        <v>35853.6956521739</v>
      </c>
      <c r="H142" s="1" t="s">
        <v>26</v>
      </c>
      <c r="I142" s="4">
        <v>-69.1185770750988</v>
      </c>
      <c r="J142" s="2" t="s">
        <v>602</v>
      </c>
      <c r="K142" s="4">
        <f>IFERROR(__xludf.DUMMYFUNCTION("SPLIT(J142,""$"")"),55219.36)</f>
        <v>55219.36</v>
      </c>
      <c r="L142" s="2" t="s">
        <v>603</v>
      </c>
      <c r="M142" s="5">
        <f>IFERROR(__xludf.DUMMYFUNCTION("SPLIT(L142,""$"")"),5710.36)</f>
        <v>5710.36</v>
      </c>
      <c r="N142" s="2" t="s">
        <v>604</v>
      </c>
    </row>
    <row r="143">
      <c r="A143" s="1" t="s">
        <v>152</v>
      </c>
      <c r="B143" s="4">
        <v>10793.3725296443</v>
      </c>
      <c r="C143" s="1" t="s">
        <v>142</v>
      </c>
      <c r="D143" s="1" t="s">
        <v>605</v>
      </c>
      <c r="E143" s="1" t="s">
        <v>115</v>
      </c>
      <c r="F143" s="1" t="s">
        <v>18</v>
      </c>
      <c r="G143" s="4">
        <v>35853.7173913043</v>
      </c>
      <c r="H143" s="1" t="s">
        <v>103</v>
      </c>
      <c r="I143" s="4">
        <v>-69.9841897233202</v>
      </c>
      <c r="J143" s="2" t="s">
        <v>606</v>
      </c>
      <c r="K143" s="4">
        <f>IFERROR(__xludf.DUMMYFUNCTION("SPLIT(J143,""$"")"),14948.2)</f>
        <v>14948.2</v>
      </c>
      <c r="L143" s="2" t="s">
        <v>607</v>
      </c>
      <c r="M143" s="5">
        <f>IFERROR(__xludf.DUMMYFUNCTION("SPLIT(L143,""$"")"),5550.95)</f>
        <v>5550.95</v>
      </c>
      <c r="N143" s="2" t="s">
        <v>608</v>
      </c>
    </row>
    <row r="144">
      <c r="A144" s="1" t="s">
        <v>152</v>
      </c>
      <c r="B144" s="4">
        <v>10799.2509881423</v>
      </c>
      <c r="C144" s="1" t="s">
        <v>147</v>
      </c>
      <c r="D144" s="1" t="s">
        <v>609</v>
      </c>
      <c r="E144" s="1" t="s">
        <v>38</v>
      </c>
      <c r="F144" s="1" t="s">
        <v>18</v>
      </c>
      <c r="G144" s="4">
        <v>35853.7391304348</v>
      </c>
      <c r="H144" s="1" t="s">
        <v>26</v>
      </c>
      <c r="I144" s="4">
        <v>-70.8498023715415</v>
      </c>
      <c r="J144" s="2" t="s">
        <v>610</v>
      </c>
      <c r="K144" s="4">
        <f>IFERROR(__xludf.DUMMYFUNCTION("SPLIT(J144,""$"")"),73846.26)</f>
        <v>73846.26</v>
      </c>
      <c r="L144" s="2" t="s">
        <v>611</v>
      </c>
      <c r="M144" s="5">
        <f>IFERROR(__xludf.DUMMYFUNCTION("SPLIT(L144,""$"")"),4987.31)</f>
        <v>4987.31</v>
      </c>
      <c r="N144" s="2" t="s">
        <v>612</v>
      </c>
    </row>
    <row r="145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7</v>
      </c>
      <c r="I145" s="1" t="s">
        <v>8</v>
      </c>
      <c r="J145" s="2" t="s">
        <v>9</v>
      </c>
      <c r="K145" s="1" t="s">
        <v>10</v>
      </c>
      <c r="L145" s="2" t="s">
        <v>11</v>
      </c>
      <c r="M145" s="3" t="s">
        <v>12</v>
      </c>
      <c r="N145" s="2" t="s">
        <v>13</v>
      </c>
    </row>
    <row r="146">
      <c r="A146" s="1" t="s">
        <v>152</v>
      </c>
      <c r="B146" s="4">
        <v>10805.1294466403</v>
      </c>
      <c r="C146" s="1" t="s">
        <v>15</v>
      </c>
      <c r="D146" s="1" t="s">
        <v>613</v>
      </c>
      <c r="E146" s="1" t="s">
        <v>17</v>
      </c>
      <c r="F146" s="1" t="s">
        <v>18</v>
      </c>
      <c r="G146" s="4">
        <v>35853.7608695652</v>
      </c>
      <c r="H146" s="1" t="s">
        <v>19</v>
      </c>
      <c r="I146" s="4">
        <v>-71.7154150197629</v>
      </c>
      <c r="J146" s="2" t="s">
        <v>614</v>
      </c>
      <c r="K146" s="4">
        <f>IFERROR(__xludf.DUMMYFUNCTION("SPLIT(J146,""$"")"),32963.13)</f>
        <v>32963.13</v>
      </c>
      <c r="L146" s="2" t="s">
        <v>615</v>
      </c>
      <c r="M146" s="5">
        <f>IFERROR(__xludf.DUMMYFUNCTION("SPLIT(L146,""$"")"),5777.3)</f>
        <v>5777.3</v>
      </c>
      <c r="N146" s="2" t="s">
        <v>616</v>
      </c>
    </row>
    <row r="147">
      <c r="A147" s="1" t="s">
        <v>152</v>
      </c>
      <c r="B147" s="4">
        <v>10811.0079051383</v>
      </c>
      <c r="C147" s="1" t="s">
        <v>23</v>
      </c>
      <c r="D147" s="1" t="s">
        <v>617</v>
      </c>
      <c r="E147" s="1" t="s">
        <v>25</v>
      </c>
      <c r="F147" s="1" t="s">
        <v>18</v>
      </c>
      <c r="G147" s="4">
        <v>35853.7826086956</v>
      </c>
      <c r="H147" s="1" t="s">
        <v>26</v>
      </c>
      <c r="I147" s="4">
        <v>-72.5810276679842</v>
      </c>
      <c r="J147" s="2" t="s">
        <v>618</v>
      </c>
      <c r="K147" s="4">
        <f>IFERROR(__xludf.DUMMYFUNCTION("SPLIT(J147,""$"")"),15131.91)</f>
        <v>15131.91</v>
      </c>
      <c r="L147" s="2" t="s">
        <v>619</v>
      </c>
      <c r="M147" s="5">
        <f>IFERROR(__xludf.DUMMYFUNCTION("SPLIT(L147,""$"")"),5787.63)</f>
        <v>5787.63</v>
      </c>
      <c r="N147" s="2" t="s">
        <v>620</v>
      </c>
    </row>
    <row r="148">
      <c r="A148" s="1" t="s">
        <v>152</v>
      </c>
      <c r="B148" s="4">
        <v>10816.8863636364</v>
      </c>
      <c r="C148" s="1" t="s">
        <v>30</v>
      </c>
      <c r="D148" s="1" t="s">
        <v>621</v>
      </c>
      <c r="E148" s="1" t="s">
        <v>32</v>
      </c>
      <c r="F148" s="1" t="s">
        <v>18</v>
      </c>
      <c r="G148" s="4">
        <v>35853.8043478261</v>
      </c>
      <c r="H148" s="1" t="s">
        <v>26</v>
      </c>
      <c r="I148" s="4">
        <v>-73.4466403162056</v>
      </c>
      <c r="J148" s="2" t="s">
        <v>622</v>
      </c>
      <c r="K148" s="4">
        <f>IFERROR(__xludf.DUMMYFUNCTION("SPLIT(J148,""$"")"),37560.43)</f>
        <v>37560.43</v>
      </c>
      <c r="L148" s="2" t="s">
        <v>623</v>
      </c>
      <c r="M148" s="5">
        <f>IFERROR(__xludf.DUMMYFUNCTION("SPLIT(L148,""$"")"),5434.101)</f>
        <v>5434.101</v>
      </c>
      <c r="N148" s="2" t="s">
        <v>624</v>
      </c>
    </row>
    <row r="149">
      <c r="A149" s="1" t="s">
        <v>152</v>
      </c>
      <c r="B149" s="4">
        <v>10822.7648221344</v>
      </c>
      <c r="C149" s="1" t="s">
        <v>36</v>
      </c>
      <c r="D149" s="1" t="s">
        <v>625</v>
      </c>
      <c r="E149" s="1" t="s">
        <v>38</v>
      </c>
      <c r="F149" s="1" t="s">
        <v>18</v>
      </c>
      <c r="G149" s="4">
        <v>35853.8260869565</v>
      </c>
      <c r="H149" s="1" t="s">
        <v>26</v>
      </c>
      <c r="I149" s="4">
        <v>-74.3122529644269</v>
      </c>
      <c r="J149" s="2" t="s">
        <v>626</v>
      </c>
      <c r="K149" s="4">
        <f>IFERROR(__xludf.DUMMYFUNCTION("SPLIT(J149,""$"")"),13998.34)</f>
        <v>13998.34</v>
      </c>
      <c r="L149" s="2" t="s">
        <v>627</v>
      </c>
      <c r="M149" s="5">
        <f>IFERROR(__xludf.DUMMYFUNCTION("SPLIT(L149,""$"")"),5417.62)</f>
        <v>5417.62</v>
      </c>
      <c r="N149" s="2" t="s">
        <v>628</v>
      </c>
    </row>
    <row r="150">
      <c r="A150" s="1" t="s">
        <v>152</v>
      </c>
      <c r="B150" s="4">
        <v>10828.6432806324</v>
      </c>
      <c r="C150" s="1" t="s">
        <v>42</v>
      </c>
      <c r="D150" s="1" t="s">
        <v>629</v>
      </c>
      <c r="E150" s="1" t="s">
        <v>44</v>
      </c>
      <c r="F150" s="1" t="s">
        <v>18</v>
      </c>
      <c r="G150" s="4">
        <v>35853.8478260869</v>
      </c>
      <c r="H150" s="1" t="s">
        <v>26</v>
      </c>
      <c r="I150" s="4">
        <v>-75.1778656126482</v>
      </c>
      <c r="J150" s="2" t="s">
        <v>630</v>
      </c>
      <c r="K150" s="4">
        <f>IFERROR(__xludf.DUMMYFUNCTION("SPLIT(J150,""$"")"),31633.33)</f>
        <v>31633.33</v>
      </c>
      <c r="L150" s="2" t="s">
        <v>631</v>
      </c>
      <c r="M150" s="5">
        <f>IFERROR(__xludf.DUMMYFUNCTION("SPLIT(L150,""$"")"),5658.39)</f>
        <v>5658.39</v>
      </c>
      <c r="N150" s="2" t="s">
        <v>632</v>
      </c>
    </row>
    <row r="151">
      <c r="A151" s="1" t="s">
        <v>152</v>
      </c>
      <c r="B151" s="4">
        <v>10834.5217391304</v>
      </c>
      <c r="C151" s="1" t="s">
        <v>48</v>
      </c>
      <c r="D151" s="1" t="s">
        <v>633</v>
      </c>
      <c r="E151" s="1" t="s">
        <v>50</v>
      </c>
      <c r="F151" s="1" t="s">
        <v>18</v>
      </c>
      <c r="G151" s="4">
        <v>35853.8695652174</v>
      </c>
      <c r="H151" s="1" t="s">
        <v>51</v>
      </c>
      <c r="I151" s="4">
        <v>-76.0434782608696</v>
      </c>
      <c r="J151" s="2" t="s">
        <v>634</v>
      </c>
      <c r="K151" s="4">
        <f>IFERROR(__xludf.DUMMYFUNCTION("SPLIT(J151,""$"")"),16920.85)</f>
        <v>16920.85</v>
      </c>
      <c r="L151" s="2" t="s">
        <v>635</v>
      </c>
      <c r="M151" s="5">
        <f>IFERROR(__xludf.DUMMYFUNCTION("SPLIT(L151,""$"")"),6653.86)</f>
        <v>6653.86</v>
      </c>
      <c r="N151" s="2" t="s">
        <v>636</v>
      </c>
    </row>
    <row r="152">
      <c r="A152" s="1" t="s">
        <v>152</v>
      </c>
      <c r="B152" s="4">
        <v>10840.4001976285</v>
      </c>
      <c r="C152" s="1" t="s">
        <v>55</v>
      </c>
      <c r="D152" s="1" t="s">
        <v>637</v>
      </c>
      <c r="E152" s="1" t="s">
        <v>57</v>
      </c>
      <c r="F152" s="1" t="s">
        <v>18</v>
      </c>
      <c r="G152" s="4">
        <v>35853.8913043478</v>
      </c>
      <c r="H152" s="1" t="s">
        <v>26</v>
      </c>
      <c r="I152" s="4">
        <v>-76.9090909090909</v>
      </c>
      <c r="J152" s="2" t="s">
        <v>638</v>
      </c>
      <c r="K152" s="4">
        <f>IFERROR(__xludf.DUMMYFUNCTION("SPLIT(J152,""$"")"),11977.19)</f>
        <v>11977.19</v>
      </c>
      <c r="L152" s="2" t="s">
        <v>639</v>
      </c>
      <c r="M152" s="5">
        <f>IFERROR(__xludf.DUMMYFUNCTION("SPLIT(L152,""$"")"),5834.8)</f>
        <v>5834.8</v>
      </c>
      <c r="N152" s="2" t="s">
        <v>640</v>
      </c>
    </row>
    <row r="153">
      <c r="A153" s="1" t="s">
        <v>152</v>
      </c>
      <c r="B153" s="4">
        <v>10846.2786561265</v>
      </c>
      <c r="C153" s="1" t="s">
        <v>61</v>
      </c>
      <c r="D153" s="1" t="s">
        <v>641</v>
      </c>
      <c r="E153" s="1" t="s">
        <v>38</v>
      </c>
      <c r="F153" s="1" t="s">
        <v>18</v>
      </c>
      <c r="G153" s="4">
        <v>35853.9130434782</v>
      </c>
      <c r="H153" s="1" t="s">
        <v>26</v>
      </c>
      <c r="I153" s="4">
        <v>-77.7747035573123</v>
      </c>
      <c r="J153" s="2" t="s">
        <v>642</v>
      </c>
      <c r="K153" s="4">
        <f>IFERROR(__xludf.DUMMYFUNCTION("SPLIT(J153,""$"")"),35841.15)</f>
        <v>35841.15</v>
      </c>
      <c r="L153" s="2" t="s">
        <v>643</v>
      </c>
      <c r="M153" s="5">
        <f>IFERROR(__xludf.DUMMYFUNCTION("SPLIT(L153,""$"")"),8031.18)</f>
        <v>8031.18</v>
      </c>
      <c r="N153" s="2" t="s">
        <v>644</v>
      </c>
    </row>
    <row r="154">
      <c r="A154" s="1" t="s">
        <v>152</v>
      </c>
      <c r="B154" s="4">
        <v>10852.1571146245</v>
      </c>
      <c r="C154" s="1" t="s">
        <v>66</v>
      </c>
      <c r="D154" s="1" t="s">
        <v>645</v>
      </c>
      <c r="E154" s="1" t="s">
        <v>68</v>
      </c>
      <c r="F154" s="1" t="s">
        <v>18</v>
      </c>
      <c r="G154" s="4">
        <v>35853.9347826087</v>
      </c>
      <c r="H154" s="1" t="s">
        <v>69</v>
      </c>
      <c r="I154" s="4">
        <v>-78.6403162055336</v>
      </c>
      <c r="J154" s="2" t="s">
        <v>646</v>
      </c>
      <c r="K154" s="4">
        <f>IFERROR(__xludf.DUMMYFUNCTION("SPLIT(J154,""$"")"),28523.45)</f>
        <v>28523.45</v>
      </c>
      <c r="L154" s="2" t="s">
        <v>647</v>
      </c>
      <c r="M154" s="5">
        <f>IFERROR(__xludf.DUMMYFUNCTION("SPLIT(L154,""$"")"),6113.44)</f>
        <v>6113.44</v>
      </c>
      <c r="N154" s="2" t="s">
        <v>648</v>
      </c>
    </row>
    <row r="155">
      <c r="A155" s="1" t="s">
        <v>152</v>
      </c>
      <c r="B155" s="4">
        <v>10858.0355731225</v>
      </c>
      <c r="C155" s="1" t="s">
        <v>73</v>
      </c>
      <c r="D155" s="1" t="s">
        <v>649</v>
      </c>
      <c r="E155" s="1" t="s">
        <v>75</v>
      </c>
      <c r="F155" s="1" t="s">
        <v>18</v>
      </c>
      <c r="G155" s="4">
        <v>35853.9565217391</v>
      </c>
      <c r="H155" s="1" t="s">
        <v>26</v>
      </c>
      <c r="I155" s="4">
        <v>-79.505928853755</v>
      </c>
      <c r="J155" s="2" t="s">
        <v>650</v>
      </c>
      <c r="K155" s="4">
        <f>IFERROR(__xludf.DUMMYFUNCTION("SPLIT(J155,""$"")"),75233.44)</f>
        <v>75233.44</v>
      </c>
      <c r="L155" s="2" t="s">
        <v>651</v>
      </c>
      <c r="M155" s="5">
        <f>IFERROR(__xludf.DUMMYFUNCTION("SPLIT(L155,""$"")"),5541.11)</f>
        <v>5541.11</v>
      </c>
      <c r="N155" s="2" t="s">
        <v>652</v>
      </c>
    </row>
    <row r="156">
      <c r="A156" s="1" t="s">
        <v>152</v>
      </c>
      <c r="B156" s="4">
        <v>10863.9140316206</v>
      </c>
      <c r="C156" s="1" t="s">
        <v>79</v>
      </c>
      <c r="D156" s="1" t="s">
        <v>653</v>
      </c>
      <c r="E156" s="1" t="s">
        <v>75</v>
      </c>
      <c r="F156" s="1" t="s">
        <v>18</v>
      </c>
      <c r="G156" s="4">
        <v>35853.9782608695</v>
      </c>
      <c r="H156" s="1" t="s">
        <v>26</v>
      </c>
      <c r="I156" s="4">
        <v>-80.3715415019763</v>
      </c>
      <c r="J156" s="2" t="s">
        <v>654</v>
      </c>
      <c r="K156" s="4">
        <f>IFERROR(__xludf.DUMMYFUNCTION("SPLIT(J156,""$"")"),67327.98)</f>
        <v>67327.98</v>
      </c>
      <c r="L156" s="2" t="s">
        <v>655</v>
      </c>
      <c r="M156" s="5">
        <f>IFERROR(__xludf.DUMMYFUNCTION("SPLIT(L156,""$"")"),5461.63)</f>
        <v>5461.63</v>
      </c>
      <c r="N156" s="2" t="s">
        <v>656</v>
      </c>
    </row>
    <row r="157">
      <c r="A157" s="1" t="s">
        <v>152</v>
      </c>
      <c r="B157" s="4">
        <v>10869.7924901186</v>
      </c>
      <c r="C157" s="1" t="s">
        <v>84</v>
      </c>
      <c r="D157" s="1" t="s">
        <v>657</v>
      </c>
      <c r="E157" s="1" t="s">
        <v>17</v>
      </c>
      <c r="F157" s="1" t="s">
        <v>18</v>
      </c>
      <c r="G157" s="4">
        <v>35854.0</v>
      </c>
      <c r="H157" s="1" t="s">
        <v>19</v>
      </c>
      <c r="I157" s="4">
        <v>-81.2371541501976</v>
      </c>
      <c r="J157" s="2" t="s">
        <v>658</v>
      </c>
      <c r="K157" s="4">
        <f>IFERROR(__xludf.DUMMYFUNCTION("SPLIT(J157,""$"")"),39607.34)</f>
        <v>39607.34</v>
      </c>
      <c r="L157" s="2" t="s">
        <v>659</v>
      </c>
      <c r="M157" s="5">
        <f>IFERROR(__xludf.DUMMYFUNCTION("SPLIT(L157,""$"")"),5356.34)</f>
        <v>5356.34</v>
      </c>
      <c r="N157" s="2" t="s">
        <v>660</v>
      </c>
    </row>
    <row r="158">
      <c r="A158" s="1" t="s">
        <v>152</v>
      </c>
      <c r="B158" s="4">
        <v>10875.6709486166</v>
      </c>
      <c r="C158" s="1" t="s">
        <v>89</v>
      </c>
      <c r="D158" s="1" t="s">
        <v>661</v>
      </c>
      <c r="E158" s="1" t="s">
        <v>38</v>
      </c>
      <c r="F158" s="1" t="s">
        <v>18</v>
      </c>
      <c r="G158" s="4">
        <v>35854.0217391304</v>
      </c>
      <c r="H158" s="1" t="s">
        <v>26</v>
      </c>
      <c r="I158" s="4">
        <v>-82.102766798419</v>
      </c>
      <c r="J158" s="2" t="s">
        <v>662</v>
      </c>
      <c r="K158" s="4">
        <f>IFERROR(__xludf.DUMMYFUNCTION("SPLIT(J158,""$"")"),22862.29)</f>
        <v>22862.29</v>
      </c>
      <c r="L158" s="2" t="s">
        <v>663</v>
      </c>
      <c r="M158" s="5">
        <f>IFERROR(__xludf.DUMMYFUNCTION("SPLIT(L158,""$"")"),5374.71)</f>
        <v>5374.71</v>
      </c>
      <c r="N158" s="2" t="s">
        <v>664</v>
      </c>
    </row>
    <row r="159">
      <c r="A159" s="1" t="s">
        <v>152</v>
      </c>
      <c r="B159" s="4">
        <v>10881.5494071146</v>
      </c>
      <c r="C159" s="1" t="s">
        <v>94</v>
      </c>
      <c r="D159" s="1" t="s">
        <v>665</v>
      </c>
      <c r="E159" s="1" t="s">
        <v>96</v>
      </c>
      <c r="F159" s="1" t="s">
        <v>18</v>
      </c>
      <c r="G159" s="4">
        <v>35854.0434782609</v>
      </c>
      <c r="H159" s="1" t="s">
        <v>26</v>
      </c>
      <c r="I159" s="4">
        <v>-82.9683794466403</v>
      </c>
      <c r="J159" s="2" t="s">
        <v>666</v>
      </c>
      <c r="K159" s="4">
        <f>IFERROR(__xludf.DUMMYFUNCTION("SPLIT(J159,""$"")"),31110.91)</f>
        <v>31110.91</v>
      </c>
      <c r="L159" s="2" t="s">
        <v>667</v>
      </c>
      <c r="M159" s="5">
        <f>IFERROR(__xludf.DUMMYFUNCTION("SPLIT(L159,""$"")"),5366.29)</f>
        <v>5366.29</v>
      </c>
      <c r="N159" s="2" t="s">
        <v>668</v>
      </c>
    </row>
    <row r="160">
      <c r="A160" s="1" t="s">
        <v>152</v>
      </c>
      <c r="B160" s="4">
        <v>10887.4278656126</v>
      </c>
      <c r="C160" s="1" t="s">
        <v>100</v>
      </c>
      <c r="D160" s="1" t="s">
        <v>669</v>
      </c>
      <c r="E160" s="1" t="s">
        <v>102</v>
      </c>
      <c r="F160" s="1" t="s">
        <v>18</v>
      </c>
      <c r="G160" s="4">
        <v>35854.0652173913</v>
      </c>
      <c r="H160" s="1" t="s">
        <v>103</v>
      </c>
      <c r="I160" s="4">
        <v>-83.8339920948617</v>
      </c>
      <c r="J160" s="2" t="s">
        <v>670</v>
      </c>
      <c r="K160" s="4">
        <f>IFERROR(__xludf.DUMMYFUNCTION("SPLIT(J160,""$"")"),25411.39)</f>
        <v>25411.39</v>
      </c>
      <c r="L160" s="2" t="s">
        <v>671</v>
      </c>
      <c r="M160" s="5">
        <f>IFERROR(__xludf.DUMMYFUNCTION("SPLIT(L160,""$"")"),5282.99)</f>
        <v>5282.99</v>
      </c>
      <c r="N160" s="2" t="s">
        <v>672</v>
      </c>
    </row>
    <row r="161">
      <c r="A161" s="1" t="s">
        <v>152</v>
      </c>
      <c r="B161" s="4">
        <v>10893.3063241107</v>
      </c>
      <c r="C161" s="1" t="s">
        <v>107</v>
      </c>
      <c r="D161" s="1" t="s">
        <v>673</v>
      </c>
      <c r="E161" s="1" t="s">
        <v>109</v>
      </c>
      <c r="F161" s="1" t="s">
        <v>18</v>
      </c>
      <c r="G161" s="4">
        <v>35854.0869565217</v>
      </c>
      <c r="H161" s="1" t="s">
        <v>69</v>
      </c>
      <c r="I161" s="4">
        <v>-84.699604743083</v>
      </c>
      <c r="J161" s="2" t="s">
        <v>674</v>
      </c>
      <c r="K161" s="4">
        <f>IFERROR(__xludf.DUMMYFUNCTION("SPLIT(J161,""$"")"),9234.57)</f>
        <v>9234.57</v>
      </c>
      <c r="L161" s="2" t="s">
        <v>675</v>
      </c>
      <c r="M161" s="5">
        <f>IFERROR(__xludf.DUMMYFUNCTION("SPLIT(L161,""$"")"),5676.61)</f>
        <v>5676.61</v>
      </c>
      <c r="N161" s="2" t="s">
        <v>676</v>
      </c>
    </row>
    <row r="162">
      <c r="A162" s="1" t="s">
        <v>152</v>
      </c>
      <c r="B162" s="4">
        <v>10899.1847826087</v>
      </c>
      <c r="C162" s="1" t="s">
        <v>113</v>
      </c>
      <c r="D162" s="1" t="s">
        <v>677</v>
      </c>
      <c r="E162" s="1" t="s">
        <v>115</v>
      </c>
      <c r="F162" s="1" t="s">
        <v>18</v>
      </c>
      <c r="G162" s="4">
        <v>35854.1086956522</v>
      </c>
      <c r="H162" s="1" t="s">
        <v>103</v>
      </c>
      <c r="I162" s="4">
        <v>-85.5652173913044</v>
      </c>
      <c r="J162" s="2" t="s">
        <v>678</v>
      </c>
      <c r="K162" s="4">
        <f>IFERROR(__xludf.DUMMYFUNCTION("SPLIT(J162,""$"")"),15895.91)</f>
        <v>15895.91</v>
      </c>
      <c r="L162" s="2" t="s">
        <v>679</v>
      </c>
      <c r="M162" s="5">
        <f>IFERROR(__xludf.DUMMYFUNCTION("SPLIT(L162,""$"")"),5930.17)</f>
        <v>5930.17</v>
      </c>
      <c r="N162" s="2" t="s">
        <v>680</v>
      </c>
    </row>
    <row r="163">
      <c r="A163" s="1" t="s">
        <v>152</v>
      </c>
      <c r="B163" s="4">
        <v>10905.0632411067</v>
      </c>
      <c r="C163" s="1" t="s">
        <v>119</v>
      </c>
      <c r="D163" s="1" t="s">
        <v>681</v>
      </c>
      <c r="E163" s="1" t="s">
        <v>121</v>
      </c>
      <c r="F163" s="1" t="s">
        <v>18</v>
      </c>
      <c r="G163" s="4">
        <v>35854.1304347826</v>
      </c>
      <c r="H163" s="1" t="s">
        <v>122</v>
      </c>
      <c r="I163" s="4">
        <v>-86.4308300395257</v>
      </c>
      <c r="J163" s="2" t="s">
        <v>682</v>
      </c>
      <c r="K163" s="4">
        <f>IFERROR(__xludf.DUMMYFUNCTION("SPLIT(J163,""$"")"),19721.22)</f>
        <v>19721.22</v>
      </c>
      <c r="L163" s="2" t="s">
        <v>683</v>
      </c>
      <c r="M163" s="5">
        <f>IFERROR(__xludf.DUMMYFUNCTION("SPLIT(L163,""$"")"),6192.6)</f>
        <v>6192.6</v>
      </c>
      <c r="N163" s="2" t="s">
        <v>684</v>
      </c>
    </row>
    <row r="164">
      <c r="A164" s="1" t="s">
        <v>152</v>
      </c>
      <c r="B164" s="4">
        <v>10910.9416996047</v>
      </c>
      <c r="C164" s="1" t="s">
        <v>126</v>
      </c>
      <c r="D164" s="1" t="s">
        <v>685</v>
      </c>
      <c r="E164" s="1" t="s">
        <v>128</v>
      </c>
      <c r="F164" s="1" t="s">
        <v>18</v>
      </c>
      <c r="G164" s="4">
        <v>35854.152173913</v>
      </c>
      <c r="H164" s="1" t="s">
        <v>103</v>
      </c>
      <c r="I164" s="4">
        <v>-87.2964426877471</v>
      </c>
      <c r="J164" s="2" t="s">
        <v>686</v>
      </c>
      <c r="K164" s="4">
        <f>IFERROR(__xludf.DUMMYFUNCTION("SPLIT(J164,""$"")"),10710.94)</f>
        <v>10710.94</v>
      </c>
      <c r="L164" s="2" t="s">
        <v>687</v>
      </c>
      <c r="M164" s="5">
        <f>IFERROR(__xludf.DUMMYFUNCTION("SPLIT(L164,""$"")"),4968.06)</f>
        <v>4968.06</v>
      </c>
      <c r="N164" s="2" t="s">
        <v>688</v>
      </c>
    </row>
    <row r="165">
      <c r="A165" s="1" t="s">
        <v>152</v>
      </c>
      <c r="B165" s="4">
        <v>10916.8201581028</v>
      </c>
      <c r="C165" s="1" t="s">
        <v>132</v>
      </c>
      <c r="D165" s="1" t="s">
        <v>689</v>
      </c>
      <c r="E165" s="1" t="s">
        <v>38</v>
      </c>
      <c r="F165" s="1" t="s">
        <v>18</v>
      </c>
      <c r="G165" s="4">
        <v>35854.1739130435</v>
      </c>
      <c r="H165" s="1" t="s">
        <v>26</v>
      </c>
      <c r="I165" s="4">
        <v>-88.1620553359684</v>
      </c>
      <c r="J165" s="2" t="s">
        <v>690</v>
      </c>
      <c r="K165" s="4">
        <f>IFERROR(__xludf.DUMMYFUNCTION("SPLIT(J165,""$"")"),51343.81)</f>
        <v>51343.81</v>
      </c>
      <c r="L165" s="2" t="s">
        <v>691</v>
      </c>
      <c r="M165" s="5">
        <f>IFERROR(__xludf.DUMMYFUNCTION("SPLIT(L165,""$"")"),5996.06)</f>
        <v>5996.06</v>
      </c>
      <c r="N165" s="2" t="s">
        <v>692</v>
      </c>
    </row>
    <row r="166">
      <c r="A166" s="1" t="s">
        <v>152</v>
      </c>
      <c r="B166" s="4">
        <v>10922.6986166008</v>
      </c>
      <c r="C166" s="1" t="s">
        <v>137</v>
      </c>
      <c r="D166" s="1" t="s">
        <v>693</v>
      </c>
      <c r="E166" s="1" t="s">
        <v>38</v>
      </c>
      <c r="F166" s="1" t="s">
        <v>18</v>
      </c>
      <c r="G166" s="4">
        <v>35854.1956521739</v>
      </c>
      <c r="H166" s="1" t="s">
        <v>26</v>
      </c>
      <c r="I166" s="4">
        <v>-89.0276679841897</v>
      </c>
      <c r="J166" s="2" t="s">
        <v>694</v>
      </c>
      <c r="K166" s="4">
        <f>IFERROR(__xludf.DUMMYFUNCTION("SPLIT(J166,""$"")"),55219.37)</f>
        <v>55219.37</v>
      </c>
      <c r="L166" s="2" t="s">
        <v>695</v>
      </c>
      <c r="M166" s="5">
        <f>IFERROR(__xludf.DUMMYFUNCTION("SPLIT(L166,""$"")"),5710.37)</f>
        <v>5710.37</v>
      </c>
      <c r="N166" s="2" t="s">
        <v>696</v>
      </c>
    </row>
    <row r="167">
      <c r="A167" s="1" t="s">
        <v>152</v>
      </c>
      <c r="B167" s="4">
        <v>10928.5770750988</v>
      </c>
      <c r="C167" s="1" t="s">
        <v>142</v>
      </c>
      <c r="D167" s="1" t="s">
        <v>697</v>
      </c>
      <c r="E167" s="1" t="s">
        <v>115</v>
      </c>
      <c r="F167" s="1" t="s">
        <v>18</v>
      </c>
      <c r="G167" s="4">
        <v>35854.2173913043</v>
      </c>
      <c r="H167" s="1" t="s">
        <v>103</v>
      </c>
      <c r="I167" s="4">
        <v>-89.8932806324111</v>
      </c>
      <c r="J167" s="2" t="s">
        <v>698</v>
      </c>
      <c r="K167" s="4">
        <f>IFERROR(__xludf.DUMMYFUNCTION("SPLIT(J167,""$"")"),14948.21)</f>
        <v>14948.21</v>
      </c>
      <c r="L167" s="2" t="s">
        <v>699</v>
      </c>
      <c r="M167" s="5">
        <f>IFERROR(__xludf.DUMMYFUNCTION("SPLIT(L167,""$"")"),5550.96)</f>
        <v>5550.96</v>
      </c>
      <c r="N167" s="2" t="s">
        <v>700</v>
      </c>
    </row>
    <row r="168">
      <c r="A168" s="1" t="s">
        <v>152</v>
      </c>
      <c r="B168" s="4">
        <v>10934.4555335968</v>
      </c>
      <c r="C168" s="1" t="s">
        <v>147</v>
      </c>
      <c r="D168" s="1" t="s">
        <v>701</v>
      </c>
      <c r="E168" s="1" t="s">
        <v>38</v>
      </c>
      <c r="F168" s="1" t="s">
        <v>18</v>
      </c>
      <c r="G168" s="4">
        <v>35854.2391304348</v>
      </c>
      <c r="H168" s="1" t="s">
        <v>26</v>
      </c>
      <c r="I168" s="4">
        <v>-90.7588932806324</v>
      </c>
      <c r="J168" s="2" t="s">
        <v>702</v>
      </c>
      <c r="K168" s="4">
        <f>IFERROR(__xludf.DUMMYFUNCTION("SPLIT(J168,""$"")"),73846.27)</f>
        <v>73846.27</v>
      </c>
      <c r="L168" s="2" t="s">
        <v>703</v>
      </c>
      <c r="M168" s="5">
        <f>IFERROR(__xludf.DUMMYFUNCTION("SPLIT(L168,""$"")"),4987.32)</f>
        <v>4987.32</v>
      </c>
      <c r="N168" s="2" t="s">
        <v>704</v>
      </c>
    </row>
    <row r="169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H169" s="1" t="s">
        <v>7</v>
      </c>
      <c r="I169" s="1" t="s">
        <v>8</v>
      </c>
      <c r="J169" s="2" t="s">
        <v>9</v>
      </c>
      <c r="K169" s="1" t="s">
        <v>10</v>
      </c>
      <c r="L169" s="2" t="s">
        <v>11</v>
      </c>
      <c r="M169" s="3" t="s">
        <v>12</v>
      </c>
      <c r="N169" s="2" t="s">
        <v>13</v>
      </c>
    </row>
    <row r="170">
      <c r="A170" s="1" t="s">
        <v>152</v>
      </c>
      <c r="B170" s="4">
        <v>10940.3339920949</v>
      </c>
      <c r="C170" s="1" t="s">
        <v>15</v>
      </c>
      <c r="D170" s="1" t="s">
        <v>705</v>
      </c>
      <c r="E170" s="1" t="s">
        <v>17</v>
      </c>
      <c r="F170" s="1" t="s">
        <v>18</v>
      </c>
      <c r="G170" s="4">
        <v>35854.2608695652</v>
      </c>
      <c r="H170" s="1" t="s">
        <v>19</v>
      </c>
      <c r="I170" s="4">
        <v>-91.6245059288538</v>
      </c>
      <c r="J170" s="2" t="s">
        <v>706</v>
      </c>
      <c r="K170" s="4">
        <f>IFERROR(__xludf.DUMMYFUNCTION("SPLIT(J170,""$"")"),32963.14)</f>
        <v>32963.14</v>
      </c>
      <c r="L170" s="2" t="s">
        <v>707</v>
      </c>
      <c r="M170" s="5">
        <f>IFERROR(__xludf.DUMMYFUNCTION("SPLIT(L170,""$"")"),5777.31)</f>
        <v>5777.31</v>
      </c>
      <c r="N170" s="2" t="s">
        <v>708</v>
      </c>
    </row>
    <row r="171">
      <c r="A171" s="1" t="s">
        <v>152</v>
      </c>
      <c r="B171" s="4">
        <v>10946.2124505929</v>
      </c>
      <c r="C171" s="1" t="s">
        <v>23</v>
      </c>
      <c r="D171" s="1" t="s">
        <v>709</v>
      </c>
      <c r="E171" s="1" t="s">
        <v>25</v>
      </c>
      <c r="F171" s="1" t="s">
        <v>18</v>
      </c>
      <c r="G171" s="4">
        <v>35854.2826086956</v>
      </c>
      <c r="H171" s="1" t="s">
        <v>26</v>
      </c>
      <c r="I171" s="4">
        <v>-92.4901185770751</v>
      </c>
      <c r="J171" s="2" t="s">
        <v>710</v>
      </c>
      <c r="K171" s="4">
        <f>IFERROR(__xludf.DUMMYFUNCTION("SPLIT(J171,""$"")"),15131.92)</f>
        <v>15131.92</v>
      </c>
      <c r="L171" s="2" t="s">
        <v>711</v>
      </c>
      <c r="M171" s="5">
        <f>IFERROR(__xludf.DUMMYFUNCTION("SPLIT(L171,""$"")"),5787.64)</f>
        <v>5787.64</v>
      </c>
      <c r="N171" s="2" t="s">
        <v>712</v>
      </c>
    </row>
    <row r="172">
      <c r="A172" s="1" t="s">
        <v>152</v>
      </c>
      <c r="B172" s="4">
        <v>10952.0909090909</v>
      </c>
      <c r="C172" s="1" t="s">
        <v>30</v>
      </c>
      <c r="D172" s="1" t="s">
        <v>713</v>
      </c>
      <c r="E172" s="1" t="s">
        <v>32</v>
      </c>
      <c r="F172" s="1" t="s">
        <v>18</v>
      </c>
      <c r="G172" s="4">
        <v>35854.3043478261</v>
      </c>
      <c r="H172" s="1" t="s">
        <v>26</v>
      </c>
      <c r="I172" s="4">
        <v>-93.3557312252965</v>
      </c>
      <c r="J172" s="2" t="s">
        <v>714</v>
      </c>
      <c r="K172" s="4">
        <f>IFERROR(__xludf.DUMMYFUNCTION("SPLIT(J172,""$"")"),37560.44)</f>
        <v>37560.44</v>
      </c>
      <c r="L172" s="2" t="s">
        <v>715</v>
      </c>
      <c r="M172" s="5">
        <f>IFERROR(__xludf.DUMMYFUNCTION("SPLIT(L172,""$"")"),5434.102)</f>
        <v>5434.102</v>
      </c>
      <c r="N172" s="2" t="s">
        <v>716</v>
      </c>
    </row>
    <row r="173">
      <c r="A173" s="1" t="s">
        <v>152</v>
      </c>
      <c r="B173" s="4">
        <v>10957.9693675889</v>
      </c>
      <c r="C173" s="1" t="s">
        <v>36</v>
      </c>
      <c r="D173" s="1" t="s">
        <v>717</v>
      </c>
      <c r="E173" s="1" t="s">
        <v>38</v>
      </c>
      <c r="F173" s="1" t="s">
        <v>18</v>
      </c>
      <c r="G173" s="4">
        <v>35854.3260869565</v>
      </c>
      <c r="H173" s="1" t="s">
        <v>26</v>
      </c>
      <c r="I173" s="4">
        <v>-94.2213438735178</v>
      </c>
      <c r="J173" s="2" t="s">
        <v>718</v>
      </c>
      <c r="K173" s="4">
        <f>IFERROR(__xludf.DUMMYFUNCTION("SPLIT(J173,""$"")"),13998.35)</f>
        <v>13998.35</v>
      </c>
      <c r="L173" s="2" t="s">
        <v>719</v>
      </c>
      <c r="M173" s="5">
        <f>IFERROR(__xludf.DUMMYFUNCTION("SPLIT(L173,""$"")"),5417.63)</f>
        <v>5417.63</v>
      </c>
      <c r="N173" s="2" t="s">
        <v>720</v>
      </c>
    </row>
    <row r="174">
      <c r="A174" s="1" t="s">
        <v>152</v>
      </c>
      <c r="B174" s="4">
        <v>10963.847826087</v>
      </c>
      <c r="C174" s="1" t="s">
        <v>42</v>
      </c>
      <c r="D174" s="1" t="s">
        <v>721</v>
      </c>
      <c r="E174" s="1" t="s">
        <v>44</v>
      </c>
      <c r="F174" s="1" t="s">
        <v>18</v>
      </c>
      <c r="G174" s="4">
        <v>35854.3478260869</v>
      </c>
      <c r="H174" s="1" t="s">
        <v>26</v>
      </c>
      <c r="I174" s="4">
        <v>-95.0869565217391</v>
      </c>
      <c r="J174" s="2" t="s">
        <v>722</v>
      </c>
      <c r="K174" s="4">
        <f>IFERROR(__xludf.DUMMYFUNCTION("SPLIT(J174,""$"")"),31633.34)</f>
        <v>31633.34</v>
      </c>
      <c r="L174" s="2" t="s">
        <v>723</v>
      </c>
      <c r="M174" s="5">
        <f>IFERROR(__xludf.DUMMYFUNCTION("SPLIT(L174,""$"")"),5658.4)</f>
        <v>5658.4</v>
      </c>
      <c r="N174" s="2" t="s">
        <v>724</v>
      </c>
    </row>
    <row r="175">
      <c r="A175" s="1" t="s">
        <v>152</v>
      </c>
      <c r="B175" s="4">
        <v>10969.726284585</v>
      </c>
      <c r="C175" s="1" t="s">
        <v>48</v>
      </c>
      <c r="D175" s="1" t="s">
        <v>725</v>
      </c>
      <c r="E175" s="1" t="s">
        <v>50</v>
      </c>
      <c r="F175" s="1" t="s">
        <v>18</v>
      </c>
      <c r="G175" s="4">
        <v>35854.3695652174</v>
      </c>
      <c r="H175" s="1" t="s">
        <v>51</v>
      </c>
      <c r="I175" s="4">
        <v>-95.9525691699605</v>
      </c>
      <c r="J175" s="2" t="s">
        <v>726</v>
      </c>
      <c r="K175" s="4">
        <f>IFERROR(__xludf.DUMMYFUNCTION("SPLIT(J175,""$"")"),16920.86)</f>
        <v>16920.86</v>
      </c>
      <c r="L175" s="2" t="s">
        <v>727</v>
      </c>
      <c r="M175" s="5">
        <f>IFERROR(__xludf.DUMMYFUNCTION("SPLIT(L175,""$"")"),6653.87)</f>
        <v>6653.87</v>
      </c>
      <c r="N175" s="2" t="s">
        <v>728</v>
      </c>
    </row>
    <row r="176">
      <c r="A176" s="1" t="s">
        <v>152</v>
      </c>
      <c r="B176" s="4">
        <v>10975.604743083</v>
      </c>
      <c r="C176" s="1" t="s">
        <v>55</v>
      </c>
      <c r="D176" s="1" t="s">
        <v>729</v>
      </c>
      <c r="E176" s="1" t="s">
        <v>57</v>
      </c>
      <c r="F176" s="1" t="s">
        <v>18</v>
      </c>
      <c r="G176" s="4">
        <v>35854.3913043478</v>
      </c>
      <c r="H176" s="1" t="s">
        <v>26</v>
      </c>
      <c r="I176" s="4">
        <v>-96.8181818181818</v>
      </c>
      <c r="J176" s="2" t="s">
        <v>730</v>
      </c>
      <c r="K176" s="4">
        <f>IFERROR(__xludf.DUMMYFUNCTION("SPLIT(J176,""$"")"),11977.2)</f>
        <v>11977.2</v>
      </c>
      <c r="L176" s="2" t="s">
        <v>731</v>
      </c>
      <c r="M176" s="5">
        <f>IFERROR(__xludf.DUMMYFUNCTION("SPLIT(L176,""$"")"),5834.81)</f>
        <v>5834.81</v>
      </c>
      <c r="N176" s="2" t="s">
        <v>732</v>
      </c>
    </row>
    <row r="177">
      <c r="A177" s="1" t="s">
        <v>152</v>
      </c>
      <c r="B177" s="4">
        <v>10981.483201581</v>
      </c>
      <c r="C177" s="1" t="s">
        <v>61</v>
      </c>
      <c r="D177" s="1" t="s">
        <v>733</v>
      </c>
      <c r="E177" s="1" t="s">
        <v>38</v>
      </c>
      <c r="F177" s="1" t="s">
        <v>18</v>
      </c>
      <c r="G177" s="4">
        <v>35854.4130434782</v>
      </c>
      <c r="H177" s="1" t="s">
        <v>26</v>
      </c>
      <c r="I177" s="4">
        <v>-97.6837944664032</v>
      </c>
      <c r="J177" s="2" t="s">
        <v>734</v>
      </c>
      <c r="K177" s="4">
        <f>IFERROR(__xludf.DUMMYFUNCTION("SPLIT(J177,""$"")"),35841.16)</f>
        <v>35841.16</v>
      </c>
      <c r="L177" s="2" t="s">
        <v>735</v>
      </c>
      <c r="M177" s="5">
        <f>IFERROR(__xludf.DUMMYFUNCTION("SPLIT(L177,""$"")"),8031.19)</f>
        <v>8031.19</v>
      </c>
      <c r="N177" s="2" t="s">
        <v>736</v>
      </c>
    </row>
    <row r="178">
      <c r="A178" s="1" t="s">
        <v>152</v>
      </c>
      <c r="B178" s="4">
        <v>10987.361660079</v>
      </c>
      <c r="C178" s="1" t="s">
        <v>66</v>
      </c>
      <c r="D178" s="1" t="s">
        <v>737</v>
      </c>
      <c r="E178" s="1" t="s">
        <v>68</v>
      </c>
      <c r="F178" s="1" t="s">
        <v>18</v>
      </c>
      <c r="G178" s="4">
        <v>35854.4347826087</v>
      </c>
      <c r="H178" s="1" t="s">
        <v>69</v>
      </c>
      <c r="I178" s="4">
        <v>-98.5494071146245</v>
      </c>
      <c r="J178" s="2" t="s">
        <v>738</v>
      </c>
      <c r="K178" s="4">
        <f>IFERROR(__xludf.DUMMYFUNCTION("SPLIT(J178,""$"")"),28523.46)</f>
        <v>28523.46</v>
      </c>
      <c r="L178" s="2" t="s">
        <v>739</v>
      </c>
      <c r="M178" s="5">
        <f>IFERROR(__xludf.DUMMYFUNCTION("SPLIT(L178,""$"")"),6113.45)</f>
        <v>6113.45</v>
      </c>
      <c r="N178" s="2" t="s">
        <v>740</v>
      </c>
    </row>
    <row r="179">
      <c r="A179" s="1" t="s">
        <v>152</v>
      </c>
      <c r="B179" s="4">
        <v>10993.2401185771</v>
      </c>
      <c r="C179" s="1" t="s">
        <v>73</v>
      </c>
      <c r="D179" s="1" t="s">
        <v>741</v>
      </c>
      <c r="E179" s="1" t="s">
        <v>75</v>
      </c>
      <c r="F179" s="1" t="s">
        <v>18</v>
      </c>
      <c r="G179" s="4">
        <v>35854.4565217391</v>
      </c>
      <c r="H179" s="1" t="s">
        <v>26</v>
      </c>
      <c r="I179" s="4">
        <v>-99.4150197628459</v>
      </c>
      <c r="J179" s="2" t="s">
        <v>742</v>
      </c>
      <c r="K179" s="4">
        <f>IFERROR(__xludf.DUMMYFUNCTION("SPLIT(J179,""$"")"),75233.45)</f>
        <v>75233.45</v>
      </c>
      <c r="L179" s="2" t="s">
        <v>743</v>
      </c>
      <c r="M179" s="5">
        <f>IFERROR(__xludf.DUMMYFUNCTION("SPLIT(L179,""$"")"),5541.12)</f>
        <v>5541.12</v>
      </c>
      <c r="N179" s="2" t="s">
        <v>744</v>
      </c>
    </row>
    <row r="180">
      <c r="A180" s="1" t="s">
        <v>152</v>
      </c>
      <c r="B180" s="4">
        <v>10999.1185770751</v>
      </c>
      <c r="C180" s="1" t="s">
        <v>79</v>
      </c>
      <c r="D180" s="1" t="s">
        <v>745</v>
      </c>
      <c r="E180" s="1" t="s">
        <v>75</v>
      </c>
      <c r="F180" s="1" t="s">
        <v>18</v>
      </c>
      <c r="G180" s="4">
        <v>35854.4782608695</v>
      </c>
      <c r="H180" s="1" t="s">
        <v>26</v>
      </c>
      <c r="I180" s="4">
        <v>-100.280632411067</v>
      </c>
      <c r="J180" s="2" t="s">
        <v>746</v>
      </c>
      <c r="K180" s="4">
        <f>IFERROR(__xludf.DUMMYFUNCTION("SPLIT(J180,""$"")"),67327.99)</f>
        <v>67327.99</v>
      </c>
      <c r="L180" s="2" t="s">
        <v>747</v>
      </c>
      <c r="M180" s="5">
        <f>IFERROR(__xludf.DUMMYFUNCTION("SPLIT(L180,""$"")"),5461.64)</f>
        <v>5461.64</v>
      </c>
      <c r="N180" s="2" t="s">
        <v>748</v>
      </c>
    </row>
    <row r="181">
      <c r="A181" s="1" t="s">
        <v>152</v>
      </c>
      <c r="B181" s="4">
        <v>11004.9970355731</v>
      </c>
      <c r="C181" s="1" t="s">
        <v>84</v>
      </c>
      <c r="D181" s="1" t="s">
        <v>749</v>
      </c>
      <c r="E181" s="1" t="s">
        <v>17</v>
      </c>
      <c r="F181" s="1" t="s">
        <v>18</v>
      </c>
      <c r="G181" s="4">
        <v>35854.5</v>
      </c>
      <c r="H181" s="1" t="s">
        <v>19</v>
      </c>
      <c r="I181" s="4">
        <v>-101.146245059289</v>
      </c>
      <c r="J181" s="2" t="s">
        <v>750</v>
      </c>
      <c r="K181" s="4">
        <f>IFERROR(__xludf.DUMMYFUNCTION("SPLIT(J181,""$"")"),39607.35)</f>
        <v>39607.35</v>
      </c>
      <c r="L181" s="2" t="s">
        <v>751</v>
      </c>
      <c r="M181" s="5">
        <f>IFERROR(__xludf.DUMMYFUNCTION("SPLIT(L181,""$"")"),5356.35)</f>
        <v>5356.35</v>
      </c>
      <c r="N181" s="2" t="s">
        <v>752</v>
      </c>
    </row>
    <row r="182">
      <c r="A182" s="1" t="s">
        <v>152</v>
      </c>
      <c r="B182" s="4">
        <v>11010.8754940711</v>
      </c>
      <c r="C182" s="1" t="s">
        <v>89</v>
      </c>
      <c r="D182" s="1" t="s">
        <v>753</v>
      </c>
      <c r="E182" s="1" t="s">
        <v>38</v>
      </c>
      <c r="F182" s="1" t="s">
        <v>18</v>
      </c>
      <c r="G182" s="4">
        <v>35854.5217391304</v>
      </c>
      <c r="H182" s="1" t="s">
        <v>26</v>
      </c>
      <c r="I182" s="4">
        <v>-102.01185770751</v>
      </c>
      <c r="J182" s="2" t="s">
        <v>754</v>
      </c>
      <c r="K182" s="4">
        <f>IFERROR(__xludf.DUMMYFUNCTION("SPLIT(J182,""$"")"),22862.3)</f>
        <v>22862.3</v>
      </c>
      <c r="L182" s="2" t="s">
        <v>755</v>
      </c>
      <c r="M182" s="5">
        <f>IFERROR(__xludf.DUMMYFUNCTION("SPLIT(L182,""$"")"),5374.72)</f>
        <v>5374.72</v>
      </c>
      <c r="N182" s="2" t="s">
        <v>756</v>
      </c>
    </row>
    <row r="183">
      <c r="A183" s="1" t="s">
        <v>152</v>
      </c>
      <c r="B183" s="4">
        <v>11016.7539525692</v>
      </c>
      <c r="C183" s="1" t="s">
        <v>94</v>
      </c>
      <c r="D183" s="1" t="s">
        <v>757</v>
      </c>
      <c r="E183" s="1" t="s">
        <v>96</v>
      </c>
      <c r="F183" s="1" t="s">
        <v>18</v>
      </c>
      <c r="G183" s="4">
        <v>35854.5434782609</v>
      </c>
      <c r="H183" s="1" t="s">
        <v>26</v>
      </c>
      <c r="I183" s="4">
        <v>-102.877470355731</v>
      </c>
      <c r="J183" s="2" t="s">
        <v>758</v>
      </c>
      <c r="K183" s="4">
        <f>IFERROR(__xludf.DUMMYFUNCTION("SPLIT(J183,""$"")"),31110.92)</f>
        <v>31110.92</v>
      </c>
      <c r="L183" s="2" t="s">
        <v>759</v>
      </c>
      <c r="M183" s="5">
        <f>IFERROR(__xludf.DUMMYFUNCTION("SPLIT(L183,""$"")"),5366.3)</f>
        <v>5366.3</v>
      </c>
      <c r="N183" s="2" t="s">
        <v>760</v>
      </c>
    </row>
    <row r="184">
      <c r="A184" s="1" t="s">
        <v>152</v>
      </c>
      <c r="B184" s="4">
        <v>11022.6324110672</v>
      </c>
      <c r="C184" s="1" t="s">
        <v>100</v>
      </c>
      <c r="D184" s="1" t="s">
        <v>761</v>
      </c>
      <c r="E184" s="1" t="s">
        <v>102</v>
      </c>
      <c r="F184" s="1" t="s">
        <v>18</v>
      </c>
      <c r="G184" s="4">
        <v>35854.5652173913</v>
      </c>
      <c r="H184" s="1" t="s">
        <v>103</v>
      </c>
      <c r="I184" s="4">
        <v>-103.743083003953</v>
      </c>
      <c r="J184" s="2" t="s">
        <v>762</v>
      </c>
      <c r="K184" s="4">
        <f>IFERROR(__xludf.DUMMYFUNCTION("SPLIT(J184,""$"")"),25411.4)</f>
        <v>25411.4</v>
      </c>
      <c r="L184" s="2" t="s">
        <v>763</v>
      </c>
      <c r="M184" s="5">
        <f>IFERROR(__xludf.DUMMYFUNCTION("SPLIT(L184,""$"")"),5282.1)</f>
        <v>5282.1</v>
      </c>
      <c r="N184" s="2" t="s">
        <v>764</v>
      </c>
    </row>
    <row r="185">
      <c r="A185" s="1" t="s">
        <v>152</v>
      </c>
      <c r="B185" s="4">
        <v>11028.5108695652</v>
      </c>
      <c r="C185" s="1" t="s">
        <v>107</v>
      </c>
      <c r="D185" s="1" t="s">
        <v>765</v>
      </c>
      <c r="E185" s="1" t="s">
        <v>109</v>
      </c>
      <c r="F185" s="1" t="s">
        <v>18</v>
      </c>
      <c r="G185" s="4">
        <v>35854.5869565217</v>
      </c>
      <c r="H185" s="1" t="s">
        <v>69</v>
      </c>
      <c r="I185" s="4">
        <v>-104.608695652174</v>
      </c>
      <c r="J185" s="2" t="s">
        <v>766</v>
      </c>
      <c r="K185" s="4">
        <f>IFERROR(__xludf.DUMMYFUNCTION("SPLIT(J185,""$"")"),9234.58)</f>
        <v>9234.58</v>
      </c>
      <c r="L185" s="2" t="s">
        <v>767</v>
      </c>
      <c r="M185" s="5">
        <f>IFERROR(__xludf.DUMMYFUNCTION("SPLIT(L185,""$"")"),5676.62)</f>
        <v>5676.62</v>
      </c>
      <c r="N185" s="2" t="s">
        <v>768</v>
      </c>
    </row>
    <row r="186">
      <c r="A186" s="1" t="s">
        <v>152</v>
      </c>
      <c r="B186" s="4">
        <v>11034.3893280632</v>
      </c>
      <c r="C186" s="1" t="s">
        <v>113</v>
      </c>
      <c r="D186" s="1" t="s">
        <v>769</v>
      </c>
      <c r="E186" s="1" t="s">
        <v>115</v>
      </c>
      <c r="F186" s="1" t="s">
        <v>18</v>
      </c>
      <c r="G186" s="4">
        <v>35854.6086956522</v>
      </c>
      <c r="H186" s="1" t="s">
        <v>103</v>
      </c>
      <c r="I186" s="4">
        <v>-105.474308300395</v>
      </c>
      <c r="J186" s="2" t="s">
        <v>770</v>
      </c>
      <c r="K186" s="4">
        <f>IFERROR(__xludf.DUMMYFUNCTION("SPLIT(J186,""$"")"),15895.92)</f>
        <v>15895.92</v>
      </c>
      <c r="L186" s="2" t="s">
        <v>771</v>
      </c>
      <c r="M186" s="5">
        <f>IFERROR(__xludf.DUMMYFUNCTION("SPLIT(L186,""$"")"),5930.18)</f>
        <v>5930.18</v>
      </c>
      <c r="N186" s="2" t="s">
        <v>772</v>
      </c>
    </row>
    <row r="187">
      <c r="A187" s="1" t="s">
        <v>152</v>
      </c>
      <c r="B187" s="4">
        <v>11040.2677865613</v>
      </c>
      <c r="C187" s="1" t="s">
        <v>119</v>
      </c>
      <c r="D187" s="1" t="s">
        <v>773</v>
      </c>
      <c r="E187" s="1" t="s">
        <v>121</v>
      </c>
      <c r="F187" s="1" t="s">
        <v>18</v>
      </c>
      <c r="G187" s="4">
        <v>35854.6304347826</v>
      </c>
      <c r="H187" s="1" t="s">
        <v>122</v>
      </c>
      <c r="I187" s="4">
        <v>-106.339920948617</v>
      </c>
      <c r="J187" s="2" t="s">
        <v>774</v>
      </c>
      <c r="K187" s="4">
        <f>IFERROR(__xludf.DUMMYFUNCTION("SPLIT(J187,""$"")"),19721.23)</f>
        <v>19721.23</v>
      </c>
      <c r="L187" s="2" t="s">
        <v>775</v>
      </c>
      <c r="M187" s="5">
        <f>IFERROR(__xludf.DUMMYFUNCTION("SPLIT(L187,""$"")"),6192.61)</f>
        <v>6192.61</v>
      </c>
      <c r="N187" s="2" t="s">
        <v>776</v>
      </c>
    </row>
    <row r="188">
      <c r="A188" s="1" t="s">
        <v>152</v>
      </c>
      <c r="B188" s="4">
        <v>11046.1462450593</v>
      </c>
      <c r="C188" s="1" t="s">
        <v>126</v>
      </c>
      <c r="D188" s="1" t="s">
        <v>777</v>
      </c>
      <c r="E188" s="1" t="s">
        <v>128</v>
      </c>
      <c r="F188" s="1" t="s">
        <v>18</v>
      </c>
      <c r="G188" s="4">
        <v>35854.652173913</v>
      </c>
      <c r="H188" s="1" t="s">
        <v>103</v>
      </c>
      <c r="I188" s="4">
        <v>-107.205533596838</v>
      </c>
      <c r="J188" s="2" t="s">
        <v>778</v>
      </c>
      <c r="K188" s="4">
        <f>IFERROR(__xludf.DUMMYFUNCTION("SPLIT(J188,""$"")"),10710.95)</f>
        <v>10710.95</v>
      </c>
      <c r="L188" s="2" t="s">
        <v>779</v>
      </c>
      <c r="M188" s="5">
        <f>IFERROR(__xludf.DUMMYFUNCTION("SPLIT(L188,""$"")"),4968.07)</f>
        <v>4968.07</v>
      </c>
      <c r="N188" s="2" t="s">
        <v>780</v>
      </c>
    </row>
    <row r="189">
      <c r="A189" s="1" t="s">
        <v>152</v>
      </c>
      <c r="B189" s="4">
        <v>11052.0247035573</v>
      </c>
      <c r="C189" s="1" t="s">
        <v>132</v>
      </c>
      <c r="D189" s="1" t="s">
        <v>781</v>
      </c>
      <c r="E189" s="1" t="s">
        <v>38</v>
      </c>
      <c r="F189" s="1" t="s">
        <v>18</v>
      </c>
      <c r="G189" s="4">
        <v>35854.6739130435</v>
      </c>
      <c r="H189" s="1" t="s">
        <v>26</v>
      </c>
      <c r="I189" s="4">
        <v>-108.071146245059</v>
      </c>
      <c r="J189" s="2" t="s">
        <v>782</v>
      </c>
      <c r="K189" s="4">
        <f>IFERROR(__xludf.DUMMYFUNCTION("SPLIT(J189,""$"")"),51343.82)</f>
        <v>51343.82</v>
      </c>
      <c r="L189" s="2" t="s">
        <v>783</v>
      </c>
      <c r="M189" s="5">
        <f>IFERROR(__xludf.DUMMYFUNCTION("SPLIT(L189,""$"")"),5996.07)</f>
        <v>5996.07</v>
      </c>
      <c r="N189" s="2" t="s">
        <v>784</v>
      </c>
    </row>
    <row r="190">
      <c r="A190" s="1" t="s">
        <v>152</v>
      </c>
      <c r="B190" s="4">
        <v>11057.9031620553</v>
      </c>
      <c r="C190" s="1" t="s">
        <v>137</v>
      </c>
      <c r="D190" s="1" t="s">
        <v>785</v>
      </c>
      <c r="E190" s="1" t="s">
        <v>38</v>
      </c>
      <c r="F190" s="1" t="s">
        <v>18</v>
      </c>
      <c r="G190" s="4">
        <v>35854.6956521739</v>
      </c>
      <c r="H190" s="1" t="s">
        <v>26</v>
      </c>
      <c r="I190" s="4">
        <v>-108.936758893281</v>
      </c>
      <c r="J190" s="2" t="s">
        <v>786</v>
      </c>
      <c r="K190" s="4">
        <f>IFERROR(__xludf.DUMMYFUNCTION("SPLIT(J190,""$"")"),55219.38)</f>
        <v>55219.38</v>
      </c>
      <c r="L190" s="2" t="s">
        <v>787</v>
      </c>
      <c r="M190" s="5">
        <f>IFERROR(__xludf.DUMMYFUNCTION("SPLIT(L190,""$"")"),5710.38)</f>
        <v>5710.38</v>
      </c>
      <c r="N190" s="2" t="s">
        <v>788</v>
      </c>
    </row>
    <row r="191">
      <c r="A191" s="1" t="s">
        <v>152</v>
      </c>
      <c r="B191" s="4">
        <v>11063.7816205534</v>
      </c>
      <c r="C191" s="1" t="s">
        <v>142</v>
      </c>
      <c r="D191" s="1" t="s">
        <v>789</v>
      </c>
      <c r="E191" s="1" t="s">
        <v>115</v>
      </c>
      <c r="F191" s="1" t="s">
        <v>18</v>
      </c>
      <c r="G191" s="4">
        <v>35854.7173913043</v>
      </c>
      <c r="H191" s="1" t="s">
        <v>103</v>
      </c>
      <c r="I191" s="4">
        <v>-109.802371541502</v>
      </c>
      <c r="J191" s="2" t="s">
        <v>790</v>
      </c>
      <c r="K191" s="4">
        <f>IFERROR(__xludf.DUMMYFUNCTION("SPLIT(J191,""$"")"),14948.22)</f>
        <v>14948.22</v>
      </c>
      <c r="L191" s="2" t="s">
        <v>791</v>
      </c>
      <c r="M191" s="5">
        <f>IFERROR(__xludf.DUMMYFUNCTION("SPLIT(L191,""$"")"),5550.97)</f>
        <v>5550.97</v>
      </c>
      <c r="N191" s="2" t="s">
        <v>792</v>
      </c>
    </row>
    <row r="192">
      <c r="A192" s="1" t="s">
        <v>152</v>
      </c>
      <c r="B192" s="4">
        <v>11069.6600790514</v>
      </c>
      <c r="C192" s="1" t="s">
        <v>147</v>
      </c>
      <c r="D192" s="1" t="s">
        <v>793</v>
      </c>
      <c r="E192" s="1" t="s">
        <v>38</v>
      </c>
      <c r="F192" s="1" t="s">
        <v>18</v>
      </c>
      <c r="G192" s="4">
        <v>35854.7391304348</v>
      </c>
      <c r="H192" s="1" t="s">
        <v>26</v>
      </c>
      <c r="I192" s="4">
        <v>-110.667984189723</v>
      </c>
      <c r="J192" s="2" t="s">
        <v>794</v>
      </c>
      <c r="K192" s="4">
        <f>IFERROR(__xludf.DUMMYFUNCTION("SPLIT(J192,""$"")"),73846.28)</f>
        <v>73846.28</v>
      </c>
      <c r="L192" s="2" t="s">
        <v>795</v>
      </c>
      <c r="M192" s="5">
        <f>IFERROR(__xludf.DUMMYFUNCTION("SPLIT(L192,""$"")"),4987.33)</f>
        <v>4987.33</v>
      </c>
      <c r="N192" s="2" t="s">
        <v>796</v>
      </c>
    </row>
    <row r="193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7</v>
      </c>
      <c r="I193" s="1" t="s">
        <v>8</v>
      </c>
      <c r="J193" s="2" t="s">
        <v>9</v>
      </c>
      <c r="K193" s="1" t="s">
        <v>10</v>
      </c>
      <c r="L193" s="2" t="s">
        <v>11</v>
      </c>
      <c r="M193" s="3" t="s">
        <v>12</v>
      </c>
      <c r="N193" s="2" t="s">
        <v>13</v>
      </c>
    </row>
    <row r="194">
      <c r="A194" s="1" t="s">
        <v>152</v>
      </c>
      <c r="B194" s="4">
        <v>11075.5385375494</v>
      </c>
      <c r="C194" s="1" t="s">
        <v>15</v>
      </c>
      <c r="D194" s="1" t="s">
        <v>797</v>
      </c>
      <c r="E194" s="1" t="s">
        <v>17</v>
      </c>
      <c r="F194" s="1" t="s">
        <v>18</v>
      </c>
      <c r="G194" s="4">
        <v>35854.7608695652</v>
      </c>
      <c r="H194" s="1" t="s">
        <v>19</v>
      </c>
      <c r="I194" s="4">
        <v>-111.533596837945</v>
      </c>
      <c r="J194" s="2" t="s">
        <v>798</v>
      </c>
      <c r="K194" s="4">
        <f>IFERROR(__xludf.DUMMYFUNCTION("SPLIT(J194,""$"")"),32963.15)</f>
        <v>32963.15</v>
      </c>
      <c r="L194" s="2" t="s">
        <v>799</v>
      </c>
      <c r="M194" s="5">
        <f>IFERROR(__xludf.DUMMYFUNCTION("SPLIT(L194,""$"")"),5777.32)</f>
        <v>5777.32</v>
      </c>
      <c r="N194" s="2" t="s">
        <v>800</v>
      </c>
    </row>
    <row r="195">
      <c r="A195" s="1" t="s">
        <v>152</v>
      </c>
      <c r="B195" s="4">
        <v>11081.4169960474</v>
      </c>
      <c r="C195" s="1" t="s">
        <v>23</v>
      </c>
      <c r="D195" s="1" t="s">
        <v>801</v>
      </c>
      <c r="E195" s="1" t="s">
        <v>25</v>
      </c>
      <c r="F195" s="1" t="s">
        <v>18</v>
      </c>
      <c r="G195" s="4">
        <v>35854.7826086956</v>
      </c>
      <c r="H195" s="1" t="s">
        <v>26</v>
      </c>
      <c r="I195" s="4">
        <v>-112.399209486166</v>
      </c>
      <c r="J195" s="2" t="s">
        <v>802</v>
      </c>
      <c r="K195" s="4">
        <f>IFERROR(__xludf.DUMMYFUNCTION("SPLIT(J195,""$"")"),15131.93)</f>
        <v>15131.93</v>
      </c>
      <c r="L195" s="2" t="s">
        <v>803</v>
      </c>
      <c r="M195" s="5">
        <f>IFERROR(__xludf.DUMMYFUNCTION("SPLIT(L195,""$"")"),5787.65)</f>
        <v>5787.65</v>
      </c>
      <c r="N195" s="2" t="s">
        <v>804</v>
      </c>
    </row>
    <row r="196">
      <c r="A196" s="1" t="s">
        <v>152</v>
      </c>
      <c r="B196" s="4">
        <v>11087.2954545455</v>
      </c>
      <c r="C196" s="1" t="s">
        <v>30</v>
      </c>
      <c r="D196" s="1" t="s">
        <v>805</v>
      </c>
      <c r="E196" s="1" t="s">
        <v>32</v>
      </c>
      <c r="F196" s="1" t="s">
        <v>18</v>
      </c>
      <c r="G196" s="4">
        <v>35854.8043478261</v>
      </c>
      <c r="H196" s="1" t="s">
        <v>26</v>
      </c>
      <c r="I196" s="4">
        <v>-113.264822134387</v>
      </c>
      <c r="J196" s="2" t="s">
        <v>806</v>
      </c>
      <c r="K196" s="4">
        <f>IFERROR(__xludf.DUMMYFUNCTION("SPLIT(J196,""$"")"),37560.45)</f>
        <v>37560.45</v>
      </c>
      <c r="L196" s="2" t="s">
        <v>807</v>
      </c>
      <c r="M196" s="5">
        <f>IFERROR(__xludf.DUMMYFUNCTION("SPLIT(L196,""$"")"),5434.103)</f>
        <v>5434.103</v>
      </c>
      <c r="N196" s="2" t="s">
        <v>808</v>
      </c>
    </row>
    <row r="197">
      <c r="A197" s="1" t="s">
        <v>152</v>
      </c>
      <c r="B197" s="4">
        <v>11093.1739130435</v>
      </c>
      <c r="C197" s="1" t="s">
        <v>36</v>
      </c>
      <c r="D197" s="1" t="s">
        <v>809</v>
      </c>
      <c r="E197" s="1" t="s">
        <v>38</v>
      </c>
      <c r="F197" s="1" t="s">
        <v>18</v>
      </c>
      <c r="G197" s="4">
        <v>35854.8260869565</v>
      </c>
      <c r="H197" s="1" t="s">
        <v>26</v>
      </c>
      <c r="I197" s="4">
        <v>-114.130434782609</v>
      </c>
      <c r="J197" s="2" t="s">
        <v>810</v>
      </c>
      <c r="K197" s="4">
        <f>IFERROR(__xludf.DUMMYFUNCTION("SPLIT(J197,""$"")"),13998.36)</f>
        <v>13998.36</v>
      </c>
      <c r="L197" s="2" t="s">
        <v>811</v>
      </c>
      <c r="M197" s="5">
        <f>IFERROR(__xludf.DUMMYFUNCTION("SPLIT(L197,""$"")"),5417.64)</f>
        <v>5417.64</v>
      </c>
      <c r="N197" s="2" t="s">
        <v>812</v>
      </c>
    </row>
    <row r="198">
      <c r="A198" s="1" t="s">
        <v>152</v>
      </c>
      <c r="B198" s="4">
        <v>11099.0523715415</v>
      </c>
      <c r="C198" s="1" t="s">
        <v>42</v>
      </c>
      <c r="D198" s="1" t="s">
        <v>813</v>
      </c>
      <c r="E198" s="1" t="s">
        <v>44</v>
      </c>
      <c r="F198" s="1" t="s">
        <v>18</v>
      </c>
      <c r="G198" s="4">
        <v>35854.8478260869</v>
      </c>
      <c r="H198" s="1" t="s">
        <v>26</v>
      </c>
      <c r="I198" s="4">
        <v>-114.99604743083</v>
      </c>
      <c r="J198" s="2" t="s">
        <v>814</v>
      </c>
      <c r="K198" s="4">
        <f>IFERROR(__xludf.DUMMYFUNCTION("SPLIT(J198,""$"")"),31633.35)</f>
        <v>31633.35</v>
      </c>
      <c r="L198" s="2" t="s">
        <v>815</v>
      </c>
      <c r="M198" s="5">
        <f>IFERROR(__xludf.DUMMYFUNCTION("SPLIT(L198,""$"")"),5658.41)</f>
        <v>5658.41</v>
      </c>
      <c r="N198" s="2" t="s">
        <v>816</v>
      </c>
    </row>
    <row r="199">
      <c r="A199" s="1" t="s">
        <v>152</v>
      </c>
      <c r="B199" s="4">
        <v>11104.9308300395</v>
      </c>
      <c r="C199" s="1" t="s">
        <v>48</v>
      </c>
      <c r="D199" s="1" t="s">
        <v>817</v>
      </c>
      <c r="E199" s="1" t="s">
        <v>50</v>
      </c>
      <c r="F199" s="1" t="s">
        <v>18</v>
      </c>
      <c r="G199" s="4">
        <v>35854.8695652174</v>
      </c>
      <c r="H199" s="1" t="s">
        <v>51</v>
      </c>
      <c r="I199" s="4">
        <v>-115.861660079051</v>
      </c>
      <c r="J199" s="2" t="s">
        <v>818</v>
      </c>
      <c r="K199" s="4">
        <f>IFERROR(__xludf.DUMMYFUNCTION("SPLIT(J199,""$"")"),16920.87)</f>
        <v>16920.87</v>
      </c>
      <c r="L199" s="2" t="s">
        <v>819</v>
      </c>
      <c r="M199" s="5">
        <f>IFERROR(__xludf.DUMMYFUNCTION("SPLIT(L199,""$"")"),6653.88)</f>
        <v>6653.88</v>
      </c>
      <c r="N199" s="2" t="s">
        <v>820</v>
      </c>
    </row>
    <row r="200">
      <c r="A200" s="1" t="s">
        <v>152</v>
      </c>
      <c r="B200" s="4">
        <v>11110.8092885375</v>
      </c>
      <c r="C200" s="1" t="s">
        <v>55</v>
      </c>
      <c r="D200" s="1" t="s">
        <v>821</v>
      </c>
      <c r="E200" s="1" t="s">
        <v>57</v>
      </c>
      <c r="F200" s="1" t="s">
        <v>18</v>
      </c>
      <c r="G200" s="4">
        <v>35854.8913043478</v>
      </c>
      <c r="H200" s="1" t="s">
        <v>26</v>
      </c>
      <c r="I200" s="4">
        <v>-116.727272727273</v>
      </c>
      <c r="J200" s="2" t="s">
        <v>822</v>
      </c>
      <c r="K200" s="4">
        <f>IFERROR(__xludf.DUMMYFUNCTION("SPLIT(J200,""$"")"),11977.21)</f>
        <v>11977.21</v>
      </c>
      <c r="L200" s="2" t="s">
        <v>823</v>
      </c>
      <c r="M200" s="5">
        <f>IFERROR(__xludf.DUMMYFUNCTION("SPLIT(L200,""$"")"),5834.82)</f>
        <v>5834.82</v>
      </c>
      <c r="N200" s="2" t="s">
        <v>824</v>
      </c>
    </row>
    <row r="201">
      <c r="A201" s="1" t="s">
        <v>152</v>
      </c>
      <c r="B201" s="4">
        <v>11116.6877470356</v>
      </c>
      <c r="C201" s="1" t="s">
        <v>61</v>
      </c>
      <c r="D201" s="1" t="s">
        <v>825</v>
      </c>
      <c r="E201" s="1" t="s">
        <v>38</v>
      </c>
      <c r="F201" s="1" t="s">
        <v>18</v>
      </c>
      <c r="G201" s="4">
        <v>35854.9130434782</v>
      </c>
      <c r="H201" s="1" t="s">
        <v>26</v>
      </c>
      <c r="I201" s="4">
        <v>-117.592885375494</v>
      </c>
      <c r="J201" s="2" t="s">
        <v>826</v>
      </c>
      <c r="K201" s="4">
        <f>IFERROR(__xludf.DUMMYFUNCTION("SPLIT(J201,""$"")"),35841.17)</f>
        <v>35841.17</v>
      </c>
      <c r="L201" s="2" t="s">
        <v>827</v>
      </c>
      <c r="M201" s="5">
        <f>IFERROR(__xludf.DUMMYFUNCTION("SPLIT(L201,""$"")"),8031.2)</f>
        <v>8031.2</v>
      </c>
      <c r="N201" s="2" t="s">
        <v>828</v>
      </c>
    </row>
    <row r="202">
      <c r="A202" s="1" t="s">
        <v>152</v>
      </c>
      <c r="B202" s="4">
        <v>11122.5662055336</v>
      </c>
      <c r="C202" s="1" t="s">
        <v>66</v>
      </c>
      <c r="D202" s="1" t="s">
        <v>829</v>
      </c>
      <c r="E202" s="1" t="s">
        <v>68</v>
      </c>
      <c r="F202" s="1" t="s">
        <v>18</v>
      </c>
      <c r="G202" s="4">
        <v>35854.9347826087</v>
      </c>
      <c r="H202" s="1" t="s">
        <v>69</v>
      </c>
      <c r="I202" s="4">
        <v>-118.458498023715</v>
      </c>
      <c r="J202" s="2" t="s">
        <v>830</v>
      </c>
      <c r="K202" s="4">
        <f>IFERROR(__xludf.DUMMYFUNCTION("SPLIT(J202,""$"")"),28523.47)</f>
        <v>28523.47</v>
      </c>
      <c r="L202" s="2" t="s">
        <v>831</v>
      </c>
      <c r="M202" s="5">
        <f>IFERROR(__xludf.DUMMYFUNCTION("SPLIT(L202,""$"")"),6113.46)</f>
        <v>6113.46</v>
      </c>
      <c r="N202" s="2" t="s">
        <v>832</v>
      </c>
    </row>
    <row r="203">
      <c r="A203" s="1" t="s">
        <v>152</v>
      </c>
      <c r="B203" s="4">
        <v>11128.4446640316</v>
      </c>
      <c r="C203" s="1" t="s">
        <v>73</v>
      </c>
      <c r="D203" s="1" t="s">
        <v>833</v>
      </c>
      <c r="E203" s="1" t="s">
        <v>75</v>
      </c>
      <c r="F203" s="1" t="s">
        <v>18</v>
      </c>
      <c r="G203" s="4">
        <v>35854.9565217391</v>
      </c>
      <c r="H203" s="1" t="s">
        <v>26</v>
      </c>
      <c r="I203" s="4">
        <v>-119.324110671937</v>
      </c>
      <c r="J203" s="2" t="s">
        <v>834</v>
      </c>
      <c r="K203" s="4">
        <f>IFERROR(__xludf.DUMMYFUNCTION("SPLIT(J203,""$"")"),75233.46)</f>
        <v>75233.46</v>
      </c>
      <c r="L203" s="2" t="s">
        <v>835</v>
      </c>
      <c r="M203" s="5">
        <f>IFERROR(__xludf.DUMMYFUNCTION("SPLIT(L203,""$"")"),5541.13)</f>
        <v>5541.13</v>
      </c>
      <c r="N203" s="2" t="s">
        <v>836</v>
      </c>
    </row>
    <row r="204">
      <c r="A204" s="1" t="s">
        <v>152</v>
      </c>
      <c r="B204" s="4">
        <v>11134.3231225296</v>
      </c>
      <c r="C204" s="1" t="s">
        <v>79</v>
      </c>
      <c r="D204" s="1" t="s">
        <v>837</v>
      </c>
      <c r="E204" s="1" t="s">
        <v>75</v>
      </c>
      <c r="F204" s="1" t="s">
        <v>18</v>
      </c>
      <c r="G204" s="4">
        <v>35854.9782608695</v>
      </c>
      <c r="H204" s="1" t="s">
        <v>26</v>
      </c>
      <c r="I204" s="4">
        <v>-120.189723320158</v>
      </c>
      <c r="J204" s="2" t="s">
        <v>838</v>
      </c>
      <c r="K204" s="4">
        <f>IFERROR(__xludf.DUMMYFUNCTION("SPLIT(J204,""$"")"),67327.1)</f>
        <v>67327.1</v>
      </c>
      <c r="L204" s="2" t="s">
        <v>839</v>
      </c>
      <c r="M204" s="5">
        <f>IFERROR(__xludf.DUMMYFUNCTION("SPLIT(L204,""$"")"),5461.65)</f>
        <v>5461.65</v>
      </c>
      <c r="N204" s="2" t="s">
        <v>840</v>
      </c>
    </row>
    <row r="205">
      <c r="A205" s="1" t="s">
        <v>152</v>
      </c>
      <c r="B205" s="4">
        <v>11140.2015810277</v>
      </c>
      <c r="C205" s="1" t="s">
        <v>84</v>
      </c>
      <c r="D205" s="1" t="s">
        <v>841</v>
      </c>
      <c r="E205" s="1" t="s">
        <v>17</v>
      </c>
      <c r="F205" s="1" t="s">
        <v>18</v>
      </c>
      <c r="G205" s="4">
        <v>35855.0</v>
      </c>
      <c r="H205" s="1" t="s">
        <v>19</v>
      </c>
      <c r="I205" s="4">
        <v>-121.055335968379</v>
      </c>
      <c r="J205" s="2" t="s">
        <v>842</v>
      </c>
      <c r="K205" s="4">
        <f>IFERROR(__xludf.DUMMYFUNCTION("SPLIT(J205,""$"")"),39607.36)</f>
        <v>39607.36</v>
      </c>
      <c r="L205" s="2" t="s">
        <v>843</v>
      </c>
      <c r="M205" s="5">
        <f>IFERROR(__xludf.DUMMYFUNCTION("SPLIT(L205,""$"")"),5356.36)</f>
        <v>5356.36</v>
      </c>
      <c r="N205" s="2" t="s">
        <v>844</v>
      </c>
    </row>
    <row r="206">
      <c r="A206" s="1" t="s">
        <v>152</v>
      </c>
      <c r="B206" s="4">
        <v>11146.0800395257</v>
      </c>
      <c r="C206" s="1" t="s">
        <v>89</v>
      </c>
      <c r="D206" s="1" t="s">
        <v>845</v>
      </c>
      <c r="E206" s="1" t="s">
        <v>38</v>
      </c>
      <c r="F206" s="1" t="s">
        <v>18</v>
      </c>
      <c r="G206" s="4">
        <v>35855.0217391304</v>
      </c>
      <c r="H206" s="1" t="s">
        <v>26</v>
      </c>
      <c r="I206" s="4">
        <v>-121.920948616601</v>
      </c>
      <c r="J206" s="2" t="s">
        <v>846</v>
      </c>
      <c r="K206" s="4">
        <f>IFERROR(__xludf.DUMMYFUNCTION("SPLIT(J206,""$"")"),22862.31)</f>
        <v>22862.31</v>
      </c>
      <c r="L206" s="2" t="s">
        <v>847</v>
      </c>
      <c r="M206" s="5">
        <f>IFERROR(__xludf.DUMMYFUNCTION("SPLIT(L206,""$"")"),5374.73)</f>
        <v>5374.73</v>
      </c>
      <c r="N206" s="2" t="s">
        <v>848</v>
      </c>
    </row>
    <row r="207">
      <c r="A207" s="1" t="s">
        <v>152</v>
      </c>
      <c r="B207" s="4">
        <v>11151.9584980237</v>
      </c>
      <c r="C207" s="1" t="s">
        <v>94</v>
      </c>
      <c r="D207" s="1" t="s">
        <v>849</v>
      </c>
      <c r="E207" s="1" t="s">
        <v>96</v>
      </c>
      <c r="F207" s="1" t="s">
        <v>18</v>
      </c>
      <c r="G207" s="4">
        <v>35855.0434782609</v>
      </c>
      <c r="H207" s="1" t="s">
        <v>26</v>
      </c>
      <c r="I207" s="4">
        <v>-122.786561264822</v>
      </c>
      <c r="J207" s="2" t="s">
        <v>850</v>
      </c>
      <c r="K207" s="4">
        <f>IFERROR(__xludf.DUMMYFUNCTION("SPLIT(J207,""$"")"),31110.93)</f>
        <v>31110.93</v>
      </c>
      <c r="L207" s="2" t="s">
        <v>851</v>
      </c>
      <c r="M207" s="5">
        <f>IFERROR(__xludf.DUMMYFUNCTION("SPLIT(L207,""$"")"),5366.31)</f>
        <v>5366.31</v>
      </c>
      <c r="N207" s="2" t="s">
        <v>852</v>
      </c>
    </row>
    <row r="208">
      <c r="A208" s="1" t="s">
        <v>152</v>
      </c>
      <c r="B208" s="4">
        <v>11157.8369565217</v>
      </c>
      <c r="C208" s="1" t="s">
        <v>100</v>
      </c>
      <c r="D208" s="1" t="s">
        <v>853</v>
      </c>
      <c r="E208" s="1" t="s">
        <v>102</v>
      </c>
      <c r="F208" s="1" t="s">
        <v>18</v>
      </c>
      <c r="G208" s="4">
        <v>35855.0652173913</v>
      </c>
      <c r="H208" s="1" t="s">
        <v>103</v>
      </c>
      <c r="I208" s="4">
        <v>-123.652173913044</v>
      </c>
      <c r="J208" s="2" t="s">
        <v>854</v>
      </c>
      <c r="K208" s="4">
        <f>IFERROR(__xludf.DUMMYFUNCTION("SPLIT(J208,""$"")"),25411.41)</f>
        <v>25411.41</v>
      </c>
      <c r="L208" s="2" t="s">
        <v>855</v>
      </c>
      <c r="M208" s="5">
        <f>IFERROR(__xludf.DUMMYFUNCTION("SPLIT(L208,""$"")"),5282.101)</f>
        <v>5282.101</v>
      </c>
      <c r="N208" s="2" t="s">
        <v>856</v>
      </c>
    </row>
    <row r="209">
      <c r="A209" s="1" t="s">
        <v>152</v>
      </c>
      <c r="B209" s="4">
        <v>11163.7154150198</v>
      </c>
      <c r="C209" s="1" t="s">
        <v>107</v>
      </c>
      <c r="D209" s="1" t="s">
        <v>857</v>
      </c>
      <c r="E209" s="1" t="s">
        <v>109</v>
      </c>
      <c r="F209" s="1" t="s">
        <v>18</v>
      </c>
      <c r="G209" s="4">
        <v>35855.0869565217</v>
      </c>
      <c r="H209" s="1" t="s">
        <v>69</v>
      </c>
      <c r="I209" s="4">
        <v>-124.517786561265</v>
      </c>
      <c r="J209" s="2" t="s">
        <v>858</v>
      </c>
      <c r="K209" s="4">
        <f>IFERROR(__xludf.DUMMYFUNCTION("SPLIT(J209,""$"")"),9234.59)</f>
        <v>9234.59</v>
      </c>
      <c r="L209" s="2" t="s">
        <v>859</v>
      </c>
      <c r="M209" s="5">
        <f>IFERROR(__xludf.DUMMYFUNCTION("SPLIT(L209,""$"")"),5676.63)</f>
        <v>5676.63</v>
      </c>
      <c r="N209" s="2" t="s">
        <v>860</v>
      </c>
    </row>
    <row r="210">
      <c r="A210" s="1" t="s">
        <v>152</v>
      </c>
      <c r="B210" s="4">
        <v>11169.5938735178</v>
      </c>
      <c r="C210" s="1" t="s">
        <v>113</v>
      </c>
      <c r="D210" s="1" t="s">
        <v>861</v>
      </c>
      <c r="E210" s="1" t="s">
        <v>115</v>
      </c>
      <c r="F210" s="1" t="s">
        <v>18</v>
      </c>
      <c r="G210" s="4">
        <v>35855.1086956522</v>
      </c>
      <c r="H210" s="1" t="s">
        <v>103</v>
      </c>
      <c r="I210" s="4">
        <v>-125.383399209486</v>
      </c>
      <c r="J210" s="2" t="s">
        <v>862</v>
      </c>
      <c r="K210" s="4">
        <f>IFERROR(__xludf.DUMMYFUNCTION("SPLIT(J210,""$"")"),15895.93)</f>
        <v>15895.93</v>
      </c>
      <c r="L210" s="2" t="s">
        <v>863</v>
      </c>
      <c r="M210" s="5">
        <f>IFERROR(__xludf.DUMMYFUNCTION("SPLIT(L210,""$"")"),5930.19)</f>
        <v>5930.19</v>
      </c>
      <c r="N210" s="2" t="s">
        <v>864</v>
      </c>
    </row>
    <row r="211">
      <c r="A211" s="1" t="s">
        <v>152</v>
      </c>
      <c r="B211" s="4">
        <v>11175.4723320158</v>
      </c>
      <c r="C211" s="1" t="s">
        <v>119</v>
      </c>
      <c r="D211" s="1" t="s">
        <v>865</v>
      </c>
      <c r="E211" s="1" t="s">
        <v>121</v>
      </c>
      <c r="F211" s="1" t="s">
        <v>18</v>
      </c>
      <c r="G211" s="4">
        <v>35855.1304347826</v>
      </c>
      <c r="H211" s="1" t="s">
        <v>122</v>
      </c>
      <c r="I211" s="4">
        <v>-126.249011857708</v>
      </c>
      <c r="J211" s="2" t="s">
        <v>866</v>
      </c>
      <c r="K211" s="4">
        <f>IFERROR(__xludf.DUMMYFUNCTION("SPLIT(J211,""$"")"),19721.24)</f>
        <v>19721.24</v>
      </c>
      <c r="L211" s="2" t="s">
        <v>867</v>
      </c>
      <c r="M211" s="5">
        <f>IFERROR(__xludf.DUMMYFUNCTION("SPLIT(L211,""$"")"),6192.62)</f>
        <v>6192.62</v>
      </c>
      <c r="N211" s="2" t="s">
        <v>868</v>
      </c>
    </row>
    <row r="212">
      <c r="A212" s="1" t="s">
        <v>152</v>
      </c>
      <c r="B212" s="4">
        <v>11181.3507905138</v>
      </c>
      <c r="C212" s="1" t="s">
        <v>126</v>
      </c>
      <c r="D212" s="1" t="s">
        <v>869</v>
      </c>
      <c r="E212" s="1" t="s">
        <v>128</v>
      </c>
      <c r="F212" s="1" t="s">
        <v>18</v>
      </c>
      <c r="G212" s="4">
        <v>35855.152173913</v>
      </c>
      <c r="H212" s="1" t="s">
        <v>103</v>
      </c>
      <c r="I212" s="4">
        <v>-127.114624505929</v>
      </c>
      <c r="J212" s="2" t="s">
        <v>870</v>
      </c>
      <c r="K212" s="4">
        <f>IFERROR(__xludf.DUMMYFUNCTION("SPLIT(J212,""$"")"),10710.96)</f>
        <v>10710.96</v>
      </c>
      <c r="L212" s="2" t="s">
        <v>871</v>
      </c>
      <c r="M212" s="5">
        <f>IFERROR(__xludf.DUMMYFUNCTION("SPLIT(L212,""$"")"),4968.08)</f>
        <v>4968.08</v>
      </c>
      <c r="N212" s="2" t="s">
        <v>872</v>
      </c>
    </row>
    <row r="213">
      <c r="A213" s="1" t="s">
        <v>152</v>
      </c>
      <c r="B213" s="4">
        <v>11187.2292490119</v>
      </c>
      <c r="C213" s="1" t="s">
        <v>132</v>
      </c>
      <c r="D213" s="1" t="s">
        <v>873</v>
      </c>
      <c r="E213" s="1" t="s">
        <v>38</v>
      </c>
      <c r="F213" s="1" t="s">
        <v>18</v>
      </c>
      <c r="G213" s="4">
        <v>35855.1739130435</v>
      </c>
      <c r="H213" s="1" t="s">
        <v>26</v>
      </c>
      <c r="I213" s="4">
        <v>-127.98023715415</v>
      </c>
      <c r="J213" s="2" t="s">
        <v>874</v>
      </c>
      <c r="K213" s="4">
        <f>IFERROR(__xludf.DUMMYFUNCTION("SPLIT(J213,""$"")"),51343.83)</f>
        <v>51343.83</v>
      </c>
      <c r="L213" s="2" t="s">
        <v>875</v>
      </c>
      <c r="M213" s="5">
        <f>IFERROR(__xludf.DUMMYFUNCTION("SPLIT(L213,""$"")"),5996.08)</f>
        <v>5996.08</v>
      </c>
      <c r="N213" s="2" t="s">
        <v>876</v>
      </c>
    </row>
    <row r="214">
      <c r="A214" s="1" t="s">
        <v>152</v>
      </c>
      <c r="B214" s="4">
        <v>11193.1077075099</v>
      </c>
      <c r="C214" s="1" t="s">
        <v>137</v>
      </c>
      <c r="D214" s="1" t="s">
        <v>877</v>
      </c>
      <c r="E214" s="1" t="s">
        <v>38</v>
      </c>
      <c r="F214" s="1" t="s">
        <v>18</v>
      </c>
      <c r="G214" s="4">
        <v>35855.1956521739</v>
      </c>
      <c r="H214" s="1" t="s">
        <v>26</v>
      </c>
      <c r="I214" s="4">
        <v>-128.845849802372</v>
      </c>
      <c r="J214" s="2" t="s">
        <v>878</v>
      </c>
      <c r="K214" s="4">
        <f>IFERROR(__xludf.DUMMYFUNCTION("SPLIT(J214,""$"")"),55219.39)</f>
        <v>55219.39</v>
      </c>
      <c r="L214" s="2" t="s">
        <v>879</v>
      </c>
      <c r="M214" s="5">
        <f>IFERROR(__xludf.DUMMYFUNCTION("SPLIT(L214,""$"")"),5710.39)</f>
        <v>5710.39</v>
      </c>
      <c r="N214" s="2" t="s">
        <v>880</v>
      </c>
    </row>
    <row r="215">
      <c r="A215" s="1" t="s">
        <v>152</v>
      </c>
      <c r="B215" s="4">
        <v>11198.9861660079</v>
      </c>
      <c r="C215" s="1" t="s">
        <v>142</v>
      </c>
      <c r="D215" s="1" t="s">
        <v>881</v>
      </c>
      <c r="E215" s="1" t="s">
        <v>115</v>
      </c>
      <c r="F215" s="1" t="s">
        <v>18</v>
      </c>
      <c r="G215" s="4">
        <v>35855.2173913043</v>
      </c>
      <c r="H215" s="1" t="s">
        <v>103</v>
      </c>
      <c r="I215" s="4">
        <v>-129.711462450593</v>
      </c>
      <c r="J215" s="2" t="s">
        <v>882</v>
      </c>
      <c r="K215" s="4">
        <f>IFERROR(__xludf.DUMMYFUNCTION("SPLIT(J215,""$"")"),14948.23)</f>
        <v>14948.23</v>
      </c>
      <c r="L215" s="2" t="s">
        <v>883</v>
      </c>
      <c r="M215" s="5">
        <f>IFERROR(__xludf.DUMMYFUNCTION("SPLIT(L215,""$"")"),5550.98)</f>
        <v>5550.98</v>
      </c>
      <c r="N215" s="2" t="s">
        <v>884</v>
      </c>
    </row>
    <row r="216">
      <c r="A216" s="1" t="s">
        <v>152</v>
      </c>
      <c r="B216" s="4">
        <v>11204.8646245059</v>
      </c>
      <c r="C216" s="1" t="s">
        <v>147</v>
      </c>
      <c r="D216" s="1" t="s">
        <v>885</v>
      </c>
      <c r="E216" s="1" t="s">
        <v>38</v>
      </c>
      <c r="F216" s="1" t="s">
        <v>18</v>
      </c>
      <c r="G216" s="4">
        <v>35855.2391304348</v>
      </c>
      <c r="H216" s="1" t="s">
        <v>26</v>
      </c>
      <c r="I216" s="4">
        <v>-130.577075098814</v>
      </c>
      <c r="J216" s="2" t="s">
        <v>886</v>
      </c>
      <c r="K216" s="4">
        <f>IFERROR(__xludf.DUMMYFUNCTION("SPLIT(J216,""$"")"),73846.29)</f>
        <v>73846.29</v>
      </c>
      <c r="L216" s="2" t="s">
        <v>887</v>
      </c>
      <c r="M216" s="5">
        <f>IFERROR(__xludf.DUMMYFUNCTION("SPLIT(L216,""$"")"),4987.34)</f>
        <v>4987.34</v>
      </c>
      <c r="N216" s="2" t="s">
        <v>888</v>
      </c>
    </row>
    <row r="217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2" t="s">
        <v>9</v>
      </c>
      <c r="K217" s="1" t="s">
        <v>10</v>
      </c>
      <c r="L217" s="2" t="s">
        <v>11</v>
      </c>
      <c r="M217" s="3" t="s">
        <v>12</v>
      </c>
      <c r="N217" s="2" t="s">
        <v>13</v>
      </c>
    </row>
    <row r="218">
      <c r="A218" s="1" t="s">
        <v>152</v>
      </c>
      <c r="B218" s="4">
        <v>11210.743083004</v>
      </c>
      <c r="C218" s="1" t="s">
        <v>15</v>
      </c>
      <c r="D218" s="1" t="s">
        <v>889</v>
      </c>
      <c r="E218" s="1" t="s">
        <v>17</v>
      </c>
      <c r="F218" s="1" t="s">
        <v>18</v>
      </c>
      <c r="G218" s="4">
        <v>35855.2608695652</v>
      </c>
      <c r="H218" s="1" t="s">
        <v>19</v>
      </c>
      <c r="I218" s="4">
        <v>-131.442687747036</v>
      </c>
      <c r="J218" s="2" t="s">
        <v>890</v>
      </c>
      <c r="K218" s="4">
        <f>IFERROR(__xludf.DUMMYFUNCTION("SPLIT(J218,""$"")"),32963.16)</f>
        <v>32963.16</v>
      </c>
      <c r="L218" s="2" t="s">
        <v>891</v>
      </c>
      <c r="M218" s="5">
        <f>IFERROR(__xludf.DUMMYFUNCTION("SPLIT(L218,""$"")"),5777.33)</f>
        <v>5777.33</v>
      </c>
      <c r="N218" s="2" t="s">
        <v>892</v>
      </c>
    </row>
    <row r="219">
      <c r="A219" s="1" t="s">
        <v>152</v>
      </c>
      <c r="B219" s="4">
        <v>11216.621541502</v>
      </c>
      <c r="C219" s="1" t="s">
        <v>23</v>
      </c>
      <c r="D219" s="1" t="s">
        <v>893</v>
      </c>
      <c r="E219" s="1" t="s">
        <v>25</v>
      </c>
      <c r="F219" s="1" t="s">
        <v>18</v>
      </c>
      <c r="G219" s="4">
        <v>35855.2826086956</v>
      </c>
      <c r="H219" s="1" t="s">
        <v>26</v>
      </c>
      <c r="I219" s="4">
        <v>-132.308300395257</v>
      </c>
      <c r="J219" s="2" t="s">
        <v>894</v>
      </c>
      <c r="K219" s="4">
        <f>IFERROR(__xludf.DUMMYFUNCTION("SPLIT(J219,""$"")"),15131.94)</f>
        <v>15131.94</v>
      </c>
      <c r="L219" s="2" t="s">
        <v>895</v>
      </c>
      <c r="M219" s="5">
        <f>IFERROR(__xludf.DUMMYFUNCTION("SPLIT(L219,""$"")"),5787.66)</f>
        <v>5787.66</v>
      </c>
      <c r="N219" s="2" t="s">
        <v>896</v>
      </c>
    </row>
    <row r="220">
      <c r="A220" s="1" t="s">
        <v>152</v>
      </c>
      <c r="B220" s="4">
        <v>11222.5</v>
      </c>
      <c r="C220" s="1" t="s">
        <v>30</v>
      </c>
      <c r="D220" s="1" t="s">
        <v>897</v>
      </c>
      <c r="E220" s="1" t="s">
        <v>32</v>
      </c>
      <c r="F220" s="1" t="s">
        <v>18</v>
      </c>
      <c r="G220" s="4">
        <v>35855.3043478261</v>
      </c>
      <c r="H220" s="1" t="s">
        <v>26</v>
      </c>
      <c r="I220" s="4">
        <v>-133.173913043478</v>
      </c>
      <c r="J220" s="2" t="s">
        <v>898</v>
      </c>
      <c r="K220" s="4">
        <f>IFERROR(__xludf.DUMMYFUNCTION("SPLIT(J220,""$"")"),37560.46)</f>
        <v>37560.46</v>
      </c>
      <c r="L220" s="2" t="s">
        <v>899</v>
      </c>
      <c r="M220" s="5">
        <f>IFERROR(__xludf.DUMMYFUNCTION("SPLIT(L220,""$"")"),5434.104)</f>
        <v>5434.104</v>
      </c>
      <c r="N220" s="2" t="s">
        <v>900</v>
      </c>
    </row>
    <row r="221">
      <c r="A221" s="1" t="s">
        <v>152</v>
      </c>
      <c r="B221" s="4">
        <v>11228.378458498</v>
      </c>
      <c r="C221" s="1" t="s">
        <v>36</v>
      </c>
      <c r="D221" s="1" t="s">
        <v>901</v>
      </c>
      <c r="E221" s="1" t="s">
        <v>38</v>
      </c>
      <c r="F221" s="1" t="s">
        <v>18</v>
      </c>
      <c r="G221" s="4">
        <v>35855.3260869565</v>
      </c>
      <c r="H221" s="1" t="s">
        <v>26</v>
      </c>
      <c r="I221" s="4">
        <v>-134.0395256917</v>
      </c>
      <c r="J221" s="2" t="s">
        <v>902</v>
      </c>
      <c r="K221" s="4">
        <f>IFERROR(__xludf.DUMMYFUNCTION("SPLIT(J221,""$"")"),13998.37)</f>
        <v>13998.37</v>
      </c>
      <c r="L221" s="2" t="s">
        <v>903</v>
      </c>
      <c r="M221" s="5">
        <f>IFERROR(__xludf.DUMMYFUNCTION("SPLIT(L221,""$"")"),5417.65)</f>
        <v>5417.65</v>
      </c>
      <c r="N221" s="2" t="s">
        <v>904</v>
      </c>
    </row>
    <row r="222">
      <c r="A222" s="1" t="s">
        <v>152</v>
      </c>
      <c r="B222" s="4">
        <v>11234.256916996</v>
      </c>
      <c r="C222" s="1" t="s">
        <v>42</v>
      </c>
      <c r="D222" s="1" t="s">
        <v>905</v>
      </c>
      <c r="E222" s="1" t="s">
        <v>44</v>
      </c>
      <c r="F222" s="1" t="s">
        <v>18</v>
      </c>
      <c r="G222" s="4">
        <v>35855.3478260869</v>
      </c>
      <c r="H222" s="1" t="s">
        <v>26</v>
      </c>
      <c r="I222" s="4">
        <v>-134.905138339921</v>
      </c>
      <c r="J222" s="2" t="s">
        <v>906</v>
      </c>
      <c r="K222" s="4">
        <f>IFERROR(__xludf.DUMMYFUNCTION("SPLIT(J222,""$"")"),31633.36)</f>
        <v>31633.36</v>
      </c>
      <c r="L222" s="2" t="s">
        <v>907</v>
      </c>
      <c r="M222" s="5">
        <f>IFERROR(__xludf.DUMMYFUNCTION("SPLIT(L222,""$"")"),5658.42)</f>
        <v>5658.42</v>
      </c>
      <c r="N222" s="2" t="s">
        <v>908</v>
      </c>
    </row>
    <row r="223">
      <c r="A223" s="1" t="s">
        <v>152</v>
      </c>
      <c r="B223" s="4">
        <v>11240.1353754941</v>
      </c>
      <c r="C223" s="1" t="s">
        <v>48</v>
      </c>
      <c r="D223" s="1" t="s">
        <v>909</v>
      </c>
      <c r="E223" s="1" t="s">
        <v>50</v>
      </c>
      <c r="F223" s="1" t="s">
        <v>18</v>
      </c>
      <c r="G223" s="4">
        <v>35855.3695652174</v>
      </c>
      <c r="H223" s="1" t="s">
        <v>51</v>
      </c>
      <c r="I223" s="4">
        <v>-135.770750988142</v>
      </c>
      <c r="J223" s="2" t="s">
        <v>910</v>
      </c>
      <c r="K223" s="4">
        <f>IFERROR(__xludf.DUMMYFUNCTION("SPLIT(J223,""$"")"),16920.88)</f>
        <v>16920.88</v>
      </c>
      <c r="L223" s="2" t="s">
        <v>911</v>
      </c>
      <c r="M223" s="5">
        <f>IFERROR(__xludf.DUMMYFUNCTION("SPLIT(L223,""$"")"),6653.89)</f>
        <v>6653.89</v>
      </c>
      <c r="N223" s="2" t="s">
        <v>912</v>
      </c>
    </row>
    <row r="224">
      <c r="A224" s="1" t="s">
        <v>152</v>
      </c>
      <c r="B224" s="4">
        <v>11246.0138339921</v>
      </c>
      <c r="C224" s="1" t="s">
        <v>55</v>
      </c>
      <c r="D224" s="1" t="s">
        <v>913</v>
      </c>
      <c r="E224" s="1" t="s">
        <v>57</v>
      </c>
      <c r="F224" s="1" t="s">
        <v>18</v>
      </c>
      <c r="G224" s="4">
        <v>35855.3913043478</v>
      </c>
      <c r="H224" s="1" t="s">
        <v>26</v>
      </c>
      <c r="I224" s="4">
        <v>-136.636363636364</v>
      </c>
      <c r="J224" s="2" t="s">
        <v>914</v>
      </c>
      <c r="K224" s="4">
        <f>IFERROR(__xludf.DUMMYFUNCTION("SPLIT(J224,""$"")"),11977.22)</f>
        <v>11977.22</v>
      </c>
      <c r="L224" s="2" t="s">
        <v>915</v>
      </c>
      <c r="M224" s="5">
        <f>IFERROR(__xludf.DUMMYFUNCTION("SPLIT(L224,""$"")"),5834.83)</f>
        <v>5834.83</v>
      </c>
      <c r="N224" s="2" t="s">
        <v>916</v>
      </c>
    </row>
    <row r="225">
      <c r="A225" s="1" t="s">
        <v>152</v>
      </c>
      <c r="B225" s="4">
        <v>11251.8922924901</v>
      </c>
      <c r="C225" s="1" t="s">
        <v>61</v>
      </c>
      <c r="D225" s="1" t="s">
        <v>917</v>
      </c>
      <c r="E225" s="1" t="s">
        <v>38</v>
      </c>
      <c r="F225" s="1" t="s">
        <v>18</v>
      </c>
      <c r="G225" s="4">
        <v>35855.4130434782</v>
      </c>
      <c r="H225" s="1" t="s">
        <v>26</v>
      </c>
      <c r="I225" s="4">
        <v>-137.501976284585</v>
      </c>
      <c r="J225" s="2" t="s">
        <v>918</v>
      </c>
      <c r="K225" s="4">
        <f>IFERROR(__xludf.DUMMYFUNCTION("SPLIT(J225,""$"")"),35841.18)</f>
        <v>35841.18</v>
      </c>
      <c r="L225" s="2" t="s">
        <v>919</v>
      </c>
      <c r="M225" s="5">
        <f>IFERROR(__xludf.DUMMYFUNCTION("SPLIT(L225,""$"")"),8031.21)</f>
        <v>8031.21</v>
      </c>
      <c r="N225" s="2" t="s">
        <v>920</v>
      </c>
    </row>
    <row r="226">
      <c r="A226" s="1" t="s">
        <v>152</v>
      </c>
      <c r="B226" s="4">
        <v>11257.7707509881</v>
      </c>
      <c r="C226" s="1" t="s">
        <v>66</v>
      </c>
      <c r="D226" s="1" t="s">
        <v>921</v>
      </c>
      <c r="E226" s="1" t="s">
        <v>68</v>
      </c>
      <c r="F226" s="1" t="s">
        <v>18</v>
      </c>
      <c r="G226" s="4">
        <v>35855.4347826087</v>
      </c>
      <c r="H226" s="1" t="s">
        <v>69</v>
      </c>
      <c r="I226" s="4">
        <v>-138.367588932806</v>
      </c>
      <c r="J226" s="2" t="s">
        <v>922</v>
      </c>
      <c r="K226" s="4">
        <f>IFERROR(__xludf.DUMMYFUNCTION("SPLIT(J226,""$"")"),28523.48)</f>
        <v>28523.48</v>
      </c>
      <c r="L226" s="2" t="s">
        <v>923</v>
      </c>
      <c r="M226" s="5">
        <f>IFERROR(__xludf.DUMMYFUNCTION("SPLIT(L226,""$"")"),6113.47)</f>
        <v>6113.47</v>
      </c>
      <c r="N226" s="2" t="s">
        <v>924</v>
      </c>
    </row>
    <row r="227">
      <c r="A227" s="1" t="s">
        <v>152</v>
      </c>
      <c r="B227" s="4">
        <v>11263.6492094862</v>
      </c>
      <c r="C227" s="1" t="s">
        <v>73</v>
      </c>
      <c r="D227" s="1" t="s">
        <v>925</v>
      </c>
      <c r="E227" s="1" t="s">
        <v>75</v>
      </c>
      <c r="F227" s="1" t="s">
        <v>18</v>
      </c>
      <c r="G227" s="4">
        <v>35855.4565217391</v>
      </c>
      <c r="H227" s="1" t="s">
        <v>26</v>
      </c>
      <c r="I227" s="4">
        <v>-139.233201581028</v>
      </c>
      <c r="J227" s="2" t="s">
        <v>926</v>
      </c>
      <c r="K227" s="4">
        <f>IFERROR(__xludf.DUMMYFUNCTION("SPLIT(J227,""$"")"),75233.47)</f>
        <v>75233.47</v>
      </c>
      <c r="L227" s="2" t="s">
        <v>927</v>
      </c>
      <c r="M227" s="5">
        <f>IFERROR(__xludf.DUMMYFUNCTION("SPLIT(L227,""$"")"),5541.14)</f>
        <v>5541.14</v>
      </c>
      <c r="N227" s="2" t="s">
        <v>928</v>
      </c>
    </row>
    <row r="228">
      <c r="A228" s="1" t="s">
        <v>152</v>
      </c>
      <c r="B228" s="4">
        <v>11269.5276679842</v>
      </c>
      <c r="C228" s="1" t="s">
        <v>79</v>
      </c>
      <c r="D228" s="1" t="s">
        <v>929</v>
      </c>
      <c r="E228" s="1" t="s">
        <v>75</v>
      </c>
      <c r="F228" s="1" t="s">
        <v>18</v>
      </c>
      <c r="G228" s="4">
        <v>35855.4782608695</v>
      </c>
      <c r="H228" s="1" t="s">
        <v>26</v>
      </c>
      <c r="I228" s="4">
        <v>-140.098814229249</v>
      </c>
      <c r="J228" s="2" t="s">
        <v>930</v>
      </c>
      <c r="K228" s="4">
        <f>IFERROR(__xludf.DUMMYFUNCTION("SPLIT(J228,""$"")"),67327.101)</f>
        <v>67327.101</v>
      </c>
      <c r="L228" s="2" t="s">
        <v>931</v>
      </c>
      <c r="M228" s="5">
        <f>IFERROR(__xludf.DUMMYFUNCTION("SPLIT(L228,""$"")"),5461.66)</f>
        <v>5461.66</v>
      </c>
      <c r="N228" s="2" t="s">
        <v>932</v>
      </c>
    </row>
    <row r="229">
      <c r="A229" s="1" t="s">
        <v>152</v>
      </c>
      <c r="B229" s="4">
        <v>11275.4061264822</v>
      </c>
      <c r="C229" s="1" t="s">
        <v>84</v>
      </c>
      <c r="D229" s="1" t="s">
        <v>933</v>
      </c>
      <c r="E229" s="1" t="s">
        <v>17</v>
      </c>
      <c r="F229" s="1" t="s">
        <v>18</v>
      </c>
      <c r="G229" s="4">
        <v>35855.5</v>
      </c>
      <c r="H229" s="1" t="s">
        <v>19</v>
      </c>
      <c r="I229" s="4">
        <v>-140.96442687747</v>
      </c>
      <c r="J229" s="2" t="s">
        <v>934</v>
      </c>
      <c r="K229" s="4">
        <f>IFERROR(__xludf.DUMMYFUNCTION("SPLIT(J229,""$"")"),39607.37)</f>
        <v>39607.37</v>
      </c>
      <c r="L229" s="2" t="s">
        <v>935</v>
      </c>
      <c r="M229" s="5">
        <f>IFERROR(__xludf.DUMMYFUNCTION("SPLIT(L229,""$"")"),5356.37)</f>
        <v>5356.37</v>
      </c>
      <c r="N229" s="2" t="s">
        <v>936</v>
      </c>
    </row>
    <row r="230">
      <c r="A230" s="1" t="s">
        <v>152</v>
      </c>
      <c r="B230" s="4">
        <v>11281.2845849802</v>
      </c>
      <c r="C230" s="1" t="s">
        <v>89</v>
      </c>
      <c r="D230" s="1" t="s">
        <v>937</v>
      </c>
      <c r="E230" s="1" t="s">
        <v>38</v>
      </c>
      <c r="F230" s="1" t="s">
        <v>18</v>
      </c>
      <c r="G230" s="4">
        <v>35855.5217391304</v>
      </c>
      <c r="H230" s="1" t="s">
        <v>26</v>
      </c>
      <c r="I230" s="4">
        <v>-141.830039525692</v>
      </c>
      <c r="J230" s="2" t="s">
        <v>938</v>
      </c>
      <c r="K230" s="4">
        <f>IFERROR(__xludf.DUMMYFUNCTION("SPLIT(J230,""$"")"),22862.32)</f>
        <v>22862.32</v>
      </c>
      <c r="L230" s="2" t="s">
        <v>939</v>
      </c>
      <c r="M230" s="5">
        <f>IFERROR(__xludf.DUMMYFUNCTION("SPLIT(L230,""$"")"),5374.74)</f>
        <v>5374.74</v>
      </c>
      <c r="N230" s="2" t="s">
        <v>940</v>
      </c>
    </row>
    <row r="231">
      <c r="A231" s="1" t="s">
        <v>152</v>
      </c>
      <c r="B231" s="4">
        <v>11287.1630434783</v>
      </c>
      <c r="C231" s="1" t="s">
        <v>94</v>
      </c>
      <c r="D231" s="1" t="s">
        <v>941</v>
      </c>
      <c r="E231" s="1" t="s">
        <v>96</v>
      </c>
      <c r="F231" s="1" t="s">
        <v>18</v>
      </c>
      <c r="G231" s="4">
        <v>35855.5434782609</v>
      </c>
      <c r="H231" s="1" t="s">
        <v>26</v>
      </c>
      <c r="I231" s="4">
        <v>-142.695652173913</v>
      </c>
      <c r="J231" s="2" t="s">
        <v>942</v>
      </c>
      <c r="K231" s="4">
        <f>IFERROR(__xludf.DUMMYFUNCTION("SPLIT(J231,""$"")"),31110.94)</f>
        <v>31110.94</v>
      </c>
      <c r="L231" s="2" t="s">
        <v>943</v>
      </c>
      <c r="M231" s="5">
        <f>IFERROR(__xludf.DUMMYFUNCTION("SPLIT(L231,""$"")"),5366.32)</f>
        <v>5366.32</v>
      </c>
      <c r="N231" s="2" t="s">
        <v>944</v>
      </c>
    </row>
    <row r="232">
      <c r="A232" s="1" t="s">
        <v>152</v>
      </c>
      <c r="B232" s="4">
        <v>11293.0415019763</v>
      </c>
      <c r="C232" s="1" t="s">
        <v>100</v>
      </c>
      <c r="D232" s="1" t="s">
        <v>945</v>
      </c>
      <c r="E232" s="1" t="s">
        <v>102</v>
      </c>
      <c r="F232" s="1" t="s">
        <v>18</v>
      </c>
      <c r="G232" s="4">
        <v>35855.5652173913</v>
      </c>
      <c r="H232" s="1" t="s">
        <v>103</v>
      </c>
      <c r="I232" s="4">
        <v>-143.561264822134</v>
      </c>
      <c r="J232" s="2" t="s">
        <v>946</v>
      </c>
      <c r="K232" s="4">
        <f>IFERROR(__xludf.DUMMYFUNCTION("SPLIT(J232,""$"")"),25411.42)</f>
        <v>25411.42</v>
      </c>
      <c r="L232" s="2" t="s">
        <v>947</v>
      </c>
      <c r="M232" s="5">
        <f>IFERROR(__xludf.DUMMYFUNCTION("SPLIT(L232,""$"")"),5282.102)</f>
        <v>5282.102</v>
      </c>
      <c r="N232" s="2" t="s">
        <v>948</v>
      </c>
    </row>
    <row r="233">
      <c r="A233" s="1" t="s">
        <v>152</v>
      </c>
      <c r="B233" s="4">
        <v>11298.9199604743</v>
      </c>
      <c r="C233" s="1" t="s">
        <v>107</v>
      </c>
      <c r="D233" s="1" t="s">
        <v>949</v>
      </c>
      <c r="E233" s="1" t="s">
        <v>109</v>
      </c>
      <c r="F233" s="1" t="s">
        <v>18</v>
      </c>
      <c r="G233" s="4">
        <v>35855.5869565217</v>
      </c>
      <c r="H233" s="1" t="s">
        <v>69</v>
      </c>
      <c r="I233" s="4">
        <v>-144.426877470356</v>
      </c>
      <c r="J233" s="2" t="s">
        <v>950</v>
      </c>
      <c r="K233" s="4">
        <f>IFERROR(__xludf.DUMMYFUNCTION("SPLIT(J233,""$"")"),9234.6)</f>
        <v>9234.6</v>
      </c>
      <c r="L233" s="2" t="s">
        <v>951</v>
      </c>
      <c r="M233" s="5">
        <f>IFERROR(__xludf.DUMMYFUNCTION("SPLIT(L233,""$"")"),5676.64)</f>
        <v>5676.64</v>
      </c>
      <c r="N233" s="2" t="s">
        <v>952</v>
      </c>
    </row>
    <row r="234">
      <c r="A234" s="1" t="s">
        <v>152</v>
      </c>
      <c r="B234" s="4">
        <v>11304.7984189723</v>
      </c>
      <c r="C234" s="1" t="s">
        <v>113</v>
      </c>
      <c r="D234" s="1" t="s">
        <v>953</v>
      </c>
      <c r="E234" s="1" t="s">
        <v>115</v>
      </c>
      <c r="F234" s="1" t="s">
        <v>18</v>
      </c>
      <c r="G234" s="4">
        <v>35855.6086956522</v>
      </c>
      <c r="H234" s="1" t="s">
        <v>103</v>
      </c>
      <c r="I234" s="4">
        <v>-145.292490118577</v>
      </c>
      <c r="J234" s="2" t="s">
        <v>954</v>
      </c>
      <c r="K234" s="4">
        <f>IFERROR(__xludf.DUMMYFUNCTION("SPLIT(J234,""$"")"),15895.94)</f>
        <v>15895.94</v>
      </c>
      <c r="L234" s="2" t="s">
        <v>955</v>
      </c>
      <c r="M234" s="5">
        <f>IFERROR(__xludf.DUMMYFUNCTION("SPLIT(L234,""$"")"),5930.2)</f>
        <v>5930.2</v>
      </c>
      <c r="N234" s="2" t="s">
        <v>956</v>
      </c>
    </row>
    <row r="235">
      <c r="A235" s="1" t="s">
        <v>152</v>
      </c>
      <c r="B235" s="4">
        <v>11310.6768774704</v>
      </c>
      <c r="C235" s="1" t="s">
        <v>119</v>
      </c>
      <c r="D235" s="1" t="s">
        <v>957</v>
      </c>
      <c r="E235" s="1" t="s">
        <v>121</v>
      </c>
      <c r="F235" s="1" t="s">
        <v>18</v>
      </c>
      <c r="G235" s="4">
        <v>35855.6304347826</v>
      </c>
      <c r="H235" s="1" t="s">
        <v>122</v>
      </c>
      <c r="I235" s="4">
        <v>-146.158102766798</v>
      </c>
      <c r="J235" s="2" t="s">
        <v>958</v>
      </c>
      <c r="K235" s="4">
        <f>IFERROR(__xludf.DUMMYFUNCTION("SPLIT(J235,""$"")"),19721.25)</f>
        <v>19721.25</v>
      </c>
      <c r="L235" s="2" t="s">
        <v>959</v>
      </c>
      <c r="M235" s="5">
        <f>IFERROR(__xludf.DUMMYFUNCTION("SPLIT(L235,""$"")"),6192.63)</f>
        <v>6192.63</v>
      </c>
      <c r="N235" s="2" t="s">
        <v>960</v>
      </c>
    </row>
    <row r="236">
      <c r="A236" s="1" t="s">
        <v>152</v>
      </c>
      <c r="B236" s="4">
        <v>11316.5553359684</v>
      </c>
      <c r="C236" s="1" t="s">
        <v>126</v>
      </c>
      <c r="D236" s="1" t="s">
        <v>961</v>
      </c>
      <c r="E236" s="1" t="s">
        <v>128</v>
      </c>
      <c r="F236" s="1" t="s">
        <v>18</v>
      </c>
      <c r="G236" s="4">
        <v>35855.652173913</v>
      </c>
      <c r="H236" s="1" t="s">
        <v>103</v>
      </c>
      <c r="I236" s="4">
        <v>-147.02371541502</v>
      </c>
      <c r="J236" s="2" t="s">
        <v>962</v>
      </c>
      <c r="K236" s="4">
        <f>IFERROR(__xludf.DUMMYFUNCTION("SPLIT(J236,""$"")"),10710.97)</f>
        <v>10710.97</v>
      </c>
      <c r="L236" s="2" t="s">
        <v>963</v>
      </c>
      <c r="M236" s="5">
        <f>IFERROR(__xludf.DUMMYFUNCTION("SPLIT(L236,""$"")"),4968.09)</f>
        <v>4968.09</v>
      </c>
      <c r="N236" s="2" t="s">
        <v>964</v>
      </c>
    </row>
    <row r="237">
      <c r="A237" s="1" t="s">
        <v>152</v>
      </c>
      <c r="B237" s="4">
        <v>11322.4337944664</v>
      </c>
      <c r="C237" s="1" t="s">
        <v>132</v>
      </c>
      <c r="D237" s="1" t="s">
        <v>965</v>
      </c>
      <c r="E237" s="1" t="s">
        <v>38</v>
      </c>
      <c r="F237" s="1" t="s">
        <v>18</v>
      </c>
      <c r="G237" s="4">
        <v>35855.6739130435</v>
      </c>
      <c r="H237" s="1" t="s">
        <v>26</v>
      </c>
      <c r="I237" s="4">
        <v>-147.889328063241</v>
      </c>
      <c r="J237" s="2" t="s">
        <v>966</v>
      </c>
      <c r="K237" s="4">
        <f>IFERROR(__xludf.DUMMYFUNCTION("SPLIT(J237,""$"")"),51343.84)</f>
        <v>51343.84</v>
      </c>
      <c r="L237" s="2" t="s">
        <v>967</v>
      </c>
      <c r="M237" s="5">
        <f>IFERROR(__xludf.DUMMYFUNCTION("SPLIT(L237,""$"")"),5996.09)</f>
        <v>5996.09</v>
      </c>
      <c r="N237" s="2" t="s">
        <v>968</v>
      </c>
    </row>
    <row r="238">
      <c r="A238" s="1" t="s">
        <v>152</v>
      </c>
      <c r="B238" s="4">
        <v>11328.3122529644</v>
      </c>
      <c r="C238" s="1" t="s">
        <v>137</v>
      </c>
      <c r="D238" s="1" t="s">
        <v>969</v>
      </c>
      <c r="E238" s="1" t="s">
        <v>38</v>
      </c>
      <c r="F238" s="1" t="s">
        <v>18</v>
      </c>
      <c r="G238" s="4">
        <v>35855.6956521739</v>
      </c>
      <c r="H238" s="1" t="s">
        <v>26</v>
      </c>
      <c r="I238" s="4">
        <v>-148.754940711462</v>
      </c>
      <c r="J238" s="2" t="s">
        <v>970</v>
      </c>
      <c r="K238" s="4">
        <f>IFERROR(__xludf.DUMMYFUNCTION("SPLIT(J238,""$"")"),55219.4)</f>
        <v>55219.4</v>
      </c>
      <c r="L238" s="2" t="s">
        <v>971</v>
      </c>
      <c r="M238" s="5">
        <f>IFERROR(__xludf.DUMMYFUNCTION("SPLIT(L238,""$"")"),5710.4)</f>
        <v>5710.4</v>
      </c>
      <c r="N238" s="2" t="s">
        <v>972</v>
      </c>
    </row>
    <row r="239">
      <c r="A239" s="1" t="s">
        <v>152</v>
      </c>
      <c r="B239" s="4">
        <v>11334.1907114624</v>
      </c>
      <c r="C239" s="1" t="s">
        <v>142</v>
      </c>
      <c r="D239" s="1" t="s">
        <v>973</v>
      </c>
      <c r="E239" s="1" t="s">
        <v>115</v>
      </c>
      <c r="F239" s="1" t="s">
        <v>18</v>
      </c>
      <c r="G239" s="4">
        <v>35855.7173913043</v>
      </c>
      <c r="H239" s="1" t="s">
        <v>103</v>
      </c>
      <c r="I239" s="4">
        <v>-149.620553359684</v>
      </c>
      <c r="J239" s="2" t="s">
        <v>974</v>
      </c>
      <c r="K239" s="4">
        <f>IFERROR(__xludf.DUMMYFUNCTION("SPLIT(J239,""$"")"),14948.24)</f>
        <v>14948.24</v>
      </c>
      <c r="L239" s="2" t="s">
        <v>975</v>
      </c>
      <c r="M239" s="5">
        <f>IFERROR(__xludf.DUMMYFUNCTION("SPLIT(L239,""$"")"),5550.99)</f>
        <v>5550.99</v>
      </c>
      <c r="N239" s="2" t="s">
        <v>976</v>
      </c>
    </row>
    <row r="240">
      <c r="A240" s="1" t="s">
        <v>152</v>
      </c>
      <c r="B240" s="4">
        <v>11340.0691699605</v>
      </c>
      <c r="C240" s="1" t="s">
        <v>147</v>
      </c>
      <c r="D240" s="1" t="s">
        <v>977</v>
      </c>
      <c r="E240" s="1" t="s">
        <v>38</v>
      </c>
      <c r="F240" s="1" t="s">
        <v>18</v>
      </c>
      <c r="G240" s="4">
        <v>35855.7391304348</v>
      </c>
      <c r="H240" s="1" t="s">
        <v>26</v>
      </c>
      <c r="I240" s="4">
        <v>-150.486166007905</v>
      </c>
      <c r="J240" s="2" t="s">
        <v>978</v>
      </c>
      <c r="K240" s="4">
        <f>IFERROR(__xludf.DUMMYFUNCTION("SPLIT(J240,""$"")"),73846.3)</f>
        <v>73846.3</v>
      </c>
      <c r="L240" s="2" t="s">
        <v>979</v>
      </c>
      <c r="M240" s="5">
        <f>IFERROR(__xludf.DUMMYFUNCTION("SPLIT(L240,""$"")"),4987.35)</f>
        <v>4987.35</v>
      </c>
      <c r="N240" s="2" t="s">
        <v>980</v>
      </c>
    </row>
    <row r="241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  <c r="J241" s="2" t="s">
        <v>9</v>
      </c>
      <c r="K241" s="1" t="s">
        <v>10</v>
      </c>
      <c r="L241" s="2" t="s">
        <v>11</v>
      </c>
      <c r="M241" s="3" t="s">
        <v>12</v>
      </c>
      <c r="N241" s="2" t="s">
        <v>13</v>
      </c>
    </row>
    <row r="242">
      <c r="A242" s="1" t="s">
        <v>152</v>
      </c>
      <c r="B242" s="4">
        <v>11345.9476284585</v>
      </c>
      <c r="C242" s="1" t="s">
        <v>15</v>
      </c>
      <c r="D242" s="1" t="s">
        <v>981</v>
      </c>
      <c r="E242" s="1" t="s">
        <v>17</v>
      </c>
      <c r="F242" s="1" t="s">
        <v>18</v>
      </c>
      <c r="G242" s="4">
        <v>35855.7608695652</v>
      </c>
      <c r="H242" s="1" t="s">
        <v>19</v>
      </c>
      <c r="I242" s="4">
        <v>-151.351778656127</v>
      </c>
      <c r="J242" s="2" t="s">
        <v>982</v>
      </c>
      <c r="K242" s="4">
        <f>IFERROR(__xludf.DUMMYFUNCTION("SPLIT(J242,""$"")"),32963.17)</f>
        <v>32963.17</v>
      </c>
      <c r="L242" s="2" t="s">
        <v>983</v>
      </c>
      <c r="M242" s="5">
        <f>IFERROR(__xludf.DUMMYFUNCTION("SPLIT(L242,""$"")"),5777.34)</f>
        <v>5777.34</v>
      </c>
      <c r="N242" s="2" t="s">
        <v>984</v>
      </c>
    </row>
    <row r="243">
      <c r="A243" s="1" t="s">
        <v>152</v>
      </c>
      <c r="B243" s="4">
        <v>11351.8260869565</v>
      </c>
      <c r="C243" s="1" t="s">
        <v>23</v>
      </c>
      <c r="D243" s="1" t="s">
        <v>985</v>
      </c>
      <c r="E243" s="1" t="s">
        <v>25</v>
      </c>
      <c r="F243" s="1" t="s">
        <v>18</v>
      </c>
      <c r="G243" s="4">
        <v>35855.7826086956</v>
      </c>
      <c r="H243" s="1" t="s">
        <v>26</v>
      </c>
      <c r="I243" s="4">
        <v>-152.217391304348</v>
      </c>
      <c r="J243" s="2" t="s">
        <v>986</v>
      </c>
      <c r="K243" s="4">
        <f>IFERROR(__xludf.DUMMYFUNCTION("SPLIT(J243,""$"")"),15131.95)</f>
        <v>15131.95</v>
      </c>
      <c r="L243" s="2" t="s">
        <v>987</v>
      </c>
      <c r="M243" s="5">
        <f>IFERROR(__xludf.DUMMYFUNCTION("SPLIT(L243,""$"")"),5787.67)</f>
        <v>5787.67</v>
      </c>
      <c r="N243" s="2" t="s">
        <v>988</v>
      </c>
    </row>
    <row r="244">
      <c r="A244" s="1" t="s">
        <v>152</v>
      </c>
      <c r="B244" s="4">
        <v>11357.7045454545</v>
      </c>
      <c r="C244" s="1" t="s">
        <v>30</v>
      </c>
      <c r="D244" s="1" t="s">
        <v>989</v>
      </c>
      <c r="E244" s="1" t="s">
        <v>32</v>
      </c>
      <c r="F244" s="1" t="s">
        <v>18</v>
      </c>
      <c r="G244" s="4">
        <v>35855.8043478261</v>
      </c>
      <c r="H244" s="1" t="s">
        <v>26</v>
      </c>
      <c r="I244" s="4">
        <v>-153.083003952569</v>
      </c>
      <c r="J244" s="2" t="s">
        <v>990</v>
      </c>
      <c r="K244" s="4">
        <f>IFERROR(__xludf.DUMMYFUNCTION("SPLIT(J244,""$"")"),37560.47)</f>
        <v>37560.47</v>
      </c>
      <c r="L244" s="2" t="s">
        <v>991</v>
      </c>
      <c r="M244" s="5">
        <f>IFERROR(__xludf.DUMMYFUNCTION("SPLIT(L244,""$"")"),5434.105)</f>
        <v>5434.105</v>
      </c>
      <c r="N244" s="2" t="s">
        <v>992</v>
      </c>
    </row>
    <row r="245">
      <c r="A245" s="1" t="s">
        <v>152</v>
      </c>
      <c r="B245" s="4">
        <v>11363.5830039526</v>
      </c>
      <c r="C245" s="1" t="s">
        <v>36</v>
      </c>
      <c r="D245" s="1" t="s">
        <v>993</v>
      </c>
      <c r="E245" s="1" t="s">
        <v>38</v>
      </c>
      <c r="F245" s="1" t="s">
        <v>18</v>
      </c>
      <c r="G245" s="4">
        <v>35855.8260869565</v>
      </c>
      <c r="H245" s="1" t="s">
        <v>26</v>
      </c>
      <c r="I245" s="4">
        <v>-153.948616600791</v>
      </c>
      <c r="J245" s="2" t="s">
        <v>994</v>
      </c>
      <c r="K245" s="4">
        <f>IFERROR(__xludf.DUMMYFUNCTION("SPLIT(J245,""$"")"),13998.38)</f>
        <v>13998.38</v>
      </c>
      <c r="L245" s="2" t="s">
        <v>995</v>
      </c>
      <c r="M245" s="5">
        <f>IFERROR(__xludf.DUMMYFUNCTION("SPLIT(L245,""$"")"),5417.66)</f>
        <v>5417.66</v>
      </c>
      <c r="N245" s="2" t="s">
        <v>996</v>
      </c>
    </row>
    <row r="246">
      <c r="A246" s="1" t="s">
        <v>152</v>
      </c>
      <c r="B246" s="4">
        <v>11369.4614624506</v>
      </c>
      <c r="C246" s="1" t="s">
        <v>42</v>
      </c>
      <c r="D246" s="1" t="s">
        <v>997</v>
      </c>
      <c r="E246" s="1" t="s">
        <v>44</v>
      </c>
      <c r="F246" s="1" t="s">
        <v>18</v>
      </c>
      <c r="G246" s="4">
        <v>35855.8478260869</v>
      </c>
      <c r="H246" s="1" t="s">
        <v>26</v>
      </c>
      <c r="I246" s="4">
        <v>-154.814229249012</v>
      </c>
      <c r="J246" s="2" t="s">
        <v>998</v>
      </c>
      <c r="K246" s="4">
        <f>IFERROR(__xludf.DUMMYFUNCTION("SPLIT(J246,""$"")"),31633.37)</f>
        <v>31633.37</v>
      </c>
      <c r="L246" s="2" t="s">
        <v>999</v>
      </c>
      <c r="M246" s="5">
        <f>IFERROR(__xludf.DUMMYFUNCTION("SPLIT(L246,""$"")"),5658.43)</f>
        <v>5658.43</v>
      </c>
      <c r="N246" s="2" t="s">
        <v>1000</v>
      </c>
    </row>
    <row r="247">
      <c r="A247" s="1" t="s">
        <v>152</v>
      </c>
      <c r="B247" s="4">
        <v>11375.3399209486</v>
      </c>
      <c r="C247" s="1" t="s">
        <v>48</v>
      </c>
      <c r="D247" s="1" t="s">
        <v>1001</v>
      </c>
      <c r="E247" s="1" t="s">
        <v>50</v>
      </c>
      <c r="F247" s="1" t="s">
        <v>18</v>
      </c>
      <c r="G247" s="4">
        <v>35855.8695652174</v>
      </c>
      <c r="H247" s="1" t="s">
        <v>51</v>
      </c>
      <c r="I247" s="4">
        <v>-155.679841897233</v>
      </c>
      <c r="J247" s="2" t="s">
        <v>1002</v>
      </c>
      <c r="K247" s="4">
        <f>IFERROR(__xludf.DUMMYFUNCTION("SPLIT(J247,""$"")"),16920.89)</f>
        <v>16920.89</v>
      </c>
      <c r="L247" s="2" t="s">
        <v>1003</v>
      </c>
      <c r="M247" s="5">
        <f>IFERROR(__xludf.DUMMYFUNCTION("SPLIT(L247,""$"")"),6653.9)</f>
        <v>6653.9</v>
      </c>
      <c r="N247" s="2" t="s">
        <v>1004</v>
      </c>
    </row>
    <row r="248">
      <c r="A248" s="1" t="s">
        <v>152</v>
      </c>
      <c r="B248" s="4">
        <v>11381.2183794466</v>
      </c>
      <c r="C248" s="1" t="s">
        <v>55</v>
      </c>
      <c r="D248" s="1" t="s">
        <v>1005</v>
      </c>
      <c r="E248" s="1" t="s">
        <v>57</v>
      </c>
      <c r="F248" s="1" t="s">
        <v>18</v>
      </c>
      <c r="G248" s="4">
        <v>35855.8913043478</v>
      </c>
      <c r="H248" s="1" t="s">
        <v>26</v>
      </c>
      <c r="I248" s="4">
        <v>-156.545454545455</v>
      </c>
      <c r="J248" s="2" t="s">
        <v>1006</v>
      </c>
      <c r="K248" s="4">
        <f>IFERROR(__xludf.DUMMYFUNCTION("SPLIT(J248,""$"")"),11977.23)</f>
        <v>11977.23</v>
      </c>
      <c r="L248" s="2" t="s">
        <v>1007</v>
      </c>
      <c r="M248" s="5">
        <f>IFERROR(__xludf.DUMMYFUNCTION("SPLIT(L248,""$"")"),5834.84)</f>
        <v>5834.84</v>
      </c>
      <c r="N248" s="2" t="s">
        <v>1008</v>
      </c>
    </row>
    <row r="249">
      <c r="A249" s="1" t="s">
        <v>152</v>
      </c>
      <c r="B249" s="4">
        <v>11387.0968379447</v>
      </c>
      <c r="C249" s="1" t="s">
        <v>61</v>
      </c>
      <c r="D249" s="1" t="s">
        <v>1009</v>
      </c>
      <c r="E249" s="1" t="s">
        <v>38</v>
      </c>
      <c r="F249" s="1" t="s">
        <v>18</v>
      </c>
      <c r="G249" s="4">
        <v>35855.9130434782</v>
      </c>
      <c r="H249" s="1" t="s">
        <v>26</v>
      </c>
      <c r="I249" s="4">
        <v>-157.411067193676</v>
      </c>
      <c r="J249" s="2" t="s">
        <v>1010</v>
      </c>
      <c r="K249" s="4">
        <f>IFERROR(__xludf.DUMMYFUNCTION("SPLIT(J249,""$"")"),35841.19)</f>
        <v>35841.19</v>
      </c>
      <c r="L249" s="2" t="s">
        <v>1011</v>
      </c>
      <c r="M249" s="5">
        <f>IFERROR(__xludf.DUMMYFUNCTION("SPLIT(L249,""$"")"),8031.22)</f>
        <v>8031.22</v>
      </c>
      <c r="N249" s="2" t="s">
        <v>1012</v>
      </c>
    </row>
    <row r="250">
      <c r="A250" s="1" t="s">
        <v>152</v>
      </c>
      <c r="B250" s="4">
        <v>11392.9752964427</v>
      </c>
      <c r="C250" s="1" t="s">
        <v>66</v>
      </c>
      <c r="D250" s="1" t="s">
        <v>1013</v>
      </c>
      <c r="E250" s="1" t="s">
        <v>68</v>
      </c>
      <c r="F250" s="1" t="s">
        <v>18</v>
      </c>
      <c r="G250" s="4">
        <v>35855.9347826087</v>
      </c>
      <c r="H250" s="1" t="s">
        <v>69</v>
      </c>
      <c r="I250" s="4">
        <v>-158.276679841897</v>
      </c>
      <c r="J250" s="2" t="s">
        <v>1014</v>
      </c>
      <c r="K250" s="4">
        <f>IFERROR(__xludf.DUMMYFUNCTION("SPLIT(J250,""$"")"),28523.49)</f>
        <v>28523.49</v>
      </c>
      <c r="L250" s="2" t="s">
        <v>1015</v>
      </c>
      <c r="M250" s="5">
        <f>IFERROR(__xludf.DUMMYFUNCTION("SPLIT(L250,""$"")"),6113.48)</f>
        <v>6113.48</v>
      </c>
      <c r="N250" s="2" t="s">
        <v>1016</v>
      </c>
    </row>
    <row r="251">
      <c r="A251" s="1" t="s">
        <v>152</v>
      </c>
      <c r="B251" s="4">
        <v>11398.8537549407</v>
      </c>
      <c r="C251" s="1" t="s">
        <v>73</v>
      </c>
      <c r="D251" s="1" t="s">
        <v>1017</v>
      </c>
      <c r="E251" s="1" t="s">
        <v>75</v>
      </c>
      <c r="F251" s="1" t="s">
        <v>18</v>
      </c>
      <c r="G251" s="4">
        <v>35855.9565217391</v>
      </c>
      <c r="H251" s="1" t="s">
        <v>26</v>
      </c>
      <c r="I251" s="4">
        <v>-159.142292490119</v>
      </c>
      <c r="J251" s="2" t="s">
        <v>1018</v>
      </c>
      <c r="K251" s="4">
        <f>IFERROR(__xludf.DUMMYFUNCTION("SPLIT(J251,""$"")"),75233.48)</f>
        <v>75233.48</v>
      </c>
      <c r="L251" s="2" t="s">
        <v>1019</v>
      </c>
      <c r="M251" s="5">
        <f>IFERROR(__xludf.DUMMYFUNCTION("SPLIT(L251,""$"")"),5541.15)</f>
        <v>5541.15</v>
      </c>
      <c r="N251" s="2" t="s">
        <v>1020</v>
      </c>
    </row>
    <row r="252">
      <c r="A252" s="1" t="s">
        <v>152</v>
      </c>
      <c r="B252" s="4">
        <v>11404.7322134387</v>
      </c>
      <c r="C252" s="1" t="s">
        <v>79</v>
      </c>
      <c r="D252" s="1" t="s">
        <v>1021</v>
      </c>
      <c r="E252" s="1" t="s">
        <v>75</v>
      </c>
      <c r="F252" s="1" t="s">
        <v>18</v>
      </c>
      <c r="G252" s="4">
        <v>35855.9782608695</v>
      </c>
      <c r="H252" s="1" t="s">
        <v>26</v>
      </c>
      <c r="I252" s="4">
        <v>-160.00790513834</v>
      </c>
      <c r="J252" s="2" t="s">
        <v>1022</v>
      </c>
      <c r="K252" s="4">
        <f>IFERROR(__xludf.DUMMYFUNCTION("SPLIT(J252,""$"")"),67327.102)</f>
        <v>67327.102</v>
      </c>
      <c r="L252" s="2" t="s">
        <v>1023</v>
      </c>
      <c r="M252" s="5">
        <f>IFERROR(__xludf.DUMMYFUNCTION("SPLIT(L252,""$"")"),5461.67)</f>
        <v>5461.67</v>
      </c>
      <c r="N252" s="2" t="s">
        <v>1024</v>
      </c>
    </row>
    <row r="253">
      <c r="A253" s="1" t="s">
        <v>152</v>
      </c>
      <c r="B253" s="4">
        <v>11410.6106719368</v>
      </c>
      <c r="C253" s="1" t="s">
        <v>84</v>
      </c>
      <c r="D253" s="1" t="s">
        <v>1025</v>
      </c>
      <c r="E253" s="1" t="s">
        <v>17</v>
      </c>
      <c r="F253" s="1" t="s">
        <v>18</v>
      </c>
      <c r="G253" s="4">
        <v>35856.0</v>
      </c>
      <c r="H253" s="1" t="s">
        <v>19</v>
      </c>
      <c r="I253" s="4">
        <v>-160.873517786561</v>
      </c>
      <c r="J253" s="2" t="s">
        <v>1026</v>
      </c>
      <c r="K253" s="4">
        <f>IFERROR(__xludf.DUMMYFUNCTION("SPLIT(J253,""$"")"),39607.38)</f>
        <v>39607.38</v>
      </c>
      <c r="L253" s="2" t="s">
        <v>1027</v>
      </c>
      <c r="M253" s="5">
        <f>IFERROR(__xludf.DUMMYFUNCTION("SPLIT(L253,""$"")"),5356.38)</f>
        <v>5356.38</v>
      </c>
      <c r="N253" s="2" t="s">
        <v>1028</v>
      </c>
    </row>
    <row r="254">
      <c r="A254" s="1" t="s">
        <v>152</v>
      </c>
      <c r="B254" s="4">
        <v>11416.4891304348</v>
      </c>
      <c r="C254" s="1" t="s">
        <v>89</v>
      </c>
      <c r="D254" s="1" t="s">
        <v>1029</v>
      </c>
      <c r="E254" s="1" t="s">
        <v>38</v>
      </c>
      <c r="F254" s="1" t="s">
        <v>18</v>
      </c>
      <c r="G254" s="4">
        <v>35856.0217391304</v>
      </c>
      <c r="H254" s="1" t="s">
        <v>26</v>
      </c>
      <c r="I254" s="4">
        <v>-161.739130434783</v>
      </c>
      <c r="J254" s="2" t="s">
        <v>1030</v>
      </c>
      <c r="K254" s="4">
        <f>IFERROR(__xludf.DUMMYFUNCTION("SPLIT(J254,""$"")"),22862.33)</f>
        <v>22862.33</v>
      </c>
      <c r="L254" s="2" t="s">
        <v>1031</v>
      </c>
      <c r="M254" s="5">
        <f>IFERROR(__xludf.DUMMYFUNCTION("SPLIT(L254,""$"")"),5374.75)</f>
        <v>5374.75</v>
      </c>
      <c r="N254" s="2" t="s">
        <v>1032</v>
      </c>
    </row>
    <row r="255">
      <c r="A255" s="1" t="s">
        <v>152</v>
      </c>
      <c r="B255" s="4">
        <v>11422.3675889328</v>
      </c>
      <c r="C255" s="1" t="s">
        <v>94</v>
      </c>
      <c r="D255" s="1" t="s">
        <v>1033</v>
      </c>
      <c r="E255" s="1" t="s">
        <v>96</v>
      </c>
      <c r="F255" s="1" t="s">
        <v>18</v>
      </c>
      <c r="G255" s="4">
        <v>35856.0434782609</v>
      </c>
      <c r="H255" s="1" t="s">
        <v>26</v>
      </c>
      <c r="I255" s="4">
        <v>-162.604743083004</v>
      </c>
      <c r="J255" s="2" t="s">
        <v>1034</v>
      </c>
      <c r="K255" s="4">
        <f>IFERROR(__xludf.DUMMYFUNCTION("SPLIT(J255,""$"")"),31110.95)</f>
        <v>31110.95</v>
      </c>
      <c r="L255" s="2" t="s">
        <v>1035</v>
      </c>
      <c r="M255" s="5">
        <f>IFERROR(__xludf.DUMMYFUNCTION("SPLIT(L255,""$"")"),5366.33)</f>
        <v>5366.33</v>
      </c>
      <c r="N255" s="2" t="s">
        <v>1036</v>
      </c>
    </row>
    <row r="256">
      <c r="A256" s="1" t="s">
        <v>152</v>
      </c>
      <c r="B256" s="4">
        <v>11428.2460474308</v>
      </c>
      <c r="C256" s="1" t="s">
        <v>100</v>
      </c>
      <c r="D256" s="1" t="s">
        <v>1037</v>
      </c>
      <c r="E256" s="1" t="s">
        <v>102</v>
      </c>
      <c r="F256" s="1" t="s">
        <v>18</v>
      </c>
      <c r="G256" s="4">
        <v>35856.0652173913</v>
      </c>
      <c r="H256" s="1" t="s">
        <v>103</v>
      </c>
      <c r="I256" s="4">
        <v>-163.470355731225</v>
      </c>
      <c r="J256" s="2" t="s">
        <v>1038</v>
      </c>
      <c r="K256" s="4">
        <f>IFERROR(__xludf.DUMMYFUNCTION("SPLIT(J256,""$"")"),25411.43)</f>
        <v>25411.43</v>
      </c>
      <c r="L256" s="2" t="s">
        <v>1039</v>
      </c>
      <c r="M256" s="5">
        <f>IFERROR(__xludf.DUMMYFUNCTION("SPLIT(L256,""$"")"),5282.103)</f>
        <v>5282.103</v>
      </c>
      <c r="N256" s="2" t="s">
        <v>1040</v>
      </c>
    </row>
    <row r="257">
      <c r="A257" s="1" t="s">
        <v>152</v>
      </c>
      <c r="B257" s="4">
        <v>11434.1245059289</v>
      </c>
      <c r="C257" s="1" t="s">
        <v>107</v>
      </c>
      <c r="D257" s="1" t="s">
        <v>1041</v>
      </c>
      <c r="E257" s="1" t="s">
        <v>109</v>
      </c>
      <c r="F257" s="1" t="s">
        <v>18</v>
      </c>
      <c r="G257" s="4">
        <v>35856.0869565217</v>
      </c>
      <c r="H257" s="1" t="s">
        <v>69</v>
      </c>
      <c r="I257" s="4">
        <v>-164.335968379447</v>
      </c>
      <c r="J257" s="2" t="s">
        <v>1042</v>
      </c>
      <c r="K257" s="4">
        <f>IFERROR(__xludf.DUMMYFUNCTION("SPLIT(J257,""$"")"),9234.61)</f>
        <v>9234.61</v>
      </c>
      <c r="L257" s="2" t="s">
        <v>1043</v>
      </c>
      <c r="M257" s="5">
        <f>IFERROR(__xludf.DUMMYFUNCTION("SPLIT(L257,""$"")"),5676.65)</f>
        <v>5676.65</v>
      </c>
      <c r="N257" s="2" t="s">
        <v>1044</v>
      </c>
    </row>
    <row r="258">
      <c r="A258" s="1" t="s">
        <v>152</v>
      </c>
      <c r="B258" s="4">
        <v>11440.0029644269</v>
      </c>
      <c r="C258" s="1" t="s">
        <v>113</v>
      </c>
      <c r="D258" s="1" t="s">
        <v>1045</v>
      </c>
      <c r="E258" s="1" t="s">
        <v>115</v>
      </c>
      <c r="F258" s="1" t="s">
        <v>18</v>
      </c>
      <c r="G258" s="4">
        <v>35856.1086956522</v>
      </c>
      <c r="H258" s="1" t="s">
        <v>103</v>
      </c>
      <c r="I258" s="4">
        <v>-165.201581027668</v>
      </c>
      <c r="J258" s="2" t="s">
        <v>1046</v>
      </c>
      <c r="K258" s="4">
        <f>IFERROR(__xludf.DUMMYFUNCTION("SPLIT(J258,""$"")"),15895.95)</f>
        <v>15895.95</v>
      </c>
      <c r="L258" s="2" t="s">
        <v>1047</v>
      </c>
      <c r="M258" s="5">
        <f>IFERROR(__xludf.DUMMYFUNCTION("SPLIT(L258,""$"")"),5930.21)</f>
        <v>5930.21</v>
      </c>
      <c r="N258" s="2" t="s">
        <v>1048</v>
      </c>
    </row>
    <row r="259">
      <c r="A259" s="1" t="s">
        <v>152</v>
      </c>
      <c r="B259" s="4">
        <v>11445.8814229249</v>
      </c>
      <c r="C259" s="1" t="s">
        <v>119</v>
      </c>
      <c r="D259" s="1" t="s">
        <v>1049</v>
      </c>
      <c r="E259" s="1" t="s">
        <v>121</v>
      </c>
      <c r="F259" s="1" t="s">
        <v>18</v>
      </c>
      <c r="G259" s="4">
        <v>35856.1304347826</v>
      </c>
      <c r="H259" s="1" t="s">
        <v>122</v>
      </c>
      <c r="I259" s="4">
        <v>-166.067193675889</v>
      </c>
      <c r="J259" s="2" t="s">
        <v>1050</v>
      </c>
      <c r="K259" s="4">
        <f>IFERROR(__xludf.DUMMYFUNCTION("SPLIT(J259,""$"")"),19721.26)</f>
        <v>19721.26</v>
      </c>
      <c r="L259" s="2" t="s">
        <v>1051</v>
      </c>
      <c r="M259" s="5">
        <f>IFERROR(__xludf.DUMMYFUNCTION("SPLIT(L259,""$"")"),6192.64)</f>
        <v>6192.64</v>
      </c>
      <c r="N259" s="2" t="s">
        <v>1052</v>
      </c>
    </row>
    <row r="260">
      <c r="A260" s="1" t="s">
        <v>152</v>
      </c>
      <c r="B260" s="4">
        <v>11451.7598814229</v>
      </c>
      <c r="C260" s="1" t="s">
        <v>126</v>
      </c>
      <c r="D260" s="1" t="s">
        <v>1053</v>
      </c>
      <c r="E260" s="1" t="s">
        <v>128</v>
      </c>
      <c r="F260" s="1" t="s">
        <v>18</v>
      </c>
      <c r="G260" s="4">
        <v>35856.152173913</v>
      </c>
      <c r="H260" s="1" t="s">
        <v>103</v>
      </c>
      <c r="I260" s="4">
        <v>-166.932806324111</v>
      </c>
      <c r="J260" s="2" t="s">
        <v>1054</v>
      </c>
      <c r="K260" s="4">
        <f>IFERROR(__xludf.DUMMYFUNCTION("SPLIT(J260,""$"")"),10710.98)</f>
        <v>10710.98</v>
      </c>
      <c r="L260" s="2" t="s">
        <v>1055</v>
      </c>
      <c r="M260" s="5">
        <f>IFERROR(__xludf.DUMMYFUNCTION("SPLIT(L260,""$"")"),4968.1)</f>
        <v>4968.1</v>
      </c>
      <c r="N260" s="2" t="s">
        <v>1056</v>
      </c>
    </row>
    <row r="261">
      <c r="A261" s="1" t="s">
        <v>152</v>
      </c>
      <c r="B261" s="4">
        <v>11457.6383399209</v>
      </c>
      <c r="C261" s="1" t="s">
        <v>132</v>
      </c>
      <c r="D261" s="1" t="s">
        <v>1057</v>
      </c>
      <c r="E261" s="1" t="s">
        <v>38</v>
      </c>
      <c r="F261" s="1" t="s">
        <v>18</v>
      </c>
      <c r="G261" s="4">
        <v>35856.1739130435</v>
      </c>
      <c r="H261" s="1" t="s">
        <v>26</v>
      </c>
      <c r="I261" s="4">
        <v>-167.798418972332</v>
      </c>
      <c r="J261" s="2" t="s">
        <v>1058</v>
      </c>
      <c r="K261" s="4">
        <f>IFERROR(__xludf.DUMMYFUNCTION("SPLIT(J261,""$"")"),51343.85)</f>
        <v>51343.85</v>
      </c>
      <c r="L261" s="2" t="s">
        <v>1059</v>
      </c>
      <c r="M261" s="5">
        <f>IFERROR(__xludf.DUMMYFUNCTION("SPLIT(L261,""$"")"),5996.1)</f>
        <v>5996.1</v>
      </c>
      <c r="N261" s="2" t="s">
        <v>1060</v>
      </c>
    </row>
    <row r="262">
      <c r="A262" s="1" t="s">
        <v>152</v>
      </c>
      <c r="B262" s="4">
        <v>11463.516798419</v>
      </c>
      <c r="C262" s="1" t="s">
        <v>137</v>
      </c>
      <c r="D262" s="1" t="s">
        <v>1061</v>
      </c>
      <c r="E262" s="1" t="s">
        <v>38</v>
      </c>
      <c r="F262" s="1" t="s">
        <v>18</v>
      </c>
      <c r="G262" s="4">
        <v>35856.1956521739</v>
      </c>
      <c r="H262" s="1" t="s">
        <v>26</v>
      </c>
      <c r="I262" s="4">
        <v>-168.664031620553</v>
      </c>
      <c r="J262" s="2" t="s">
        <v>1062</v>
      </c>
      <c r="K262" s="4">
        <f>IFERROR(__xludf.DUMMYFUNCTION("SPLIT(J262,""$"")"),55219.41)</f>
        <v>55219.41</v>
      </c>
      <c r="L262" s="2" t="s">
        <v>1063</v>
      </c>
      <c r="M262" s="5">
        <f>IFERROR(__xludf.DUMMYFUNCTION("SPLIT(L262,""$"")"),5710.41)</f>
        <v>5710.41</v>
      </c>
      <c r="N262" s="2" t="s">
        <v>1064</v>
      </c>
    </row>
    <row r="263">
      <c r="A263" s="1" t="s">
        <v>152</v>
      </c>
      <c r="B263" s="4">
        <v>11469.395256917</v>
      </c>
      <c r="C263" s="1" t="s">
        <v>142</v>
      </c>
      <c r="D263" s="1" t="s">
        <v>1065</v>
      </c>
      <c r="E263" s="1" t="s">
        <v>115</v>
      </c>
      <c r="F263" s="1" t="s">
        <v>18</v>
      </c>
      <c r="G263" s="4">
        <v>35856.2173913043</v>
      </c>
      <c r="H263" s="1" t="s">
        <v>103</v>
      </c>
      <c r="I263" s="4">
        <v>-169.529644268775</v>
      </c>
      <c r="J263" s="2" t="s">
        <v>1066</v>
      </c>
      <c r="K263" s="4">
        <f>IFERROR(__xludf.DUMMYFUNCTION("SPLIT(J263,""$"")"),14948.25)</f>
        <v>14948.25</v>
      </c>
      <c r="L263" s="2" t="s">
        <v>1067</v>
      </c>
      <c r="M263" s="5">
        <f>IFERROR(__xludf.DUMMYFUNCTION("SPLIT(L263,""$"")"),5550.1)</f>
        <v>5550.1</v>
      </c>
      <c r="N263" s="2" t="s">
        <v>1068</v>
      </c>
    </row>
    <row r="264">
      <c r="A264" s="1" t="s">
        <v>152</v>
      </c>
      <c r="B264" s="4">
        <v>11475.273715415</v>
      </c>
      <c r="C264" s="1" t="s">
        <v>147</v>
      </c>
      <c r="D264" s="1" t="s">
        <v>1069</v>
      </c>
      <c r="E264" s="1" t="s">
        <v>38</v>
      </c>
      <c r="F264" s="1" t="s">
        <v>18</v>
      </c>
      <c r="G264" s="4">
        <v>35856.2391304348</v>
      </c>
      <c r="H264" s="1" t="s">
        <v>26</v>
      </c>
      <c r="I264" s="4">
        <v>-170.395256916996</v>
      </c>
      <c r="J264" s="2" t="s">
        <v>1070</v>
      </c>
      <c r="K264" s="4">
        <f>IFERROR(__xludf.DUMMYFUNCTION("SPLIT(J264,""$"")"),73846.31)</f>
        <v>73846.31</v>
      </c>
      <c r="L264" s="2" t="s">
        <v>1071</v>
      </c>
      <c r="M264" s="5">
        <f>IFERROR(__xludf.DUMMYFUNCTION("SPLIT(L264,""$"")"),4987.36)</f>
        <v>4987.36</v>
      </c>
      <c r="N264" s="2" t="s">
        <v>1072</v>
      </c>
    </row>
    <row r="265">
      <c r="A265" s="1" t="s">
        <v>0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 t="s">
        <v>6</v>
      </c>
      <c r="H265" s="1" t="s">
        <v>7</v>
      </c>
      <c r="I265" s="1" t="s">
        <v>8</v>
      </c>
      <c r="J265" s="2" t="s">
        <v>9</v>
      </c>
      <c r="K265" s="1" t="s">
        <v>10</v>
      </c>
      <c r="L265" s="2" t="s">
        <v>11</v>
      </c>
      <c r="M265" s="3" t="s">
        <v>12</v>
      </c>
      <c r="N265" s="2" t="s">
        <v>13</v>
      </c>
    </row>
    <row r="266">
      <c r="A266" s="1" t="s">
        <v>152</v>
      </c>
      <c r="B266" s="4">
        <v>11481.152173913</v>
      </c>
      <c r="C266" s="1" t="s">
        <v>15</v>
      </c>
      <c r="D266" s="1" t="s">
        <v>1073</v>
      </c>
      <c r="E266" s="1" t="s">
        <v>17</v>
      </c>
      <c r="F266" s="1" t="s">
        <v>18</v>
      </c>
      <c r="G266" s="4">
        <v>35856.2608695652</v>
      </c>
      <c r="H266" s="1" t="s">
        <v>19</v>
      </c>
      <c r="I266" s="4">
        <v>-171.260869565217</v>
      </c>
      <c r="J266" s="2" t="s">
        <v>1074</v>
      </c>
      <c r="K266" s="4">
        <f>IFERROR(__xludf.DUMMYFUNCTION("SPLIT(J266,""$"")"),32963.18)</f>
        <v>32963.18</v>
      </c>
      <c r="L266" s="2" t="s">
        <v>1075</v>
      </c>
      <c r="M266" s="5">
        <f>IFERROR(__xludf.DUMMYFUNCTION("SPLIT(L266,""$"")"),5777.35)</f>
        <v>5777.35</v>
      </c>
      <c r="N266" s="2" t="s">
        <v>1076</v>
      </c>
    </row>
    <row r="267">
      <c r="A267" s="1" t="s">
        <v>152</v>
      </c>
      <c r="B267" s="4">
        <v>11487.0306324111</v>
      </c>
      <c r="C267" s="1" t="s">
        <v>23</v>
      </c>
      <c r="D267" s="1" t="s">
        <v>1077</v>
      </c>
      <c r="E267" s="1" t="s">
        <v>25</v>
      </c>
      <c r="F267" s="1" t="s">
        <v>18</v>
      </c>
      <c r="G267" s="4">
        <v>35856.2826086956</v>
      </c>
      <c r="H267" s="1" t="s">
        <v>26</v>
      </c>
      <c r="I267" s="4">
        <v>-172.126482213439</v>
      </c>
      <c r="J267" s="2" t="s">
        <v>1078</v>
      </c>
      <c r="K267" s="4">
        <f>IFERROR(__xludf.DUMMYFUNCTION("SPLIT(J267,""$"")"),15131.96)</f>
        <v>15131.96</v>
      </c>
      <c r="L267" s="2" t="s">
        <v>1079</v>
      </c>
      <c r="M267" s="5">
        <f>IFERROR(__xludf.DUMMYFUNCTION("SPLIT(L267,""$"")"),5787.68)</f>
        <v>5787.68</v>
      </c>
      <c r="N267" s="2" t="s">
        <v>1080</v>
      </c>
    </row>
    <row r="268">
      <c r="A268" s="1" t="s">
        <v>152</v>
      </c>
      <c r="B268" s="4">
        <v>11492.9090909091</v>
      </c>
      <c r="C268" s="1" t="s">
        <v>30</v>
      </c>
      <c r="D268" s="1" t="s">
        <v>1081</v>
      </c>
      <c r="E268" s="1" t="s">
        <v>32</v>
      </c>
      <c r="F268" s="1" t="s">
        <v>18</v>
      </c>
      <c r="G268" s="4">
        <v>35856.3043478261</v>
      </c>
      <c r="H268" s="1" t="s">
        <v>26</v>
      </c>
      <c r="I268" s="4">
        <v>-172.99209486166</v>
      </c>
      <c r="J268" s="2" t="s">
        <v>1082</v>
      </c>
      <c r="K268" s="4">
        <f>IFERROR(__xludf.DUMMYFUNCTION("SPLIT(J268,""$"")"),37560.48)</f>
        <v>37560.48</v>
      </c>
      <c r="L268" s="2" t="s">
        <v>1083</v>
      </c>
      <c r="M268" s="5">
        <f>IFERROR(__xludf.DUMMYFUNCTION("SPLIT(L268,""$"")"),5434.106)</f>
        <v>5434.106</v>
      </c>
      <c r="N268" s="2" t="s">
        <v>1084</v>
      </c>
    </row>
    <row r="269">
      <c r="A269" s="1" t="s">
        <v>152</v>
      </c>
      <c r="B269" s="4">
        <v>11498.7875494071</v>
      </c>
      <c r="C269" s="1" t="s">
        <v>36</v>
      </c>
      <c r="D269" s="1" t="s">
        <v>1085</v>
      </c>
      <c r="E269" s="1" t="s">
        <v>38</v>
      </c>
      <c r="F269" s="1" t="s">
        <v>18</v>
      </c>
      <c r="G269" s="4">
        <v>35856.3260869565</v>
      </c>
      <c r="H269" s="1" t="s">
        <v>26</v>
      </c>
      <c r="I269" s="4">
        <v>-173.857707509881</v>
      </c>
      <c r="J269" s="2" t="s">
        <v>1086</v>
      </c>
      <c r="K269" s="4">
        <f>IFERROR(__xludf.DUMMYFUNCTION("SPLIT(J269,""$"")"),13998.39)</f>
        <v>13998.39</v>
      </c>
      <c r="L269" s="2" t="s">
        <v>1087</v>
      </c>
      <c r="M269" s="5">
        <f>IFERROR(__xludf.DUMMYFUNCTION("SPLIT(L269,""$"")"),5417.67)</f>
        <v>5417.67</v>
      </c>
      <c r="N269" s="2" t="s">
        <v>1088</v>
      </c>
    </row>
    <row r="270">
      <c r="A270" s="1" t="s">
        <v>152</v>
      </c>
      <c r="B270" s="4">
        <v>11504.6660079051</v>
      </c>
      <c r="C270" s="1" t="s">
        <v>42</v>
      </c>
      <c r="D270" s="1" t="s">
        <v>1089</v>
      </c>
      <c r="E270" s="1" t="s">
        <v>44</v>
      </c>
      <c r="F270" s="1" t="s">
        <v>18</v>
      </c>
      <c r="G270" s="4">
        <v>35856.3478260869</v>
      </c>
      <c r="H270" s="1" t="s">
        <v>26</v>
      </c>
      <c r="I270" s="4">
        <v>-174.723320158103</v>
      </c>
      <c r="J270" s="2" t="s">
        <v>1090</v>
      </c>
      <c r="K270" s="4">
        <f>IFERROR(__xludf.DUMMYFUNCTION("SPLIT(J270,""$"")"),31633.38)</f>
        <v>31633.38</v>
      </c>
      <c r="L270" s="2" t="s">
        <v>1091</v>
      </c>
      <c r="M270" s="5">
        <f>IFERROR(__xludf.DUMMYFUNCTION("SPLIT(L270,""$"")"),5658.44)</f>
        <v>5658.44</v>
      </c>
      <c r="N270" s="2" t="s">
        <v>1092</v>
      </c>
    </row>
    <row r="271">
      <c r="A271" s="1" t="s">
        <v>152</v>
      </c>
      <c r="B271" s="4">
        <v>11510.5444664032</v>
      </c>
      <c r="C271" s="1" t="s">
        <v>48</v>
      </c>
      <c r="D271" s="1" t="s">
        <v>1093</v>
      </c>
      <c r="E271" s="1" t="s">
        <v>50</v>
      </c>
      <c r="F271" s="1" t="s">
        <v>18</v>
      </c>
      <c r="G271" s="4">
        <v>35856.3695652174</v>
      </c>
      <c r="H271" s="1" t="s">
        <v>51</v>
      </c>
      <c r="I271" s="4">
        <v>-175.588932806324</v>
      </c>
      <c r="J271" s="2" t="s">
        <v>1094</v>
      </c>
      <c r="K271" s="4">
        <f>IFERROR(__xludf.DUMMYFUNCTION("SPLIT(J271,""$"")"),16920.9)</f>
        <v>16920.9</v>
      </c>
      <c r="L271" s="2" t="s">
        <v>1095</v>
      </c>
      <c r="M271" s="5">
        <f>IFERROR(__xludf.DUMMYFUNCTION("SPLIT(L271,""$"")"),6653.91)</f>
        <v>6653.91</v>
      </c>
      <c r="N271" s="2" t="s">
        <v>1096</v>
      </c>
    </row>
    <row r="272">
      <c r="A272" s="1" t="s">
        <v>152</v>
      </c>
      <c r="B272" s="4">
        <v>11516.4229249012</v>
      </c>
      <c r="C272" s="1" t="s">
        <v>55</v>
      </c>
      <c r="D272" s="1" t="s">
        <v>1097</v>
      </c>
      <c r="E272" s="1" t="s">
        <v>57</v>
      </c>
      <c r="F272" s="1" t="s">
        <v>18</v>
      </c>
      <c r="G272" s="4">
        <v>35856.3913043478</v>
      </c>
      <c r="H272" s="1" t="s">
        <v>26</v>
      </c>
      <c r="I272" s="4">
        <v>-176.454545454545</v>
      </c>
      <c r="J272" s="2" t="s">
        <v>1098</v>
      </c>
      <c r="K272" s="4">
        <f>IFERROR(__xludf.DUMMYFUNCTION("SPLIT(J272,""$"")"),11977.24)</f>
        <v>11977.24</v>
      </c>
      <c r="L272" s="2" t="s">
        <v>1099</v>
      </c>
      <c r="M272" s="5">
        <f>IFERROR(__xludf.DUMMYFUNCTION("SPLIT(L272,""$"")"),5834.85)</f>
        <v>5834.85</v>
      </c>
      <c r="N272" s="2" t="s">
        <v>1100</v>
      </c>
    </row>
    <row r="273">
      <c r="A273" s="1" t="s">
        <v>152</v>
      </c>
      <c r="B273" s="4">
        <v>11522.3013833992</v>
      </c>
      <c r="C273" s="1" t="s">
        <v>61</v>
      </c>
      <c r="D273" s="1" t="s">
        <v>1101</v>
      </c>
      <c r="E273" s="1" t="s">
        <v>38</v>
      </c>
      <c r="F273" s="1" t="s">
        <v>18</v>
      </c>
      <c r="G273" s="4">
        <v>35856.4130434782</v>
      </c>
      <c r="H273" s="1" t="s">
        <v>26</v>
      </c>
      <c r="I273" s="4">
        <v>-177.320158102767</v>
      </c>
      <c r="J273" s="2" t="s">
        <v>1102</v>
      </c>
      <c r="K273" s="4">
        <f>IFERROR(__xludf.DUMMYFUNCTION("SPLIT(J273,""$"")"),35841.2)</f>
        <v>35841.2</v>
      </c>
      <c r="L273" s="2" t="s">
        <v>1103</v>
      </c>
      <c r="M273" s="5">
        <f>IFERROR(__xludf.DUMMYFUNCTION("SPLIT(L273,""$"")"),8031.23)</f>
        <v>8031.23</v>
      </c>
      <c r="N273" s="2" t="s">
        <v>1104</v>
      </c>
    </row>
    <row r="274">
      <c r="A274" s="1" t="s">
        <v>152</v>
      </c>
      <c r="B274" s="4">
        <v>11528.1798418972</v>
      </c>
      <c r="C274" s="1" t="s">
        <v>66</v>
      </c>
      <c r="D274" s="1" t="s">
        <v>1105</v>
      </c>
      <c r="E274" s="1" t="s">
        <v>68</v>
      </c>
      <c r="F274" s="1" t="s">
        <v>18</v>
      </c>
      <c r="G274" s="4">
        <v>35856.4347826087</v>
      </c>
      <c r="H274" s="1" t="s">
        <v>69</v>
      </c>
      <c r="I274" s="4">
        <v>-178.185770750988</v>
      </c>
      <c r="J274" s="2" t="s">
        <v>1106</v>
      </c>
      <c r="K274" s="4">
        <f>IFERROR(__xludf.DUMMYFUNCTION("SPLIT(J274,""$"")"),28523.5)</f>
        <v>28523.5</v>
      </c>
      <c r="L274" s="2" t="s">
        <v>1107</v>
      </c>
      <c r="M274" s="5">
        <f>IFERROR(__xludf.DUMMYFUNCTION("SPLIT(L274,""$"")"),6113.49)</f>
        <v>6113.49</v>
      </c>
      <c r="N274" s="2" t="s">
        <v>1108</v>
      </c>
    </row>
    <row r="275">
      <c r="A275" s="1" t="s">
        <v>152</v>
      </c>
      <c r="B275" s="4">
        <v>11534.0583003953</v>
      </c>
      <c r="C275" s="1" t="s">
        <v>73</v>
      </c>
      <c r="D275" s="1" t="s">
        <v>1109</v>
      </c>
      <c r="E275" s="1" t="s">
        <v>75</v>
      </c>
      <c r="F275" s="1" t="s">
        <v>18</v>
      </c>
      <c r="G275" s="4">
        <v>35856.4565217391</v>
      </c>
      <c r="H275" s="1" t="s">
        <v>26</v>
      </c>
      <c r="I275" s="4">
        <v>-179.05138339921</v>
      </c>
      <c r="J275" s="2" t="s">
        <v>1110</v>
      </c>
      <c r="K275" s="4">
        <f>IFERROR(__xludf.DUMMYFUNCTION("SPLIT(J275,""$"")"),75233.49)</f>
        <v>75233.49</v>
      </c>
      <c r="L275" s="2" t="s">
        <v>1111</v>
      </c>
      <c r="M275" s="5">
        <f>IFERROR(__xludf.DUMMYFUNCTION("SPLIT(L275,""$"")"),5541.16)</f>
        <v>5541.16</v>
      </c>
      <c r="N275" s="2" t="s">
        <v>1112</v>
      </c>
    </row>
    <row r="276">
      <c r="A276" s="1" t="s">
        <v>152</v>
      </c>
      <c r="B276" s="4">
        <v>11539.9367588933</v>
      </c>
      <c r="C276" s="1" t="s">
        <v>79</v>
      </c>
      <c r="D276" s="1" t="s">
        <v>1113</v>
      </c>
      <c r="E276" s="1" t="s">
        <v>75</v>
      </c>
      <c r="F276" s="1" t="s">
        <v>18</v>
      </c>
      <c r="G276" s="4">
        <v>35856.4782608695</v>
      </c>
      <c r="H276" s="1" t="s">
        <v>26</v>
      </c>
      <c r="I276" s="4">
        <v>-179.916996047431</v>
      </c>
      <c r="J276" s="2" t="s">
        <v>1114</v>
      </c>
      <c r="K276" s="4">
        <f>IFERROR(__xludf.DUMMYFUNCTION("SPLIT(J276,""$"")"),67327.103)</f>
        <v>67327.103</v>
      </c>
      <c r="L276" s="2" t="s">
        <v>1115</v>
      </c>
      <c r="M276" s="5">
        <f>IFERROR(__xludf.DUMMYFUNCTION("SPLIT(L276,""$"")"),5461.68)</f>
        <v>5461.68</v>
      </c>
      <c r="N276" s="2" t="s">
        <v>1116</v>
      </c>
    </row>
    <row r="277">
      <c r="A277" s="1" t="s">
        <v>152</v>
      </c>
      <c r="B277" s="4">
        <v>11545.8152173913</v>
      </c>
      <c r="C277" s="1" t="s">
        <v>84</v>
      </c>
      <c r="D277" s="1" t="s">
        <v>1117</v>
      </c>
      <c r="E277" s="1" t="s">
        <v>17</v>
      </c>
      <c r="F277" s="1" t="s">
        <v>18</v>
      </c>
      <c r="G277" s="4">
        <v>35856.5</v>
      </c>
      <c r="H277" s="1" t="s">
        <v>19</v>
      </c>
      <c r="I277" s="4">
        <v>-180.782608695652</v>
      </c>
      <c r="J277" s="2" t="s">
        <v>1118</v>
      </c>
      <c r="K277" s="4">
        <f>IFERROR(__xludf.DUMMYFUNCTION("SPLIT(J277,""$"")"),39607.39)</f>
        <v>39607.39</v>
      </c>
      <c r="L277" s="2" t="s">
        <v>1119</v>
      </c>
      <c r="M277" s="5">
        <f>IFERROR(__xludf.DUMMYFUNCTION("SPLIT(L277,""$"")"),5356.39)</f>
        <v>5356.39</v>
      </c>
      <c r="N277" s="2" t="s">
        <v>1120</v>
      </c>
    </row>
    <row r="278">
      <c r="A278" s="1" t="s">
        <v>152</v>
      </c>
      <c r="B278" s="4">
        <v>11551.6936758893</v>
      </c>
      <c r="C278" s="1" t="s">
        <v>89</v>
      </c>
      <c r="D278" s="1" t="s">
        <v>1121</v>
      </c>
      <c r="E278" s="1" t="s">
        <v>38</v>
      </c>
      <c r="F278" s="1" t="s">
        <v>18</v>
      </c>
      <c r="G278" s="4">
        <v>35856.5217391304</v>
      </c>
      <c r="H278" s="1" t="s">
        <v>26</v>
      </c>
      <c r="I278" s="4">
        <v>-181.648221343874</v>
      </c>
      <c r="J278" s="2" t="s">
        <v>1122</v>
      </c>
      <c r="K278" s="4">
        <f>IFERROR(__xludf.DUMMYFUNCTION("SPLIT(J278,""$"")"),22862.34)</f>
        <v>22862.34</v>
      </c>
      <c r="L278" s="2" t="s">
        <v>1123</v>
      </c>
      <c r="M278" s="5">
        <f>IFERROR(__xludf.DUMMYFUNCTION("SPLIT(L278,""$"")"),5374.76)</f>
        <v>5374.76</v>
      </c>
      <c r="N278" s="2" t="s">
        <v>1124</v>
      </c>
    </row>
    <row r="279">
      <c r="A279" s="1" t="s">
        <v>152</v>
      </c>
      <c r="B279" s="4">
        <v>11557.5721343874</v>
      </c>
      <c r="C279" s="1" t="s">
        <v>94</v>
      </c>
      <c r="D279" s="1" t="s">
        <v>1125</v>
      </c>
      <c r="E279" s="1" t="s">
        <v>96</v>
      </c>
      <c r="F279" s="1" t="s">
        <v>18</v>
      </c>
      <c r="G279" s="4">
        <v>35856.5434782609</v>
      </c>
      <c r="H279" s="1" t="s">
        <v>26</v>
      </c>
      <c r="I279" s="4">
        <v>-182.513833992095</v>
      </c>
      <c r="J279" s="2" t="s">
        <v>1126</v>
      </c>
      <c r="K279" s="4">
        <f>IFERROR(__xludf.DUMMYFUNCTION("SPLIT(J279,""$"")"),31110.96)</f>
        <v>31110.96</v>
      </c>
      <c r="L279" s="2" t="s">
        <v>1127</v>
      </c>
      <c r="M279" s="5">
        <f>IFERROR(__xludf.DUMMYFUNCTION("SPLIT(L279,""$"")"),5366.34)</f>
        <v>5366.34</v>
      </c>
      <c r="N279" s="2" t="s">
        <v>1128</v>
      </c>
    </row>
    <row r="280">
      <c r="A280" s="1" t="s">
        <v>152</v>
      </c>
      <c r="B280" s="4">
        <v>11563.4505928854</v>
      </c>
      <c r="C280" s="1" t="s">
        <v>100</v>
      </c>
      <c r="D280" s="1" t="s">
        <v>1129</v>
      </c>
      <c r="E280" s="1" t="s">
        <v>102</v>
      </c>
      <c r="F280" s="1" t="s">
        <v>18</v>
      </c>
      <c r="G280" s="4">
        <v>35856.5652173913</v>
      </c>
      <c r="H280" s="1" t="s">
        <v>103</v>
      </c>
      <c r="I280" s="4">
        <v>-183.379446640316</v>
      </c>
      <c r="J280" s="2" t="s">
        <v>1130</v>
      </c>
      <c r="K280" s="4">
        <f>IFERROR(__xludf.DUMMYFUNCTION("SPLIT(J280,""$"")"),25411.44)</f>
        <v>25411.44</v>
      </c>
      <c r="L280" s="2" t="s">
        <v>1131</v>
      </c>
      <c r="M280" s="5">
        <f>IFERROR(__xludf.DUMMYFUNCTION("SPLIT(L280,""$"")"),5282.104)</f>
        <v>5282.104</v>
      </c>
      <c r="N280" s="2" t="s">
        <v>1132</v>
      </c>
    </row>
    <row r="281">
      <c r="A281" s="1" t="s">
        <v>152</v>
      </c>
      <c r="B281" s="4">
        <v>11569.3290513834</v>
      </c>
      <c r="C281" s="1" t="s">
        <v>107</v>
      </c>
      <c r="D281" s="1" t="s">
        <v>1133</v>
      </c>
      <c r="E281" s="1" t="s">
        <v>109</v>
      </c>
      <c r="F281" s="1" t="s">
        <v>18</v>
      </c>
      <c r="G281" s="4">
        <v>35856.5869565217</v>
      </c>
      <c r="H281" s="1" t="s">
        <v>69</v>
      </c>
      <c r="I281" s="4">
        <v>-184.245059288538</v>
      </c>
      <c r="J281" s="2" t="s">
        <v>1134</v>
      </c>
      <c r="K281" s="4">
        <f>IFERROR(__xludf.DUMMYFUNCTION("SPLIT(J281,""$"")"),9234.62)</f>
        <v>9234.62</v>
      </c>
      <c r="L281" s="2" t="s">
        <v>1135</v>
      </c>
      <c r="M281" s="5">
        <f>IFERROR(__xludf.DUMMYFUNCTION("SPLIT(L281,""$"")"),5676.66)</f>
        <v>5676.66</v>
      </c>
      <c r="N281" s="2" t="s">
        <v>1136</v>
      </c>
    </row>
    <row r="282">
      <c r="A282" s="1" t="s">
        <v>152</v>
      </c>
      <c r="B282" s="4">
        <v>11575.2075098814</v>
      </c>
      <c r="C282" s="1" t="s">
        <v>113</v>
      </c>
      <c r="D282" s="1" t="s">
        <v>1137</v>
      </c>
      <c r="E282" s="1" t="s">
        <v>115</v>
      </c>
      <c r="F282" s="1" t="s">
        <v>18</v>
      </c>
      <c r="G282" s="4">
        <v>35856.6086956522</v>
      </c>
      <c r="H282" s="1" t="s">
        <v>103</v>
      </c>
      <c r="I282" s="4">
        <v>-185.110671936759</v>
      </c>
      <c r="J282" s="2" t="s">
        <v>1138</v>
      </c>
      <c r="K282" s="4">
        <f>IFERROR(__xludf.DUMMYFUNCTION("SPLIT(J282,""$"")"),15895.96)</f>
        <v>15895.96</v>
      </c>
      <c r="L282" s="2" t="s">
        <v>1139</v>
      </c>
      <c r="M282" s="5">
        <f>IFERROR(__xludf.DUMMYFUNCTION("SPLIT(L282,""$"")"),5930.22)</f>
        <v>5930.22</v>
      </c>
      <c r="N282" s="2" t="s">
        <v>1140</v>
      </c>
    </row>
    <row r="283">
      <c r="A283" s="1" t="s">
        <v>152</v>
      </c>
      <c r="B283" s="4">
        <v>11581.0859683794</v>
      </c>
      <c r="C283" s="1" t="s">
        <v>119</v>
      </c>
      <c r="D283" s="1" t="s">
        <v>1141</v>
      </c>
      <c r="E283" s="1" t="s">
        <v>121</v>
      </c>
      <c r="F283" s="1" t="s">
        <v>18</v>
      </c>
      <c r="G283" s="4">
        <v>35856.6304347826</v>
      </c>
      <c r="H283" s="1" t="s">
        <v>122</v>
      </c>
      <c r="I283" s="4">
        <v>-185.97628458498</v>
      </c>
      <c r="J283" s="2" t="s">
        <v>1142</v>
      </c>
      <c r="K283" s="4">
        <f>IFERROR(__xludf.DUMMYFUNCTION("SPLIT(J283,""$"")"),19721.27)</f>
        <v>19721.27</v>
      </c>
      <c r="L283" s="2" t="s">
        <v>1143</v>
      </c>
      <c r="M283" s="5">
        <f>IFERROR(__xludf.DUMMYFUNCTION("SPLIT(L283,""$"")"),6192.65)</f>
        <v>6192.65</v>
      </c>
      <c r="N283" s="2" t="s">
        <v>1144</v>
      </c>
    </row>
    <row r="284">
      <c r="A284" s="1" t="s">
        <v>152</v>
      </c>
      <c r="B284" s="4">
        <v>11586.9644268775</v>
      </c>
      <c r="C284" s="1" t="s">
        <v>126</v>
      </c>
      <c r="D284" s="1" t="s">
        <v>1145</v>
      </c>
      <c r="E284" s="1" t="s">
        <v>128</v>
      </c>
      <c r="F284" s="1" t="s">
        <v>18</v>
      </c>
      <c r="G284" s="4">
        <v>35856.652173913</v>
      </c>
      <c r="H284" s="1" t="s">
        <v>103</v>
      </c>
      <c r="I284" s="4">
        <v>-186.841897233202</v>
      </c>
      <c r="J284" s="2" t="s">
        <v>1146</v>
      </c>
      <c r="K284" s="4">
        <f>IFERROR(__xludf.DUMMYFUNCTION("SPLIT(J284,""$"")"),10710.99)</f>
        <v>10710.99</v>
      </c>
      <c r="L284" s="2" t="s">
        <v>1147</v>
      </c>
      <c r="M284" s="5">
        <f>IFERROR(__xludf.DUMMYFUNCTION("SPLIT(L284,""$"")"),4968.11)</f>
        <v>4968.11</v>
      </c>
      <c r="N284" s="2" t="s">
        <v>1148</v>
      </c>
    </row>
    <row r="285">
      <c r="A285" s="1" t="s">
        <v>152</v>
      </c>
      <c r="B285" s="4">
        <v>11592.8428853755</v>
      </c>
      <c r="C285" s="1" t="s">
        <v>132</v>
      </c>
      <c r="D285" s="1" t="s">
        <v>1149</v>
      </c>
      <c r="E285" s="1" t="s">
        <v>38</v>
      </c>
      <c r="F285" s="1" t="s">
        <v>18</v>
      </c>
      <c r="G285" s="4">
        <v>35856.6739130435</v>
      </c>
      <c r="H285" s="1" t="s">
        <v>26</v>
      </c>
      <c r="I285" s="4">
        <v>-187.707509881423</v>
      </c>
      <c r="J285" s="2" t="s">
        <v>1150</v>
      </c>
      <c r="K285" s="4">
        <f>IFERROR(__xludf.DUMMYFUNCTION("SPLIT(J285,""$"")"),51343.86)</f>
        <v>51343.86</v>
      </c>
      <c r="L285" s="2" t="s">
        <v>1151</v>
      </c>
      <c r="M285" s="5">
        <f>IFERROR(__xludf.DUMMYFUNCTION("SPLIT(L285,""$"")"),5996.11)</f>
        <v>5996.11</v>
      </c>
      <c r="N285" s="2" t="s">
        <v>1152</v>
      </c>
    </row>
    <row r="286">
      <c r="A286" s="1" t="s">
        <v>152</v>
      </c>
      <c r="B286" s="4">
        <v>11598.7213438735</v>
      </c>
      <c r="C286" s="1" t="s">
        <v>137</v>
      </c>
      <c r="D286" s="1" t="s">
        <v>1153</v>
      </c>
      <c r="E286" s="1" t="s">
        <v>38</v>
      </c>
      <c r="F286" s="1" t="s">
        <v>18</v>
      </c>
      <c r="G286" s="4">
        <v>35856.6956521739</v>
      </c>
      <c r="H286" s="1" t="s">
        <v>26</v>
      </c>
      <c r="I286" s="4">
        <v>-188.573122529644</v>
      </c>
      <c r="J286" s="2" t="s">
        <v>1154</v>
      </c>
      <c r="K286" s="4">
        <f>IFERROR(__xludf.DUMMYFUNCTION("SPLIT(J286,""$"")"),55219.42)</f>
        <v>55219.42</v>
      </c>
      <c r="L286" s="2" t="s">
        <v>1155</v>
      </c>
      <c r="M286" s="5">
        <f>IFERROR(__xludf.DUMMYFUNCTION("SPLIT(L286,""$"")"),5710.42)</f>
        <v>5710.42</v>
      </c>
      <c r="N286" s="2" t="s">
        <v>1156</v>
      </c>
    </row>
    <row r="287">
      <c r="A287" s="1" t="s">
        <v>152</v>
      </c>
      <c r="B287" s="4">
        <v>11604.5998023715</v>
      </c>
      <c r="C287" s="1" t="s">
        <v>142</v>
      </c>
      <c r="D287" s="1" t="s">
        <v>1157</v>
      </c>
      <c r="E287" s="1" t="s">
        <v>115</v>
      </c>
      <c r="F287" s="1" t="s">
        <v>18</v>
      </c>
      <c r="G287" s="4">
        <v>35856.7173913043</v>
      </c>
      <c r="H287" s="1" t="s">
        <v>103</v>
      </c>
      <c r="I287" s="4">
        <v>-189.438735177866</v>
      </c>
      <c r="J287" s="2" t="s">
        <v>1158</v>
      </c>
      <c r="K287" s="4">
        <f>IFERROR(__xludf.DUMMYFUNCTION("SPLIT(J287,""$"")"),14948.26)</f>
        <v>14948.26</v>
      </c>
      <c r="L287" s="2" t="s">
        <v>1159</v>
      </c>
      <c r="M287" s="5">
        <f>IFERROR(__xludf.DUMMYFUNCTION("SPLIT(L287,""$"")"),5550.101)</f>
        <v>5550.101</v>
      </c>
      <c r="N287" s="2" t="s">
        <v>1160</v>
      </c>
    </row>
    <row r="288">
      <c r="A288" s="1" t="s">
        <v>152</v>
      </c>
      <c r="B288" s="4">
        <v>11610.4782608696</v>
      </c>
      <c r="C288" s="1" t="s">
        <v>147</v>
      </c>
      <c r="D288" s="1" t="s">
        <v>1161</v>
      </c>
      <c r="E288" s="1" t="s">
        <v>38</v>
      </c>
      <c r="F288" s="1" t="s">
        <v>18</v>
      </c>
      <c r="G288" s="4">
        <v>35856.7391304348</v>
      </c>
      <c r="H288" s="1" t="s">
        <v>26</v>
      </c>
      <c r="I288" s="4">
        <v>-190.304347826087</v>
      </c>
      <c r="J288" s="2" t="s">
        <v>1162</v>
      </c>
      <c r="K288" s="4">
        <f>IFERROR(__xludf.DUMMYFUNCTION("SPLIT(J288,""$"")"),73846.32)</f>
        <v>73846.32</v>
      </c>
      <c r="L288" s="2" t="s">
        <v>1163</v>
      </c>
      <c r="M288" s="5">
        <f>IFERROR(__xludf.DUMMYFUNCTION("SPLIT(L288,""$"")"),4987.37)</f>
        <v>4987.37</v>
      </c>
      <c r="N288" s="2" t="s">
        <v>1164</v>
      </c>
    </row>
    <row r="289">
      <c r="A289" s="1" t="s">
        <v>0</v>
      </c>
      <c r="B289" s="1" t="s">
        <v>1</v>
      </c>
      <c r="C289" s="1" t="s">
        <v>2</v>
      </c>
      <c r="D289" s="1" t="s">
        <v>3</v>
      </c>
      <c r="E289" s="1" t="s">
        <v>4</v>
      </c>
      <c r="F289" s="1" t="s">
        <v>5</v>
      </c>
      <c r="G289" s="1" t="s">
        <v>6</v>
      </c>
      <c r="H289" s="1" t="s">
        <v>7</v>
      </c>
      <c r="I289" s="1" t="s">
        <v>8</v>
      </c>
      <c r="J289" s="2" t="s">
        <v>9</v>
      </c>
      <c r="K289" s="1" t="s">
        <v>10</v>
      </c>
      <c r="L289" s="2" t="s">
        <v>11</v>
      </c>
      <c r="M289" s="3" t="s">
        <v>12</v>
      </c>
      <c r="N289" s="2" t="s">
        <v>13</v>
      </c>
    </row>
    <row r="290">
      <c r="A290" s="1" t="s">
        <v>152</v>
      </c>
      <c r="B290" s="4">
        <v>11616.3567193676</v>
      </c>
      <c r="C290" s="1" t="s">
        <v>15</v>
      </c>
      <c r="D290" s="1" t="s">
        <v>1165</v>
      </c>
      <c r="E290" s="1" t="s">
        <v>17</v>
      </c>
      <c r="F290" s="1" t="s">
        <v>18</v>
      </c>
      <c r="G290" s="4">
        <v>35856.7608695652</v>
      </c>
      <c r="H290" s="1" t="s">
        <v>19</v>
      </c>
      <c r="I290" s="4">
        <v>-191.169960474308</v>
      </c>
      <c r="J290" s="2" t="s">
        <v>1166</v>
      </c>
      <c r="K290" s="4">
        <f>IFERROR(__xludf.DUMMYFUNCTION("SPLIT(J290,""$"")"),32963.19)</f>
        <v>32963.19</v>
      </c>
      <c r="L290" s="2" t="s">
        <v>1167</v>
      </c>
      <c r="M290" s="5">
        <f>IFERROR(__xludf.DUMMYFUNCTION("SPLIT(L290,""$"")"),5777.36)</f>
        <v>5777.36</v>
      </c>
      <c r="N290" s="2" t="s">
        <v>1168</v>
      </c>
    </row>
    <row r="291">
      <c r="A291" s="1" t="s">
        <v>152</v>
      </c>
      <c r="B291" s="4">
        <v>11622.2351778656</v>
      </c>
      <c r="C291" s="1" t="s">
        <v>23</v>
      </c>
      <c r="D291" s="1" t="s">
        <v>1169</v>
      </c>
      <c r="E291" s="1" t="s">
        <v>25</v>
      </c>
      <c r="F291" s="1" t="s">
        <v>18</v>
      </c>
      <c r="G291" s="4">
        <v>35856.7826086956</v>
      </c>
      <c r="H291" s="1" t="s">
        <v>26</v>
      </c>
      <c r="I291" s="4">
        <v>-192.03557312253</v>
      </c>
      <c r="J291" s="2" t="s">
        <v>1170</v>
      </c>
      <c r="K291" s="4">
        <f>IFERROR(__xludf.DUMMYFUNCTION("SPLIT(J291,""$"")"),15131.97)</f>
        <v>15131.97</v>
      </c>
      <c r="L291" s="2" t="s">
        <v>1171</v>
      </c>
      <c r="M291" s="5">
        <f>IFERROR(__xludf.DUMMYFUNCTION("SPLIT(L291,""$"")"),5787.69)</f>
        <v>5787.69</v>
      </c>
      <c r="N291" s="2" t="s">
        <v>1172</v>
      </c>
    </row>
    <row r="292">
      <c r="A292" s="1" t="s">
        <v>152</v>
      </c>
      <c r="B292" s="4">
        <v>11628.1136363636</v>
      </c>
      <c r="C292" s="1" t="s">
        <v>30</v>
      </c>
      <c r="D292" s="1" t="s">
        <v>1173</v>
      </c>
      <c r="E292" s="1" t="s">
        <v>32</v>
      </c>
      <c r="F292" s="1" t="s">
        <v>18</v>
      </c>
      <c r="G292" s="4">
        <v>35856.8043478261</v>
      </c>
      <c r="H292" s="1" t="s">
        <v>26</v>
      </c>
      <c r="I292" s="4">
        <v>-192.901185770751</v>
      </c>
      <c r="J292" s="2" t="s">
        <v>1174</v>
      </c>
      <c r="K292" s="4">
        <f>IFERROR(__xludf.DUMMYFUNCTION("SPLIT(J292,""$"")"),37560.49)</f>
        <v>37560.49</v>
      </c>
      <c r="L292" s="2" t="s">
        <v>1175</v>
      </c>
      <c r="M292" s="5">
        <f>IFERROR(__xludf.DUMMYFUNCTION("SPLIT(L292,""$"")"),5434.107)</f>
        <v>5434.107</v>
      </c>
      <c r="N292" s="2" t="s">
        <v>1176</v>
      </c>
    </row>
    <row r="293">
      <c r="A293" s="1" t="s">
        <v>152</v>
      </c>
      <c r="B293" s="4">
        <v>11633.9920948617</v>
      </c>
      <c r="C293" s="1" t="s">
        <v>36</v>
      </c>
      <c r="D293" s="1" t="s">
        <v>1177</v>
      </c>
      <c r="E293" s="1" t="s">
        <v>38</v>
      </c>
      <c r="F293" s="1" t="s">
        <v>18</v>
      </c>
      <c r="G293" s="4">
        <v>35856.8260869565</v>
      </c>
      <c r="H293" s="1" t="s">
        <v>26</v>
      </c>
      <c r="I293" s="4">
        <v>-193.766798418972</v>
      </c>
      <c r="J293" s="2" t="s">
        <v>1178</v>
      </c>
      <c r="K293" s="4">
        <f>IFERROR(__xludf.DUMMYFUNCTION("SPLIT(J293,""$"")"),13998.4)</f>
        <v>13998.4</v>
      </c>
      <c r="L293" s="2" t="s">
        <v>1179</v>
      </c>
      <c r="M293" s="5">
        <f>IFERROR(__xludf.DUMMYFUNCTION("SPLIT(L293,""$"")"),5417.68)</f>
        <v>5417.68</v>
      </c>
      <c r="N293" s="2" t="s">
        <v>1180</v>
      </c>
    </row>
    <row r="294">
      <c r="A294" s="1" t="s">
        <v>152</v>
      </c>
      <c r="B294" s="4">
        <v>11639.8705533597</v>
      </c>
      <c r="C294" s="1" t="s">
        <v>42</v>
      </c>
      <c r="D294" s="1" t="s">
        <v>1181</v>
      </c>
      <c r="E294" s="1" t="s">
        <v>44</v>
      </c>
      <c r="F294" s="1" t="s">
        <v>18</v>
      </c>
      <c r="G294" s="4">
        <v>35856.8478260869</v>
      </c>
      <c r="H294" s="1" t="s">
        <v>26</v>
      </c>
      <c r="I294" s="4">
        <v>-194.632411067194</v>
      </c>
      <c r="J294" s="2" t="s">
        <v>1182</v>
      </c>
      <c r="K294" s="4">
        <f>IFERROR(__xludf.DUMMYFUNCTION("SPLIT(J294,""$"")"),31633.39)</f>
        <v>31633.39</v>
      </c>
      <c r="L294" s="2" t="s">
        <v>1183</v>
      </c>
      <c r="M294" s="5">
        <f>IFERROR(__xludf.DUMMYFUNCTION("SPLIT(L294,""$"")"),5658.45)</f>
        <v>5658.45</v>
      </c>
      <c r="N294" s="2" t="s">
        <v>1184</v>
      </c>
    </row>
    <row r="295">
      <c r="A295" s="1" t="s">
        <v>152</v>
      </c>
      <c r="B295" s="4">
        <v>11645.7490118577</v>
      </c>
      <c r="C295" s="1" t="s">
        <v>48</v>
      </c>
      <c r="D295" s="1" t="s">
        <v>1185</v>
      </c>
      <c r="E295" s="1" t="s">
        <v>50</v>
      </c>
      <c r="F295" s="1" t="s">
        <v>18</v>
      </c>
      <c r="G295" s="4">
        <v>35856.8695652174</v>
      </c>
      <c r="H295" s="1" t="s">
        <v>51</v>
      </c>
      <c r="I295" s="4">
        <v>-195.498023715415</v>
      </c>
      <c r="J295" s="2" t="s">
        <v>1186</v>
      </c>
      <c r="K295" s="4">
        <f>IFERROR(__xludf.DUMMYFUNCTION("SPLIT(J295,""$"")"),16920.91)</f>
        <v>16920.91</v>
      </c>
      <c r="L295" s="2" t="s">
        <v>1187</v>
      </c>
      <c r="M295" s="5">
        <f>IFERROR(__xludf.DUMMYFUNCTION("SPLIT(L295,""$"")"),6653.92)</f>
        <v>6653.92</v>
      </c>
      <c r="N295" s="2" t="s">
        <v>1188</v>
      </c>
    </row>
    <row r="296">
      <c r="A296" s="1" t="s">
        <v>152</v>
      </c>
      <c r="B296" s="4">
        <v>11651.6274703557</v>
      </c>
      <c r="C296" s="1" t="s">
        <v>55</v>
      </c>
      <c r="D296" s="1" t="s">
        <v>1189</v>
      </c>
      <c r="E296" s="1" t="s">
        <v>57</v>
      </c>
      <c r="F296" s="1" t="s">
        <v>18</v>
      </c>
      <c r="G296" s="4">
        <v>35856.8913043478</v>
      </c>
      <c r="H296" s="1" t="s">
        <v>26</v>
      </c>
      <c r="I296" s="4">
        <v>-196.363636363636</v>
      </c>
      <c r="J296" s="2" t="s">
        <v>1190</v>
      </c>
      <c r="K296" s="4">
        <f>IFERROR(__xludf.DUMMYFUNCTION("SPLIT(J296,""$"")"),11977.25)</f>
        <v>11977.25</v>
      </c>
      <c r="L296" s="2" t="s">
        <v>1191</v>
      </c>
      <c r="M296" s="5">
        <f>IFERROR(__xludf.DUMMYFUNCTION("SPLIT(L296,""$"")"),5834.86)</f>
        <v>5834.86</v>
      </c>
      <c r="N296" s="2" t="s">
        <v>1192</v>
      </c>
    </row>
    <row r="297">
      <c r="A297" s="1" t="s">
        <v>152</v>
      </c>
      <c r="B297" s="4">
        <v>11657.5059288538</v>
      </c>
      <c r="C297" s="1" t="s">
        <v>61</v>
      </c>
      <c r="D297" s="1" t="s">
        <v>1193</v>
      </c>
      <c r="E297" s="1" t="s">
        <v>38</v>
      </c>
      <c r="F297" s="1" t="s">
        <v>18</v>
      </c>
      <c r="G297" s="4">
        <v>35856.9130434782</v>
      </c>
      <c r="H297" s="1" t="s">
        <v>26</v>
      </c>
      <c r="I297" s="4">
        <v>-197.229249011858</v>
      </c>
      <c r="J297" s="2" t="s">
        <v>1194</v>
      </c>
      <c r="K297" s="4">
        <f>IFERROR(__xludf.DUMMYFUNCTION("SPLIT(J297,""$"")"),35841.21)</f>
        <v>35841.21</v>
      </c>
      <c r="L297" s="2" t="s">
        <v>1195</v>
      </c>
      <c r="M297" s="5">
        <f>IFERROR(__xludf.DUMMYFUNCTION("SPLIT(L297,""$"")"),8031.24)</f>
        <v>8031.24</v>
      </c>
      <c r="N297" s="2" t="s">
        <v>1196</v>
      </c>
    </row>
    <row r="298">
      <c r="A298" s="1" t="s">
        <v>152</v>
      </c>
      <c r="B298" s="4">
        <v>11663.3843873518</v>
      </c>
      <c r="C298" s="1" t="s">
        <v>66</v>
      </c>
      <c r="D298" s="1" t="s">
        <v>1197</v>
      </c>
      <c r="E298" s="1" t="s">
        <v>68</v>
      </c>
      <c r="F298" s="1" t="s">
        <v>18</v>
      </c>
      <c r="G298" s="4">
        <v>35856.9347826087</v>
      </c>
      <c r="H298" s="1" t="s">
        <v>69</v>
      </c>
      <c r="I298" s="4">
        <v>-198.094861660079</v>
      </c>
      <c r="J298" s="2" t="s">
        <v>1198</v>
      </c>
      <c r="K298" s="4">
        <f>IFERROR(__xludf.DUMMYFUNCTION("SPLIT(J298,""$"")"),28523.51)</f>
        <v>28523.51</v>
      </c>
      <c r="L298" s="2" t="s">
        <v>1199</v>
      </c>
      <c r="M298" s="5">
        <f>IFERROR(__xludf.DUMMYFUNCTION("SPLIT(L298,""$"")"),6113.5)</f>
        <v>6113.5</v>
      </c>
      <c r="N298" s="2" t="s">
        <v>1200</v>
      </c>
    </row>
    <row r="299">
      <c r="A299" s="1" t="s">
        <v>152</v>
      </c>
      <c r="B299" s="4">
        <v>11669.2628458498</v>
      </c>
      <c r="C299" s="1" t="s">
        <v>73</v>
      </c>
      <c r="D299" s="1" t="s">
        <v>1201</v>
      </c>
      <c r="E299" s="1" t="s">
        <v>75</v>
      </c>
      <c r="F299" s="1" t="s">
        <v>18</v>
      </c>
      <c r="G299" s="4">
        <v>35856.9565217391</v>
      </c>
      <c r="H299" s="1" t="s">
        <v>26</v>
      </c>
      <c r="I299" s="4">
        <v>-198.9604743083</v>
      </c>
      <c r="J299" s="2" t="s">
        <v>1202</v>
      </c>
      <c r="K299" s="4">
        <f>IFERROR(__xludf.DUMMYFUNCTION("SPLIT(J299,""$"")"),75233.5)</f>
        <v>75233.5</v>
      </c>
      <c r="L299" s="2" t="s">
        <v>1203</v>
      </c>
      <c r="M299" s="5">
        <f>IFERROR(__xludf.DUMMYFUNCTION("SPLIT(L299,""$"")"),5541.17)</f>
        <v>5541.17</v>
      </c>
      <c r="N299" s="2" t="s">
        <v>1204</v>
      </c>
    </row>
    <row r="300">
      <c r="A300" s="1" t="s">
        <v>152</v>
      </c>
      <c r="B300" s="4">
        <v>11675.1413043478</v>
      </c>
      <c r="C300" s="1" t="s">
        <v>79</v>
      </c>
      <c r="D300" s="1" t="s">
        <v>1205</v>
      </c>
      <c r="E300" s="1" t="s">
        <v>75</v>
      </c>
      <c r="F300" s="1" t="s">
        <v>18</v>
      </c>
      <c r="G300" s="4">
        <v>35856.9782608695</v>
      </c>
      <c r="H300" s="1" t="s">
        <v>26</v>
      </c>
      <c r="I300" s="4">
        <v>-199.826086956522</v>
      </c>
      <c r="J300" s="2" t="s">
        <v>1206</v>
      </c>
      <c r="K300" s="4">
        <f>IFERROR(__xludf.DUMMYFUNCTION("SPLIT(J300,""$"")"),67327.104)</f>
        <v>67327.104</v>
      </c>
      <c r="L300" s="2" t="s">
        <v>1207</v>
      </c>
      <c r="M300" s="5">
        <f>IFERROR(__xludf.DUMMYFUNCTION("SPLIT(L300,""$"")"),5461.69)</f>
        <v>5461.69</v>
      </c>
      <c r="N300" s="2" t="s">
        <v>1208</v>
      </c>
    </row>
    <row r="301">
      <c r="A301" s="1" t="s">
        <v>152</v>
      </c>
      <c r="B301" s="4">
        <v>11681.0197628458</v>
      </c>
      <c r="C301" s="1" t="s">
        <v>84</v>
      </c>
      <c r="D301" s="1" t="s">
        <v>1209</v>
      </c>
      <c r="E301" s="1" t="s">
        <v>17</v>
      </c>
      <c r="F301" s="1" t="s">
        <v>18</v>
      </c>
      <c r="G301" s="4">
        <v>35857.0</v>
      </c>
      <c r="H301" s="1" t="s">
        <v>19</v>
      </c>
      <c r="I301" s="4">
        <v>-200.691699604743</v>
      </c>
      <c r="J301" s="2" t="s">
        <v>1210</v>
      </c>
      <c r="K301" s="4">
        <f>IFERROR(__xludf.DUMMYFUNCTION("SPLIT(J301,""$"")"),39607.4)</f>
        <v>39607.4</v>
      </c>
      <c r="L301" s="2" t="s">
        <v>1211</v>
      </c>
      <c r="M301" s="5">
        <f>IFERROR(__xludf.DUMMYFUNCTION("SPLIT(L301,""$"")"),5356.4)</f>
        <v>5356.4</v>
      </c>
      <c r="N301" s="2" t="s">
        <v>1212</v>
      </c>
    </row>
  </sheetData>
  <drawing r:id="rId1"/>
</worksheet>
</file>