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9B01C5A8-A4A6-4656-834E-F5B980460ED5}" xr6:coauthVersionLast="47" xr6:coauthVersionMax="47" xr10:uidLastSave="{00000000-0000-0000-0000-000000000000}"/>
  <bookViews>
    <workbookView xWindow="-108" yWindow="-108" windowWidth="23256" windowHeight="13896" tabRatio="736" firstSheet="1" activeTab="1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5" i="10" l="1"/>
  <c r="ES6" i="10"/>
  <c r="ES7" i="10"/>
  <c r="ES9" i="10"/>
  <c r="ES11" i="10"/>
  <c r="ES14" i="10"/>
  <c r="ES15" i="10"/>
  <c r="ES16" i="10"/>
  <c r="ES23" i="10"/>
  <c r="ES25" i="10"/>
  <c r="DX6" i="10"/>
  <c r="DX7" i="10"/>
  <c r="DX9" i="10"/>
  <c r="DX10" i="10"/>
  <c r="DX15" i="10"/>
  <c r="DX17" i="10"/>
  <c r="DC6" i="10"/>
  <c r="DC7" i="10"/>
  <c r="DC9" i="10"/>
  <c r="DC15" i="10"/>
  <c r="DC17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8" i="16" s="1"/>
  <c r="B4" i="15"/>
  <c r="L5" i="16" s="1"/>
  <c r="B5" i="15"/>
  <c r="L7" i="16" s="1"/>
  <c r="B6" i="15"/>
  <c r="L3" i="16" s="1"/>
  <c r="B7" i="15"/>
  <c r="L2" i="16" s="1"/>
  <c r="B8" i="15"/>
  <c r="L4" i="16" s="1"/>
  <c r="B2" i="15"/>
  <c r="L6" i="16" s="1"/>
  <c r="B3" i="14"/>
  <c r="K8" i="16" s="1"/>
  <c r="B4" i="14"/>
  <c r="K5" i="16" s="1"/>
  <c r="B5" i="14"/>
  <c r="K7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9" i="13"/>
  <c r="H12" i="13"/>
  <c r="H13" i="13"/>
  <c r="H14" i="13"/>
  <c r="H21" i="13"/>
  <c r="H23" i="13"/>
  <c r="G4" i="13"/>
  <c r="G5" i="13"/>
  <c r="G7" i="13"/>
  <c r="G8" i="13"/>
  <c r="G13" i="13"/>
  <c r="G15" i="13"/>
  <c r="F4" i="13"/>
  <c r="F5" i="13"/>
  <c r="F7" i="13"/>
  <c r="F13" i="13"/>
  <c r="F15" i="13"/>
  <c r="E5" i="13"/>
  <c r="E7" i="13"/>
  <c r="E10" i="13"/>
  <c r="E13" i="13"/>
  <c r="E15" i="13"/>
  <c r="D8" i="13"/>
  <c r="D19" i="13"/>
  <c r="D22" i="13"/>
  <c r="C4" i="13"/>
  <c r="C15" i="13"/>
  <c r="B4" i="13"/>
  <c r="B9" i="13"/>
  <c r="B15" i="13"/>
  <c r="B20" i="13"/>
  <c r="EQ4" i="10"/>
  <c r="EQ5" i="10"/>
  <c r="EQ6" i="10"/>
  <c r="EQ7" i="10"/>
  <c r="EQ8" i="10"/>
  <c r="EQ9" i="10"/>
  <c r="EQ11" i="10"/>
  <c r="EQ12" i="10"/>
  <c r="EQ13" i="10"/>
  <c r="EQ14" i="10"/>
  <c r="EQ15" i="10"/>
  <c r="EQ16" i="10"/>
  <c r="EQ21" i="10"/>
  <c r="EQ23" i="10"/>
  <c r="EQ24" i="10"/>
  <c r="EQ25" i="10"/>
  <c r="EP4" i="10"/>
  <c r="EP5" i="10"/>
  <c r="EP6" i="10"/>
  <c r="EP7" i="10"/>
  <c r="EP8" i="10"/>
  <c r="EP9" i="10"/>
  <c r="EP10" i="10"/>
  <c r="EQ10" i="10" s="1"/>
  <c r="EP11" i="10"/>
  <c r="EP12" i="10"/>
  <c r="EP13" i="10"/>
  <c r="EP14" i="10"/>
  <c r="EP15" i="10"/>
  <c r="EP16" i="10"/>
  <c r="EP17" i="10"/>
  <c r="EQ17" i="10" s="1"/>
  <c r="EP18" i="10"/>
  <c r="EQ18" i="10" s="1"/>
  <c r="EP19" i="10"/>
  <c r="EQ19" i="10" s="1"/>
  <c r="EP20" i="10"/>
  <c r="EQ20" i="10" s="1"/>
  <c r="EP21" i="10"/>
  <c r="EP22" i="10"/>
  <c r="EQ22" i="10" s="1"/>
  <c r="EP23" i="10"/>
  <c r="EP24" i="10"/>
  <c r="EP25" i="10"/>
  <c r="EL4" i="10"/>
  <c r="EL5" i="10"/>
  <c r="EL6" i="10"/>
  <c r="EL7" i="10"/>
  <c r="EL9" i="10"/>
  <c r="EL11" i="10"/>
  <c r="EL12" i="10"/>
  <c r="EL14" i="10"/>
  <c r="EL15" i="10"/>
  <c r="EL16" i="10"/>
  <c r="EL17" i="10"/>
  <c r="EL18" i="10"/>
  <c r="EL19" i="10"/>
  <c r="EL20" i="10"/>
  <c r="EL21" i="10"/>
  <c r="EL23" i="10"/>
  <c r="EL25" i="10"/>
  <c r="EK4" i="10"/>
  <c r="EK5" i="10"/>
  <c r="EK6" i="10"/>
  <c r="EK7" i="10"/>
  <c r="EK9" i="10"/>
  <c r="EK11" i="10"/>
  <c r="EK12" i="10"/>
  <c r="EK14" i="10"/>
  <c r="EK15" i="10"/>
  <c r="EK16" i="10"/>
  <c r="EK17" i="10"/>
  <c r="EK18" i="10"/>
  <c r="EK19" i="10"/>
  <c r="EK20" i="10"/>
  <c r="EK21" i="10"/>
  <c r="EK22" i="10"/>
  <c r="EL22" i="10" s="1"/>
  <c r="EK23" i="10"/>
  <c r="EK24" i="10"/>
  <c r="EL24" i="10" s="1"/>
  <c r="ES24" i="10" s="1"/>
  <c r="H22" i="13" s="1"/>
  <c r="EK25" i="10"/>
  <c r="EJ4" i="10"/>
  <c r="EJ5" i="10"/>
  <c r="EJ6" i="10"/>
  <c r="EJ7" i="10"/>
  <c r="EJ8" i="10"/>
  <c r="EK8" i="10" s="1"/>
  <c r="EL8" i="10" s="1"/>
  <c r="EJ9" i="10"/>
  <c r="EJ10" i="10"/>
  <c r="EK10" i="10" s="1"/>
  <c r="EL10" i="10" s="1"/>
  <c r="EJ11" i="10"/>
  <c r="EJ12" i="10"/>
  <c r="EJ13" i="10"/>
  <c r="EK13" i="10" s="1"/>
  <c r="EL13" i="10" s="1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5" i="10"/>
  <c r="EE6" i="10"/>
  <c r="EE7" i="10"/>
  <c r="EE9" i="10"/>
  <c r="EE10" i="10"/>
  <c r="EE11" i="10"/>
  <c r="EE12" i="10"/>
  <c r="ES12" i="10" s="1"/>
  <c r="H10" i="13" s="1"/>
  <c r="EE14" i="10"/>
  <c r="EE15" i="10"/>
  <c r="EE16" i="10"/>
  <c r="EE23" i="10"/>
  <c r="EE24" i="10"/>
  <c r="EE25" i="10"/>
  <c r="ED5" i="10"/>
  <c r="ED6" i="10"/>
  <c r="ED7" i="10"/>
  <c r="ED9" i="10"/>
  <c r="ED10" i="10"/>
  <c r="ED11" i="10"/>
  <c r="ED12" i="10"/>
  <c r="ED13" i="10"/>
  <c r="EE13" i="10" s="1"/>
  <c r="ED14" i="10"/>
  <c r="ED15" i="10"/>
  <c r="ED16" i="10"/>
  <c r="ED17" i="10"/>
  <c r="EE17" i="10" s="1"/>
  <c r="ED20" i="10"/>
  <c r="EE20" i="10" s="1"/>
  <c r="ED21" i="10"/>
  <c r="EE21" i="10" s="1"/>
  <c r="ES21" i="10" s="1"/>
  <c r="H19" i="13" s="1"/>
  <c r="ED23" i="10"/>
  <c r="ED24" i="10"/>
  <c r="ED25" i="10"/>
  <c r="EC4" i="10"/>
  <c r="ED4" i="10" s="1"/>
  <c r="EE4" i="10" s="1"/>
  <c r="ES4" i="10" s="1"/>
  <c r="H2" i="13" s="1"/>
  <c r="EC5" i="10"/>
  <c r="EC6" i="10"/>
  <c r="EC7" i="10"/>
  <c r="EC8" i="10"/>
  <c r="ED8" i="10" s="1"/>
  <c r="EE8" i="10" s="1"/>
  <c r="EC9" i="10"/>
  <c r="EC10" i="10"/>
  <c r="EC11" i="10"/>
  <c r="EC12" i="10"/>
  <c r="EC13" i="10"/>
  <c r="EC14" i="10"/>
  <c r="EC15" i="10"/>
  <c r="EC16" i="10"/>
  <c r="EC17" i="10"/>
  <c r="EC18" i="10"/>
  <c r="ED18" i="10" s="1"/>
  <c r="EE18" i="10" s="1"/>
  <c r="EC19" i="10"/>
  <c r="ED19" i="10" s="1"/>
  <c r="EE19" i="10" s="1"/>
  <c r="EC20" i="10"/>
  <c r="EC21" i="10"/>
  <c r="EC22" i="10"/>
  <c r="ED22" i="10" s="1"/>
  <c r="EE22" i="10" s="1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V20" i="10" s="1"/>
  <c r="DU21" i="10"/>
  <c r="DU22" i="10"/>
  <c r="DU23" i="10"/>
  <c r="DU24" i="10"/>
  <c r="DU25" i="10"/>
  <c r="DQ4" i="10"/>
  <c r="DQ6" i="10"/>
  <c r="DQ7" i="10"/>
  <c r="DQ9" i="10"/>
  <c r="DQ10" i="10"/>
  <c r="DQ11" i="10"/>
  <c r="DQ12" i="10"/>
  <c r="DQ14" i="10"/>
  <c r="DQ15" i="10"/>
  <c r="DQ16" i="10"/>
  <c r="DQ17" i="10"/>
  <c r="DQ18" i="10"/>
  <c r="DQ19" i="10"/>
  <c r="DQ20" i="10"/>
  <c r="DQ21" i="10"/>
  <c r="DQ22" i="10"/>
  <c r="DQ23" i="10"/>
  <c r="DP4" i="10"/>
  <c r="DP5" i="10"/>
  <c r="DQ5" i="10" s="1"/>
  <c r="DP6" i="10"/>
  <c r="DP7" i="10"/>
  <c r="DP9" i="10"/>
  <c r="DP10" i="10"/>
  <c r="DP11" i="10"/>
  <c r="DP12" i="10"/>
  <c r="DP14" i="10"/>
  <c r="DP15" i="10"/>
  <c r="DP16" i="10"/>
  <c r="DP17" i="10"/>
  <c r="DP18" i="10"/>
  <c r="DP19" i="10"/>
  <c r="DP20" i="10"/>
  <c r="DP21" i="10"/>
  <c r="DP22" i="10"/>
  <c r="DP23" i="10"/>
  <c r="DP25" i="10"/>
  <c r="DQ25" i="10" s="1"/>
  <c r="DX25" i="10" s="1"/>
  <c r="G23" i="13" s="1"/>
  <c r="DO4" i="10"/>
  <c r="DO5" i="10"/>
  <c r="DO6" i="10"/>
  <c r="DO7" i="10"/>
  <c r="DO8" i="10"/>
  <c r="DP8" i="10" s="1"/>
  <c r="DQ8" i="10" s="1"/>
  <c r="DO9" i="10"/>
  <c r="DO10" i="10"/>
  <c r="DO11" i="10"/>
  <c r="DO12" i="10"/>
  <c r="DO13" i="10"/>
  <c r="DP13" i="10" s="1"/>
  <c r="DQ13" i="10" s="1"/>
  <c r="DO14" i="10"/>
  <c r="DO15" i="10"/>
  <c r="DO16" i="10"/>
  <c r="DO17" i="10"/>
  <c r="DO18" i="10"/>
  <c r="DO19" i="10"/>
  <c r="DO20" i="10"/>
  <c r="DO21" i="10"/>
  <c r="DO22" i="10"/>
  <c r="DO23" i="10"/>
  <c r="DO24" i="10"/>
  <c r="DP24" i="10" s="1"/>
  <c r="DQ24" i="10" s="1"/>
  <c r="DO25" i="10"/>
  <c r="DJ6" i="10"/>
  <c r="DJ7" i="10"/>
  <c r="DJ9" i="10"/>
  <c r="DJ10" i="10"/>
  <c r="DJ15" i="10"/>
  <c r="DJ17" i="10"/>
  <c r="DJ24" i="10"/>
  <c r="DJ25" i="10"/>
  <c r="DI4" i="10"/>
  <c r="DJ4" i="10" s="1"/>
  <c r="DX4" i="10" s="1"/>
  <c r="G2" i="13" s="1"/>
  <c r="DI6" i="10"/>
  <c r="DI7" i="10"/>
  <c r="DI9" i="10"/>
  <c r="DI10" i="10"/>
  <c r="DI12" i="10"/>
  <c r="DJ12" i="10" s="1"/>
  <c r="DX12" i="10" s="1"/>
  <c r="G10" i="13" s="1"/>
  <c r="DI15" i="10"/>
  <c r="DI17" i="10"/>
  <c r="DI19" i="10"/>
  <c r="DJ19" i="10" s="1"/>
  <c r="DI20" i="10"/>
  <c r="DJ20" i="10" s="1"/>
  <c r="DI22" i="10"/>
  <c r="DJ22" i="10" s="1"/>
  <c r="DX22" i="10" s="1"/>
  <c r="G20" i="13" s="1"/>
  <c r="DI23" i="10"/>
  <c r="DJ23" i="10" s="1"/>
  <c r="DX23" i="10" s="1"/>
  <c r="G21" i="13" s="1"/>
  <c r="DI24" i="10"/>
  <c r="DI25" i="10"/>
  <c r="DH4" i="10"/>
  <c r="DH5" i="10"/>
  <c r="DI5" i="10" s="1"/>
  <c r="DJ5" i="10" s="1"/>
  <c r="DH6" i="10"/>
  <c r="DH7" i="10"/>
  <c r="DH8" i="10"/>
  <c r="DI8" i="10" s="1"/>
  <c r="DJ8" i="10" s="1"/>
  <c r="DH9" i="10"/>
  <c r="DH10" i="10"/>
  <c r="DH11" i="10"/>
  <c r="DI11" i="10" s="1"/>
  <c r="DJ11" i="10" s="1"/>
  <c r="DH12" i="10"/>
  <c r="DH13" i="10"/>
  <c r="DI13" i="10" s="1"/>
  <c r="DJ13" i="10" s="1"/>
  <c r="DH14" i="10"/>
  <c r="DI14" i="10" s="1"/>
  <c r="DJ14" i="10" s="1"/>
  <c r="DH15" i="10"/>
  <c r="DH16" i="10"/>
  <c r="DI16" i="10" s="1"/>
  <c r="DJ16" i="10" s="1"/>
  <c r="DX16" i="10" s="1"/>
  <c r="G14" i="13" s="1"/>
  <c r="DH17" i="10"/>
  <c r="DH18" i="10"/>
  <c r="DI18" i="10" s="1"/>
  <c r="DJ18" i="10" s="1"/>
  <c r="DX18" i="10" s="1"/>
  <c r="G16" i="13" s="1"/>
  <c r="DH19" i="10"/>
  <c r="DH20" i="10"/>
  <c r="DH21" i="10"/>
  <c r="DI21" i="10" s="1"/>
  <c r="DJ21" i="10" s="1"/>
  <c r="DX21" i="10" s="1"/>
  <c r="G19" i="13" s="1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DA22" i="10" s="1"/>
  <c r="CZ23" i="10"/>
  <c r="DA23" i="10" s="1"/>
  <c r="CZ24" i="10"/>
  <c r="CZ25" i="10"/>
  <c r="DA25" i="10" s="1"/>
  <c r="CV4" i="10"/>
  <c r="CV6" i="10"/>
  <c r="CV7" i="10"/>
  <c r="CV9" i="10"/>
  <c r="CV11" i="10"/>
  <c r="CV12" i="10"/>
  <c r="CV13" i="10"/>
  <c r="CV15" i="10"/>
  <c r="CV16" i="10"/>
  <c r="CV17" i="10"/>
  <c r="CV20" i="10"/>
  <c r="CV21" i="10"/>
  <c r="CV23" i="10"/>
  <c r="CV25" i="10"/>
  <c r="CU4" i="10"/>
  <c r="CU6" i="10"/>
  <c r="CU7" i="10"/>
  <c r="CU9" i="10"/>
  <c r="CU11" i="10"/>
  <c r="CU12" i="10"/>
  <c r="CU13" i="10"/>
  <c r="CU15" i="10"/>
  <c r="CU16" i="10"/>
  <c r="CU17" i="10"/>
  <c r="CU19" i="10"/>
  <c r="CV19" i="10" s="1"/>
  <c r="DC19" i="10" s="1"/>
  <c r="F17" i="13" s="1"/>
  <c r="CU20" i="10"/>
  <c r="CU21" i="10"/>
  <c r="CU22" i="10"/>
  <c r="CV22" i="10" s="1"/>
  <c r="CU23" i="10"/>
  <c r="CU24" i="10"/>
  <c r="CV24" i="10" s="1"/>
  <c r="DC24" i="10" s="1"/>
  <c r="F22" i="13" s="1"/>
  <c r="CU25" i="10"/>
  <c r="CT4" i="10"/>
  <c r="CT5" i="10"/>
  <c r="CU5" i="10" s="1"/>
  <c r="CV5" i="10" s="1"/>
  <c r="CT6" i="10"/>
  <c r="CT7" i="10"/>
  <c r="CT8" i="10"/>
  <c r="CU8" i="10" s="1"/>
  <c r="CV8" i="10" s="1"/>
  <c r="CT9" i="10"/>
  <c r="CT10" i="10"/>
  <c r="CU10" i="10" s="1"/>
  <c r="CV10" i="10" s="1"/>
  <c r="DC10" i="10" s="1"/>
  <c r="F8" i="13" s="1"/>
  <c r="CT11" i="10"/>
  <c r="CT12" i="10"/>
  <c r="CT13" i="10"/>
  <c r="CT14" i="10"/>
  <c r="CU14" i="10" s="1"/>
  <c r="CV14" i="10" s="1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6" i="10"/>
  <c r="CO7" i="10"/>
  <c r="CO9" i="10"/>
  <c r="CO10" i="10"/>
  <c r="CO15" i="10"/>
  <c r="CO17" i="10"/>
  <c r="CO19" i="10"/>
  <c r="CO24" i="10"/>
  <c r="CN6" i="10"/>
  <c r="CN7" i="10"/>
  <c r="CN9" i="10"/>
  <c r="CN10" i="10"/>
  <c r="CN11" i="10"/>
  <c r="CO11" i="10" s="1"/>
  <c r="CN12" i="10"/>
  <c r="CO12" i="10" s="1"/>
  <c r="CN15" i="10"/>
  <c r="CN17" i="10"/>
  <c r="CN19" i="10"/>
  <c r="CN21" i="10"/>
  <c r="CO21" i="10" s="1"/>
  <c r="CN23" i="10"/>
  <c r="CO23" i="10" s="1"/>
  <c r="CN24" i="10"/>
  <c r="CM4" i="10"/>
  <c r="CN4" i="10" s="1"/>
  <c r="CO4" i="10" s="1"/>
  <c r="CM5" i="10"/>
  <c r="CN5" i="10" s="1"/>
  <c r="CO5" i="10" s="1"/>
  <c r="CM6" i="10"/>
  <c r="CM7" i="10"/>
  <c r="CM8" i="10"/>
  <c r="CN8" i="10" s="1"/>
  <c r="CO8" i="10" s="1"/>
  <c r="CM9" i="10"/>
  <c r="CM10" i="10"/>
  <c r="CM11" i="10"/>
  <c r="CM12" i="10"/>
  <c r="CM13" i="10"/>
  <c r="CN13" i="10" s="1"/>
  <c r="CO13" i="10" s="1"/>
  <c r="DC13" i="10" s="1"/>
  <c r="F11" i="13" s="1"/>
  <c r="CM14" i="10"/>
  <c r="CN14" i="10" s="1"/>
  <c r="CO14" i="10" s="1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N20" i="10" s="1"/>
  <c r="CO20" i="10" s="1"/>
  <c r="DC20" i="10" s="1"/>
  <c r="F18" i="13" s="1"/>
  <c r="CM21" i="10"/>
  <c r="CM22" i="10"/>
  <c r="CN22" i="10" s="1"/>
  <c r="CO22" i="10" s="1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ES10" i="10" l="1"/>
  <c r="H8" i="13" s="1"/>
  <c r="ES17" i="10"/>
  <c r="H15" i="13" s="1"/>
  <c r="ES20" i="10"/>
  <c r="H18" i="13" s="1"/>
  <c r="ES18" i="10"/>
  <c r="H16" i="13" s="1"/>
  <c r="ES22" i="10"/>
  <c r="H20" i="13" s="1"/>
  <c r="ES19" i="10"/>
  <c r="H17" i="13" s="1"/>
  <c r="ES13" i="10"/>
  <c r="H11" i="13" s="1"/>
  <c r="ES8" i="10"/>
  <c r="H6" i="13" s="1"/>
  <c r="DX11" i="10"/>
  <c r="G9" i="13" s="1"/>
  <c r="DX20" i="10"/>
  <c r="G18" i="13" s="1"/>
  <c r="DX24" i="10"/>
  <c r="G22" i="13" s="1"/>
  <c r="DX5" i="10"/>
  <c r="G3" i="13" s="1"/>
  <c r="DX8" i="10"/>
  <c r="G6" i="13" s="1"/>
  <c r="DX14" i="10"/>
  <c r="G12" i="13" s="1"/>
  <c r="DX13" i="10"/>
  <c r="G11" i="13" s="1"/>
  <c r="DX19" i="10"/>
  <c r="G17" i="13" s="1"/>
  <c r="DC4" i="10"/>
  <c r="F2" i="13" s="1"/>
  <c r="DC21" i="10"/>
  <c r="F19" i="13" s="1"/>
  <c r="DC23" i="10"/>
  <c r="F21" i="13" s="1"/>
  <c r="DC22" i="10"/>
  <c r="F20" i="13" s="1"/>
  <c r="DC14" i="10"/>
  <c r="F12" i="13" s="1"/>
  <c r="DC8" i="10"/>
  <c r="F6" i="13" s="1"/>
  <c r="DC11" i="10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C20" i="13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H20" i="12" l="1"/>
  <c r="B22" i="10"/>
  <c r="B6" i="10"/>
  <c r="F9" i="12"/>
  <c r="G9" i="12" s="1"/>
  <c r="J4" i="16"/>
  <c r="F20" i="12"/>
  <c r="G20" i="12" s="1"/>
  <c r="G4" i="16"/>
  <c r="B25" i="10"/>
  <c r="I3" i="16" s="1"/>
  <c r="B23" i="13"/>
  <c r="H23" i="12" s="1"/>
  <c r="B3" i="13"/>
  <c r="H3" i="12" s="1"/>
  <c r="B5" i="10"/>
  <c r="B10" i="13"/>
  <c r="H10" i="12" s="1"/>
  <c r="B12" i="10"/>
  <c r="B19" i="10"/>
  <c r="H3" i="16" s="1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6" i="16"/>
  <c r="H8" i="16"/>
  <c r="H5" i="16"/>
  <c r="F5" i="12"/>
  <c r="G5" i="12" s="1"/>
  <c r="H4" i="16"/>
  <c r="F13" i="12"/>
  <c r="G13" i="12" s="1"/>
  <c r="F7" i="12"/>
  <c r="G7" i="12" s="1"/>
  <c r="G7" i="16"/>
  <c r="G3" i="16"/>
  <c r="F23" i="12"/>
  <c r="G23" i="12" s="1"/>
  <c r="F14" i="12"/>
  <c r="G14" i="12" s="1"/>
  <c r="G2" i="16"/>
  <c r="G5" i="16"/>
  <c r="F3" i="12"/>
  <c r="G3" i="12" s="1"/>
  <c r="J7" i="16"/>
  <c r="I8" i="16"/>
  <c r="F10" i="12"/>
  <c r="G10" i="12" s="1"/>
  <c r="J8" i="16"/>
  <c r="F17" i="12"/>
  <c r="G17" i="12" s="1"/>
  <c r="J2" i="16"/>
  <c r="F16" i="12"/>
  <c r="G16" i="12" s="1"/>
  <c r="J5" i="16"/>
  <c r="I7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7" i="16"/>
  <c r="G6" i="16"/>
  <c r="F18" i="12"/>
  <c r="G18" i="12" s="1"/>
  <c r="F19" i="12"/>
  <c r="G19" i="12" s="1"/>
  <c r="G8" i="16"/>
  <c r="I2" i="16"/>
  <c r="F2" i="12"/>
  <c r="G2" i="12" s="1"/>
  <c r="D4" i="16" l="1"/>
  <c r="D7" i="16"/>
  <c r="D3" i="16"/>
  <c r="D8" i="16"/>
  <c r="D6" i="16"/>
  <c r="D5" i="16"/>
  <c r="D2" i="16"/>
  <c r="F6" i="16" l="1"/>
  <c r="F4" i="16"/>
  <c r="F7" i="16"/>
  <c r="A2" i="16"/>
  <c r="B35" i="10" s="1"/>
  <c r="A6" i="16"/>
  <c r="B30" i="10" s="1"/>
  <c r="F2" i="16"/>
  <c r="F8" i="16"/>
  <c r="A8" i="16"/>
  <c r="B8" i="16" s="1"/>
  <c r="A5" i="16"/>
  <c r="B5" i="16" s="1"/>
  <c r="A3" i="16"/>
  <c r="B3" i="16" s="1"/>
  <c r="A4" i="16"/>
  <c r="F3" i="16"/>
  <c r="F5" i="16"/>
  <c r="A7" i="16"/>
  <c r="B7" i="16" s="1"/>
  <c r="B2" i="16" l="1"/>
  <c r="B6" i="16"/>
  <c r="E2" i="16" a="1"/>
  <c r="E2" i="16" s="1"/>
  <c r="B31" i="10"/>
  <c r="E3" i="16" a="1"/>
  <c r="E3" i="16" s="1"/>
  <c r="B32" i="10"/>
  <c r="B33" i="10"/>
  <c r="E6" i="16" a="1"/>
  <c r="E6" i="16" s="1"/>
  <c r="B4" i="16"/>
  <c r="E5" i="16" a="1"/>
  <c r="E5" i="16" s="1"/>
  <c r="B36" i="10"/>
  <c r="B34" i="10"/>
  <c r="E4" i="16" a="1"/>
  <c r="E4" i="16" s="1"/>
  <c r="E7" i="16" a="1"/>
  <c r="E7" i="16" s="1"/>
  <c r="E8" i="16" a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<sst xmlns="http://schemas.openxmlformats.org/spreadsheetml/2006/main" count="1125" uniqueCount="323">
  <si>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</si>
  <si>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</si>
  <si>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</si>
  <si>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</si>
  <si>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</si>
  <si>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</si>
  <si>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</si>
  <si>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</si>
  <si>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</si>
  <si>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</si>
  <si>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</si>
  <si>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</si>
  <si>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</si>
  <si>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</si>
  <si>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</si>
  <si>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</si>
  <si>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</si>
  <si>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</si>
  <si>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</si>
  <si>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</si>
  <si>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</si>
  <si>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</si>
  <si>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</si>
  <si>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</si>
  <si>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</si>
  <si>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</si>
  <si>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</si>
  <si>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</si>
  <si>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</si>
  <si>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</si>
  <si>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</si>
  <si>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</si>
  <si>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</si>
  <si>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</si>
  <si>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</si>
  <si>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</si>
  <si>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</si>
  <si>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</si>
  <si>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</si>
  <si>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</si>
  <si>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</si>
  <si>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</si>
  <si>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</si>
  <si>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</si>
  <si>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</si>
  <si>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</si>
  <si>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</si>
  <si>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</si>
  <si>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</si>
  <si>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</si>
  <si>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</si>
  <si>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</si>
  <si>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</si>
  <si>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</si>
  <si>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</si>
  <si>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</si>
  <si>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</si>
  <si>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</si>
  <si>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</si>
  <si>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</si>
  <si>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</si>
  <si>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</si>
  <si>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</si>
  <si>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</si>
  <si>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</si>
  <si>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</si>
  <si>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</si>
  <si>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</si>
  <si>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</si>
  <si>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</si>
  <si>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</si>
  <si>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</si>
  <si>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</si>
  <si>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</si>
  <si>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</si>
  <si>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</si>
  <si>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</si>
  <si>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</si>
  <si>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</si>
  <si>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</si>
  <si>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</si>
  <si>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</si>
  <si>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</si>
  <si>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</si>
  <si>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</si>
  <si>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</si>
  <si>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</si>
  <si>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</si>
  <si>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</si>
  <si>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</si>
  <si>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</si>
  <si>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</si>
  <si>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</si>
  <si>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</si>
  <si>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</si>
  <si>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</si>
  <si>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</si>
  <si>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</si>
  <si>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</si>
  <si>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</si>
  <si>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</si>
  <si>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</si>
  <si>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</si>
  <si>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</si>
  <si>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</si>
  <si>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</si>
  <si>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</si>
  <si>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</si>
  <si>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</si>
  <si>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</si>
  <si>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</si>
  <si>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</si>
  <si>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</si>
  <si>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</si>
  <si>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</si>
  <si>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</si>
  <si>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</si>
  <si>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</si>
  <si>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</si>
  <si>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</si>
  <si>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</si>
  <si>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</si>
  <si>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</si>
  <si>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</si>
  <si>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</si>
  <si>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</si>
  <si>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</si>
  <si>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</si>
  <si>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</si>
  <si>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</si>
  <si>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</si>
  <si>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</si>
  <si>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</si>
  <si>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</si>
  <si>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</si>
  <si>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</si>
  <si>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</si>
  <si>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</si>
  <si>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</si>
  <si>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</si>
  <si>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</si>
  <si>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</si>
  <si>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</si>
  <si>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</si>
  <si>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</si>
  <si>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</si>
  <si>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</si>
  <si>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</si>
  <si>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</si>
  <si>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</si>
  <si>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</si>
  <si>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</si>
  <si>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</si>
  <si>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</si>
  <si>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</si>
  <si>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</si>
  <si>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</si>
  <si>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</si>
  <si>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</si>
  <si>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</si>
  <si>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</si>
  <si>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</si>
  <si>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</si>
  <si>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</si>
  <si>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</si>
  <si>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</si>
  <si>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</si>
  <si>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</si>
  <si>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</si>
  <si>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</si>
  <si>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</si>
  <si>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</si>
  <si>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</si>
  <si>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</si>
  <si>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</si>
  <si>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</si>
  <si>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</si>
  <si>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</si>
  <si>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</si>
  <si>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</si>
  <si>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</si>
  <si>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</si>
  <si>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</si>
  <si>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</si>
  <si>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</si>
  <si>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</si>
  <si>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</si>
  <si>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</si>
  <si>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</si>
  <si>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</si>
  <si>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</si>
  <si>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</si>
  <si>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</si>
  <si>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</si>
  <si>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</si>
  <si>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</si>
  <si>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</si>
  <si>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</si>
  <si>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</si>
  <si>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</si>
  <si>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</si>
  <si>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</si>
  <si>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</si>
  <si>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</si>
  <si>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</si>
  <si>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</si>
  <si>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</si>
  <si>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</si>
  <si>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</si>
  <si>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</si>
  <si>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</si>
  <si>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</si>
  <si>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</si>
  <si>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</si>
  <si>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</si>
  <si>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</si>
  <si>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</si>
  <si>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</si>
  <si>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</si>
  <si>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</si>
  <si>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</si>
  <si>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</si>
  <si>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</si>
  <si>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</si>
  <si>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</si>
  <si>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</si>
  <si>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</si>
  <si>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</si>
  <si>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</si>
  <si>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</si>
  <si>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</si>
  <si>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</si>
  <si>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</si>
  <si>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</si>
  <si>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</si>
  <si>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</si>
  <si>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</si>
  <si>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</si>
  <si>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</si>
  <si>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</si>
  <si>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</si>
  <si>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</si>
  <si>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</si>
  <si>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</si>
  <si>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</si>
  <si>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</si>
  <si>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</si>
  <si>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</si>
  <si>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</si>
  <si>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</si>
  <si>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</si>
  <si>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</si>
  <si>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</si>
  <si>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</si>
  <si>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</si>
  <si>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</si>
  <si>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</si>
  <si>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</si>
  <si>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</si>
  <si>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</si>
  <si>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</si>
  <si>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</si>
  <si>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</si>
  <si>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</si>
  <si>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</si>
  <si>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</si>
  <si>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</si>
  <si>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</si>
  <si>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</si>
  <si>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</si>
  <si>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</si>
  <si>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</si>
  <si>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</si>
  <si>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</si>
  <si>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</si>
  <si>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</si>
  <si>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</si>
  <si>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</si>
  <si>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</si>
  <si>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</si>
  <si>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</si>
  <si>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</si>
  <si>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</si>
  <si>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</si>
  <si>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</si>
  <si>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</si>
  <si>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</si>
  <si>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</si>
  <si>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</si>
  <si>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</si>
  <si>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</si>
  <si>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</si>
  <si>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</si>
  <si>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</si>
  <si>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</si>
  <si>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</si>
  <si>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</si>
  <si>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</si>
  <si>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</si>
  <si>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</si>
  <si>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</si>
  <si>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</si>
  <si>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</si>
  <si>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</si>
  <si>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</si>
  <si>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</si>
  <si>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</si>
  <si>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</si>
  <si>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</si>
  <si>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</si>
  <si>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</si>
  <si>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</si>
  <si>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</si>
  <si>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</si>
  <si>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</si>
  <si>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38*</t>
  </si>
  <si>
    <t>49*</t>
  </si>
  <si>
    <t>PIERRS MOVE UP ONE PLACE</t>
  </si>
  <si>
    <t>ONE MATCH TO DECIDE THE TOP 2</t>
  </si>
  <si>
    <t>SURIYA IS GONNA REWRITE THE BFL HISTORY</t>
  </si>
  <si>
    <t>4*</t>
  </si>
  <si>
    <t>69*</t>
  </si>
  <si>
    <t>FINAL PRED.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</si>
</sst>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2" fontId="0" fillId="0" borderId="0" xfId="0" applyNumberFormat="1"/>
    <xf numFmtId="14" fontId="0" fillId="0" borderId="0" xfId="0" applyNumberFormat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5">
    <dxf>
      <alignment horizontal="center" vertical="bottom" textRotation="0" wrapText="0" indent="0" justifyLastLine="0" shrinkToFit="0" readingOrder="0"/>
    </dxf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O8" totalsRowShown="0" headerRowDxfId="184" dataDxfId="183">
  <autoFilter ref="A1:O8" xr:uid="{3CF92C30-632C-49E3-B7A4-F863F89E0A6F}"/>
  <sortState xmlns:xlrd2="http://schemas.microsoft.com/office/spreadsheetml/2017/richdata2" ref="A2:O8">
    <sortCondition ref="A1:A8"/>
  </sortState>
  <tableColumns count="15">
    <tableColumn id="1" xr3:uid="{BB851843-99B6-4FEB-844F-ED25E3C4F0CB}" name="RANK" dataDxfId="182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1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80"/>
    <tableColumn id="4" xr3:uid="{A95197E2-463C-4DED-A8D4-4DB816B57DEF}" name="TALLY" dataDxfId="179">
      <calculatedColumnFormula>SUM(Table8[[#This Row],[BATTER]:[EXTRAS]])</calculatedColumnFormula>
    </tableColumn>
    <tableColumn id="5" xr3:uid="{EA6134DA-45EF-4BC1-AA0D-D281E9D1E0BE}" name="LEAD OVER NEXT ONE" dataDxfId="178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7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6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5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4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3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2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1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70"/>
    <tableColumn id="15" xr3:uid="{E474FC7A-5697-4F5E-B30B-2E3595F3D9FF}" name="FINAL PRED." dataDxfId="0"/>
    <tableColumn id="14" xr3:uid="{8FA33169-13D3-4DC8-92A2-0864FB132636}" name="EXTRAS" dataDxfId="169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8" dataDxfId="167">
  <tableColumns count="21">
    <tableColumn id="2" xr3:uid="{C8624866-08D7-426E-A18C-3961C7F228AB}" name="RUNS SCORED" dataDxfId="166"/>
    <tableColumn id="3" xr3:uid="{E0038D5D-0A5A-4EC9-8097-BEE05991717D}" name="BALLS FACED" dataDxfId="165"/>
    <tableColumn id="4" xr3:uid="{1983F26B-F968-4D08-91A3-292D2D4530A2}" name="4s" dataDxfId="164"/>
    <tableColumn id="5" xr3:uid="{841DAB19-2646-4C5F-AECF-7CE4E38291B8}" name="6s" dataDxfId="163"/>
    <tableColumn id="6" xr3:uid="{5A7D0C58-1D2B-4BBE-9A28-16D97A7CAE24}" name="STRIKE RATE" dataDxfId="162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1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60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9"/>
    <tableColumn id="10" xr3:uid="{CF7C418C-60DD-413D-B1F6-BF9D7BF7FFC7}" name="MAIDENS" dataDxfId="158"/>
    <tableColumn id="11" xr3:uid="{18A901FA-4C33-4D63-A6E0-0DDA30DA8C51}" name="RUNS GIVEN" dataDxfId="157"/>
    <tableColumn id="12" xr3:uid="{C46DD252-63AD-460D-8B54-2029550C866B}" name="WICKETS TAKEN" dataDxfId="156"/>
    <tableColumn id="13" xr3:uid="{6DE2A3AC-0305-4184-8D81-652CF669A667}" name="ECONOMIC RATE" dataDxfId="155">
      <calculatedColumnFormula>IFERROR(Table1[[#This Row],[RUNS GIVEN]]/Table1[[#This Row],[OVERS]],0)</calculatedColumnFormula>
    </tableColumn>
    <tableColumn id="14" xr3:uid="{EB8D2C04-4C95-4B67-B343-E2A913CE2407}" name="BONUS 2" dataDxfId="154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3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2"/>
    <tableColumn id="17" xr3:uid="{55640299-E4AA-4ACB-BA02-045163AA5A63}" name="RUNOUTS" dataDxfId="151"/>
    <tableColumn id="18" xr3:uid="{43DBC54E-698F-43D0-B506-22E15C3E62C6}" name="STUMPINGS" dataDxfId="150"/>
    <tableColumn id="19" xr3:uid="{0263686A-B767-4EE5-97FF-A56AA9023F53}" name="BONUS 3" dataDxfId="149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8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7"/>
    <tableColumn id="22" xr3:uid="{A13E3CC6-114F-42BD-98DF-58137E6102C2}" name="GRAND TOTAL" dataDxfId="146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5">
  <tableColumns count="2">
    <tableColumn id="1" xr3:uid="{340FA97E-2428-4EE1-A7B2-B7CDF4E7C4BC}" name="PLAYER NAME"/>
    <tableColumn id="2" xr3:uid="{068A4A62-8675-4FAD-90A2-1592BF652BBF}" name="POINTS TALLY" dataDxfId="144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3" dataDxfId="142">
  <tableColumns count="21">
    <tableColumn id="2" xr3:uid="{66D88268-285C-45A5-82CC-C8803BD992FA}" name="RUNS SCORED" dataDxfId="141"/>
    <tableColumn id="3" xr3:uid="{EFB8CE24-8D84-4937-9A6F-C78520760380}" name="BALLS FACED" dataDxfId="140"/>
    <tableColumn id="4" xr3:uid="{5869C4AA-77BB-464A-A865-3DB6BEB2B9C0}" name="4s" dataDxfId="139"/>
    <tableColumn id="5" xr3:uid="{568B3742-8625-412F-8E2C-659E68A7F1A3}" name="6s" dataDxfId="138"/>
    <tableColumn id="6" xr3:uid="{22CC5A68-D004-400A-B6DF-8549DE959180}" name="STRIKE RATE" dataDxfId="137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6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5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4"/>
    <tableColumn id="10" xr3:uid="{D2756459-6153-43D1-8E7A-F60FB1EC30A4}" name="MAIDENS" dataDxfId="133"/>
    <tableColumn id="11" xr3:uid="{F4BF2509-3595-47FE-BB34-1332F552E26F}" name="RUNS GIVEN" dataDxfId="132"/>
    <tableColumn id="12" xr3:uid="{654B5832-A450-423A-8FD7-0001754504F5}" name="WICKETS TAKEN" dataDxfId="131"/>
    <tableColumn id="13" xr3:uid="{D59AEAD7-3986-4EFC-BF6B-5ECAE010E4CD}" name="ECONOMIC RATE" dataDxfId="130">
      <calculatedColumnFormula>IFERROR(Table2[[#This Row],[RUNS GIVEN]]/Table2[[#This Row],[OVERS]],0)</calculatedColumnFormula>
    </tableColumn>
    <tableColumn id="14" xr3:uid="{052BEA4F-5E67-4036-95F1-4BAB098787FC}" name="BONUS 2" dataDxfId="129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8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7"/>
    <tableColumn id="17" xr3:uid="{68B8909E-3B86-4A33-858F-4263662A156D}" name="RUNOUTS" dataDxfId="126"/>
    <tableColumn id="18" xr3:uid="{DBF5F4E7-2397-473C-AFDA-F1D8700ADD4D}" name="STUMPINGS" dataDxfId="125"/>
    <tableColumn id="19" xr3:uid="{88201B39-C8BA-41DB-B159-A2FBDB9C601E}" name="BONUS 3" dataDxfId="124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3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2"/>
    <tableColumn id="22" xr3:uid="{EF5A70A9-9F1E-41D1-B500-AB41D70D0D1D}" name="GRAND TOTAL" dataDxfId="121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20" dataDxfId="119">
  <tableColumns count="21">
    <tableColumn id="2" xr3:uid="{56F16C71-2F5E-42CC-967E-F88BF9B7F168}" name="RUNS SCORED" dataDxfId="118"/>
    <tableColumn id="3" xr3:uid="{5DDF349B-88E7-411C-95FE-8D03DD73B68C}" name="BALLS FACED" dataDxfId="117"/>
    <tableColumn id="4" xr3:uid="{34043AD5-75F8-4E6A-BA8D-8D21A2C3C40D}" name="4s" dataDxfId="116"/>
    <tableColumn id="5" xr3:uid="{ED47AB65-2621-4A4C-A980-9A5B19B11ED4}" name="6s" dataDxfId="115"/>
    <tableColumn id="6" xr3:uid="{7E76EA96-8349-4C1A-8BDA-68F3CEFBF104}" name="STRIKE RATE" dataDxfId="114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3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2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1"/>
    <tableColumn id="10" xr3:uid="{CFA160DD-0E33-44A2-80F9-CBC6D95052E7}" name="MAIDENS" dataDxfId="110"/>
    <tableColumn id="11" xr3:uid="{34B01453-F4A2-49CF-B61A-EBA1DE47BAD0}" name="RUNS GIVEN" dataDxfId="109"/>
    <tableColumn id="12" xr3:uid="{D06112D7-C775-41FB-AA3D-7E1AFC9BCF19}" name="WICKETS TAKEN" dataDxfId="108"/>
    <tableColumn id="13" xr3:uid="{104DE865-BC26-471A-8E2B-0533E76B297A}" name="ECONOMIC RATE" dataDxfId="107">
      <calculatedColumnFormula>IFERROR(Table3[[#This Row],[RUNS GIVEN]]/Table3[[#This Row],[OVERS]],0)</calculatedColumnFormula>
    </tableColumn>
    <tableColumn id="14" xr3:uid="{4416AEF1-D481-4F0C-B03D-D2B0428A2663}" name="BONUS 2" dataDxfId="106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5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4"/>
    <tableColumn id="17" xr3:uid="{E2AC7C05-2815-4674-96DB-562BA5AD0A08}" name="RUNOUTS" dataDxfId="103"/>
    <tableColumn id="18" xr3:uid="{776B08DD-F537-41CE-9038-E2A58C941C46}" name="STUMPINGS" dataDxfId="102"/>
    <tableColumn id="19" xr3:uid="{3B5B9F5C-9F5D-41A1-8876-ED0E22998870}" name="BONUS 3" dataDxfId="101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100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9"/>
    <tableColumn id="22" xr3:uid="{4F611149-9575-42CC-880F-5F5CAF38C8E4}" name="GRAND TOTAL" dataDxfId="98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7" dataDxfId="96">
  <tableColumns count="21">
    <tableColumn id="2" xr3:uid="{D7943FDE-FF42-40CA-9B89-BB5079C8C05C}" name="RUNS SCORED" dataDxfId="95"/>
    <tableColumn id="3" xr3:uid="{0EE1E86B-060A-470B-AB8A-A31C8C9041E1}" name="BALLS FACED" dataDxfId="94"/>
    <tableColumn id="4" xr3:uid="{04145743-13DC-417B-AE7C-43ED4935CB62}" name="4s" dataDxfId="93"/>
    <tableColumn id="5" xr3:uid="{F79630B4-5246-48BA-993A-70C7DAAE6C4E}" name="6s" dataDxfId="92"/>
    <tableColumn id="6" xr3:uid="{CF85053F-0C70-4E6D-A581-DBA9885CE01E}" name="STRIKE RATE" dataDxfId="91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90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9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8"/>
    <tableColumn id="10" xr3:uid="{615730DF-437F-4A60-B392-6A8925A4D906}" name="MAIDENS" dataDxfId="87"/>
    <tableColumn id="11" xr3:uid="{84FF7653-812F-4A44-AAFA-56C78220659E}" name="RUNS GIVEN" dataDxfId="86"/>
    <tableColumn id="12" xr3:uid="{A77445CB-087F-440B-8676-16EAC6DFBF26}" name="WICKETS TAKEN" dataDxfId="85"/>
    <tableColumn id="13" xr3:uid="{101B5C70-78F6-42E5-887A-30683963962B}" name="ECONOMIC RATE" dataDxfId="84">
      <calculatedColumnFormula>IFERROR(Table4[[#This Row],[RUNS GIVEN]]/Table4[[#This Row],[OVERS]],0)</calculatedColumnFormula>
    </tableColumn>
    <tableColumn id="14" xr3:uid="{F7A97E06-9DC4-4A9B-86E2-DA3D413FE66B}" name="BONUS 2" dataDxfId="83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2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1"/>
    <tableColumn id="17" xr3:uid="{578DD65F-9774-4286-BCC4-3758F4515BA1}" name="RUNOUTS" dataDxfId="80"/>
    <tableColumn id="18" xr3:uid="{4FF66C71-5F02-47FD-9EDA-CE1F2668DA32}" name="STUMPINGS" dataDxfId="79"/>
    <tableColumn id="19" xr3:uid="{0645B3B3-3DE9-4715-970E-08C6463654F7}" name="BONUS 3" dataDxfId="78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7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6"/>
    <tableColumn id="22" xr3:uid="{EEF82301-5B3C-4756-95ED-850455FDD600}" name="GRAND TOTAL" dataDxfId="75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4" dataDxfId="73">
  <tableColumns count="21">
    <tableColumn id="2" xr3:uid="{222E5B85-61F8-47BB-B98A-C92BE3D14A59}" name="RUNS SCORED" dataDxfId="72"/>
    <tableColumn id="3" xr3:uid="{E5CB6F75-7CE9-4443-AD31-C758855DE0D8}" name="BALLS FACED" dataDxfId="71"/>
    <tableColumn id="4" xr3:uid="{9685B081-CCCA-433D-A13F-D29409491FC9}" name="4s" dataDxfId="70"/>
    <tableColumn id="5" xr3:uid="{3B0882EC-4E18-445E-AB83-EAB42EBEF280}" name="6s" dataDxfId="69"/>
    <tableColumn id="6" xr3:uid="{51CD576C-A47B-4170-9504-142360791174}" name="STRIKE RATE" dataDxfId="68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7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6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5"/>
    <tableColumn id="10" xr3:uid="{C5FEC86D-088D-42EC-92FE-082475E2A17B}" name="MAIDENS" dataDxfId="64"/>
    <tableColumn id="11" xr3:uid="{4A304CA5-A9A1-4234-93FD-BE29885121C1}" name="RUNS GIVEN" dataDxfId="63"/>
    <tableColumn id="12" xr3:uid="{619D997B-E38E-40D4-9BD1-EEA1376FA5BA}" name="WICKETS TAKEN" dataDxfId="62"/>
    <tableColumn id="13" xr3:uid="{1988BDA3-D51F-4F44-939A-D49D31030A84}" name="ECONOMIC RATE" dataDxfId="61">
      <calculatedColumnFormula>IFERROR(Table5[[#This Row],[RUNS GIVEN]]/Table5[[#This Row],[OVERS]],0)</calculatedColumnFormula>
    </tableColumn>
    <tableColumn id="14" xr3:uid="{B2E77D70-A704-445B-8219-1A8C353513B1}" name="BONUS 2" dataDxfId="60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9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8"/>
    <tableColumn id="17" xr3:uid="{00CB6412-8624-4DF3-873C-ACD999524ACC}" name="RUNOUTS" dataDxfId="57"/>
    <tableColumn id="18" xr3:uid="{E0EC86A1-797B-4F97-B456-9057F93036E8}" name="STUMPINGS" dataDxfId="56"/>
    <tableColumn id="19" xr3:uid="{DC2776C4-F36D-4D05-A93C-2763FC2BB08A}" name="BONUS 3" dataDxfId="55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4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3"/>
    <tableColumn id="22" xr3:uid="{B665D851-60CB-4671-A523-0B5EF20FF0EF}" name="GRAND TOTAL" dataDxfId="52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1" dataDxfId="50">
  <tableColumns count="21">
    <tableColumn id="2" xr3:uid="{6A0F65AF-C011-447A-8013-9912E280E7EF}" name="RUNS SCORED" dataDxfId="49"/>
    <tableColumn id="3" xr3:uid="{0C3D3381-DB3A-4668-AA28-7ED187040E51}" name="BALLS FACED" dataDxfId="48"/>
    <tableColumn id="4" xr3:uid="{6832854A-2CD6-4569-B922-62139D5F925F}" name="4s" dataDxfId="47"/>
    <tableColumn id="5" xr3:uid="{61B40399-ABDD-43C6-AD23-9D1F91574D53}" name="6s" dataDxfId="46"/>
    <tableColumn id="6" xr3:uid="{744115DD-543A-413B-8404-B17CD4E50B3D}" name="STRIKE RATE" dataDxfId="45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4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3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2"/>
    <tableColumn id="10" xr3:uid="{967D6EEF-B80E-43C5-B94B-800AA1D3A7D3}" name="MAIDENS" dataDxfId="41"/>
    <tableColumn id="11" xr3:uid="{91EE8474-41D8-4FF7-9AB0-FEED98F6253C}" name="RUNS GIVEN" dataDxfId="40"/>
    <tableColumn id="12" xr3:uid="{E750DFF4-A132-4F63-8479-5D1650081677}" name="WICKETS TAKEN" dataDxfId="39"/>
    <tableColumn id="13" xr3:uid="{242F5414-8464-4992-BBBC-2BB1566D299E}" name="ECONOMIC RATE" dataDxfId="38">
      <calculatedColumnFormula>IFERROR(Table6[[#This Row],[RUNS GIVEN]]/Table6[[#This Row],[OVERS]],0)</calculatedColumnFormula>
    </tableColumn>
    <tableColumn id="14" xr3:uid="{2B7FF0AC-BC02-42C2-909A-570C1A9F8B15}" name="BONUS 2" dataDxfId="37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6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5"/>
    <tableColumn id="17" xr3:uid="{0A8DCA03-8B0B-486C-93B6-A5FD705C2FB3}" name="RUNOUTS" dataDxfId="34"/>
    <tableColumn id="18" xr3:uid="{55D3FB5A-F0B3-4806-B1F6-FBF08552C7FF}" name="STUMPINGS" dataDxfId="33"/>
    <tableColumn id="19" xr3:uid="{E69E126D-4038-467C-B76D-14EBEEE5A561}" name="BONUS 3" dataDxfId="32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1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30"/>
    <tableColumn id="22" xr3:uid="{01C0053E-0C5F-46FF-B4D5-B724B5DB3736}" name="GRAND TOTAL" dataDxfId="29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8" dataDxfId="27">
  <tableColumns count="21">
    <tableColumn id="2" xr3:uid="{E1CD65FD-62DA-4F68-B9B1-E09567D5827A}" name="RUNS SCORED" dataDxfId="26"/>
    <tableColumn id="3" xr3:uid="{764DCA6C-4D07-4DDB-A3F2-A318D13A2D04}" name="BALLS FACED" dataDxfId="25"/>
    <tableColumn id="4" xr3:uid="{5C24ADDF-BEB7-4079-B82C-EA78240E06AB}" name="4s" dataDxfId="24"/>
    <tableColumn id="5" xr3:uid="{7E160B04-E19B-4521-A329-928F5230C029}" name="6s" dataDxfId="23"/>
    <tableColumn id="6" xr3:uid="{6988EC11-4F53-4DFA-9A54-D58EC3E572D6}" name="STRIKE RATE" dataDxfId="22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1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20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9"/>
    <tableColumn id="10" xr3:uid="{A27C5B42-7FA7-4DD2-8AD4-E5272A70CB0A}" name="MAIDENS" dataDxfId="18"/>
    <tableColumn id="11" xr3:uid="{CE73FF67-D028-4134-B4D4-A0B5567EFCCF}" name="RUNS GIVEN" dataDxfId="17"/>
    <tableColumn id="12" xr3:uid="{4D091AC9-A132-4B8F-AA12-8A41AE7A3DBB}" name="WICKETS TAKEN" dataDxfId="16"/>
    <tableColumn id="13" xr3:uid="{9E80D1B9-4BB0-407D-BDF9-6F8079B0A0AF}" name="ECONOMIC RATE" dataDxfId="15">
      <calculatedColumnFormula>IFERROR(Table7[[#This Row],[RUNS GIVEN]]/Table7[[#This Row],[OVERS]],0)</calculatedColumnFormula>
    </tableColumn>
    <tableColumn id="14" xr3:uid="{BAD75C2C-DBE6-47BF-9A1D-8035C3A4E318}" name="BONUS 2" dataDxfId="14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3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2"/>
    <tableColumn id="17" xr3:uid="{43F73D1D-D0E6-40A5-9A1D-7F492C76E604}" name="RUNOUTS" dataDxfId="11"/>
    <tableColumn id="18" xr3:uid="{8C83D7E7-5EC9-4855-9F91-FB72B594A86A}" name="STUMPINGS" dataDxfId="10"/>
    <tableColumn id="19" xr3:uid="{7654FC38-F25A-4C9A-A1FE-2480515E2AD0}" name="BONUS 3" dataDxfId="9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8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7"/>
    <tableColumn id="22" xr3:uid="{EE6E09D4-CAC6-46A8-8FE8-B25F940EC444}" name="GRAND TOTAL" dataDxfId="6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5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4">
      <calculatedColumnFormula>_xlfn.XLOOKUP(Table411[[#This Row],[NAME]],Table8[NAME],Table8[RANK],"NA")</calculatedColumnFormula>
    </tableColumn>
    <tableColumn id="3" xr3:uid="{3A2F1E75-13BA-4832-8506-AB99E534EE55}" name="PREVIOUS RANK" dataDxfId="3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I16" sqref="I16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s="10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s="10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s="10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s="10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s="10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s="10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s="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O28"/>
  <sheetViews>
    <sheetView showGridLines="0"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  <col min="14" max="14" width="15.77734375" bestFit="1" customWidth="1"/>
  </cols>
  <sheetData>
    <row r="1" spans="1:15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314</v>
      </c>
      <c r="N1" s="2" t="s">
        <v>322</v>
      </c>
      <c r="O1" s="2" t="s">
        <v>277</v>
      </c>
    </row>
    <row r="2" spans="1:15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7751</v>
      </c>
      <c r="E2" s="1" cm="1">
        <f t="array" ref="E2">IF(Table8[[#This Row],[RANK]]&lt;MAX(Table8[RANK]),Table8[[#This Row],[TALLY]] - INDEX(Table8[TALLY], Table8[[#This Row],[RANK]] + 1), "")</f>
        <v>3660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1449</v>
      </c>
      <c r="H2" s="1">
        <f>_xlfn.XLOOKUP(_xlfn.XLOOKUP(Table8[[#This Row],[NAME]],'TEAM PICK AND PREDICTIONS'!$A$2:$A$8,'TEAM PICK AND PREDICTIONS'!$C$2:$C$8,"NA"),Table0[PLAYER NAME],Table0[POINTS TALLY],0)</f>
        <v>767</v>
      </c>
      <c r="I2" s="1">
        <f>_xlfn.XLOOKUP(_xlfn.XLOOKUP(Table8[[#This Row],[NAME]],'TEAM PICK AND PREDICTIONS'!$A$2:$A$8,'TEAM PICK AND PREDICTIONS'!$D$2:$D$8,"NA"),Table0[PLAYER NAME],Table0[POINTS TALLY],0)*2</f>
        <v>4208</v>
      </c>
      <c r="J2" s="1">
        <f>_xlfn.XLOOKUP(_xlfn.XLOOKUP(Table8[[#This Row],[NAME]],'TEAM PICK AND PREDICTIONS'!$A$2:$A$8,'TEAM PICK AND PREDICTIONS'!$E$2:$E$8,"NA"),Table0[PLAYER NAME],Table0[POINTS TALLY],0)</f>
        <v>142</v>
      </c>
      <c r="K2" s="1">
        <f>_xlfn.XLOOKUP(Table8[[#This Row],[NAME]],'WINNING TEAM PREDICTIONS'!$A$2:$A$8,'WINNING TEAM PREDICTIONS'!$B$2:$B$8,"NA")</f>
        <v>360</v>
      </c>
      <c r="L2" s="1">
        <f>_xlfn.XLOOKUP(Table8[[#This Row],[NAME]],'TARGET PREDICTIONS'!$A$2:$A$8,'TARGET PREDICTIONS'!$B$2:$B$8,"NA")</f>
        <v>275</v>
      </c>
      <c r="M2" s="1">
        <v>400</v>
      </c>
      <c r="N2" s="1">
        <v>150</v>
      </c>
      <c r="O2" s="1"/>
    </row>
    <row r="3" spans="1:15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4091</v>
      </c>
      <c r="E3" s="1" cm="1">
        <f t="array" ref="E3">IF(Table8[[#This Row],[RANK]]&lt;MAX(Table8[RANK]),Table8[[#This Row],[TALLY]] - INDEX(Table8[TALLY], Table8[[#This Row],[RANK]] + 1), "")</f>
        <v>66</v>
      </c>
      <c r="F3" s="1">
        <f>IF(MAX(Table8[TALLY])-Table8[[#This Row],[TALLY]]=0,"",MAX(Table8[TALLY])-Table8[[#This Row],[TALLY]])</f>
        <v>3660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TALLY],0)*1.5</f>
        <v>2434.5</v>
      </c>
      <c r="I3" s="1">
        <f>_xlfn.XLOOKUP(_xlfn.XLOOKUP(Table8[[#This Row],[NAME]],'TEAM PICK AND PREDICTIONS'!$A$2:$A$8,'TEAM PICK AND PREDICTIONS'!$D$2:$D$8,"NA"),Table0[PLAYER NAME],Table0[POINTS TALLY],0)</f>
        <v>552</v>
      </c>
      <c r="J3" s="1">
        <f>_xlfn.XLOOKUP(_xlfn.XLOOKUP(Table8[[#This Row],[NAME]],'TEAM PICK AND PREDICTIONS'!$A$2:$A$8,'TEAM PICK AND PREDICTIONS'!$E$2:$E$8,"NA"),Table0[PLAYER NAME],Table0[POINTS TALLY],0)</f>
        <v>119</v>
      </c>
      <c r="K3" s="1">
        <f>_xlfn.XLOOKUP(Table8[[#This Row],[NAME]],'WINNING TEAM PREDICTIONS'!$A$2:$A$8,'WINNING TEAM PREDICTIONS'!$B$2:$B$8,"NA")</f>
        <v>242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  <c r="O3" s="1">
        <v>50</v>
      </c>
    </row>
    <row r="4" spans="1:15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4025</v>
      </c>
      <c r="E4" s="1" cm="1">
        <f t="array" ref="E4">IF(Table8[[#This Row],[RANK]]&lt;MAX(Table8[RANK]),Table8[[#This Row],[TALLY]] - INDEX(Table8[TALLY], Table8[[#This Row],[RANK]] + 1), "")</f>
        <v>1017</v>
      </c>
      <c r="F4" s="1">
        <f>IF(MAX(Table8[TALLY])-Table8[[#This Row],[TALLY]]=0,"",MAX(Table8[TALLY])-Table8[[#This Row],[TALLY]])</f>
        <v>3726</v>
      </c>
      <c r="G4" s="1">
        <f>_xlfn.XLOOKUP(_xlfn.XLOOKUP(Table8[[#This Row],[NAME]],'TEAM PICK AND PREDICTIONS'!$A$2:$A$8,'TEAM PICK AND PREDICTIONS'!$B$2:$B$8,"NA"),Table0[PLAYER NAME],Table0[POINTS TALLY],0)*2</f>
        <v>1606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702</v>
      </c>
      <c r="J4" s="1">
        <f>_xlfn.XLOOKUP(_xlfn.XLOOKUP(Table8[[#This Row],[NAME]],'TEAM PICK AND PREDICTIONS'!$A$2:$A$8,'TEAM PICK AND PREDICTIONS'!$E$2:$E$8,"NA"),Table0[PLAYER NAME],Table0[POINTS TALLY],0)</f>
        <v>380</v>
      </c>
      <c r="K4" s="1">
        <f>_xlfn.XLOOKUP(Table8[[#This Row],[NAME]],'WINNING TEAM PREDICTIONS'!$A$2:$A$8,'WINNING TEAM PREDICTIONS'!$B$2:$B$8,"NA")</f>
        <v>255</v>
      </c>
      <c r="L4" s="1">
        <f>_xlfn.XLOOKUP(Table8[[#This Row],[NAME]],'TARGET PREDICTIONS'!$A$2:$A$8,'TARGET PREDICTIONS'!$B$2:$B$8,"NA")</f>
        <v>472</v>
      </c>
      <c r="M4" s="1">
        <v>300</v>
      </c>
      <c r="N4" s="1">
        <v>100</v>
      </c>
      <c r="O4" s="1">
        <v>-100</v>
      </c>
    </row>
    <row r="5" spans="1:15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7</v>
      </c>
      <c r="D5" s="1">
        <f>SUM(Table8[[#This Row],[BATTER]:[EXTRAS]])</f>
        <v>3008</v>
      </c>
      <c r="E5" s="1" cm="1">
        <f t="array" ref="E5">IF(Table8[[#This Row],[RANK]]&lt;MAX(Table8[RANK]),Table8[[#This Row],[TALLY]] - INDEX(Table8[TALLY], Table8[[#This Row],[RANK]] + 1), "")</f>
        <v>423</v>
      </c>
      <c r="F5" s="1">
        <f>IF(MAX(Table8[TALLY])-Table8[[#This Row],[TALLY]]=0,"",MAX(Table8[TALLY])-Table8[[#This Row],[TALLY]])</f>
        <v>4743</v>
      </c>
      <c r="G5" s="1">
        <f>_xlfn.XLOOKUP(_xlfn.XLOOKUP(Table8[[#This Row],[NAME]],'TEAM PICK AND PREDICTIONS'!$A$2:$A$8,'TEAM PICK AND PREDICTIONS'!$B$2:$B$8,"NA"),Table0[PLAYER NAME],Table0[POINTS TALLY],0)*1.5</f>
        <v>1449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702</v>
      </c>
      <c r="J5" s="1">
        <f>_xlfn.XLOOKUP(_xlfn.XLOOKUP(Table8[[#This Row],[NAME]],'TEAM PICK AND PREDICTIONS'!$A$2:$A$8,'TEAM PICK AND PREDICTIONS'!$E$2:$E$8,"NA"),Table0[PLAYER NAME],Table0[POINTS TALLY],0)</f>
        <v>142</v>
      </c>
      <c r="K5" s="1">
        <f>_xlfn.XLOOKUP(Table8[[#This Row],[NAME]],'WINNING TEAM PREDICTIONS'!$A$2:$A$8,'WINNING TEAM PREDICTIONS'!$B$2:$B$8,"NA")</f>
        <v>124</v>
      </c>
      <c r="L5" s="1">
        <f>_xlfn.XLOOKUP(Table8[[#This Row],[NAME]],'TARGET PREDICTIONS'!$A$2:$A$8,'TARGET PREDICTIONS'!$B$2:$B$8,"NA")</f>
        <v>124</v>
      </c>
      <c r="M5" s="1">
        <v>300</v>
      </c>
      <c r="N5" s="1">
        <v>100</v>
      </c>
      <c r="O5" s="1"/>
    </row>
    <row r="6" spans="1:15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2585</v>
      </c>
      <c r="E6" s="1" cm="1">
        <f t="array" ref="E6">IF(Table8[[#This Row],[RANK]]&lt;MAX(Table8[RANK]),Table8[[#This Row],[TALLY]] - INDEX(Table8[TALLY], Table8[[#This Row],[RANK]] + 1), "")</f>
        <v>483</v>
      </c>
      <c r="F6" s="1">
        <f>IF(MAX(Table8[TALLY])-Table8[[#This Row],[TALLY]]=0,"",MAX(Table8[TALLY])-Table8[[#This Row],[TALLY]])</f>
        <v>5166</v>
      </c>
      <c r="G6" s="1">
        <f>_xlfn.XLOOKUP(_xlfn.XLOOKUP(Table8[[#This Row],[NAME]],'TEAM PICK AND PREDICTIONS'!$A$2:$A$8,'TEAM PICK AND PREDICTIONS'!$B$2:$B$8,"NA"),Table0[PLAYER NAME],Table0[POINTS TALLY],0)*2</f>
        <v>614</v>
      </c>
      <c r="H6" s="1">
        <f>_xlfn.XLOOKUP(_xlfn.XLOOKUP(Table8[[#This Row],[NAME]],'TEAM PICK AND PREDICTIONS'!$A$2:$A$8,'TEAM PICK AND PREDICTIONS'!$C$2:$C$8,"NA"),Table0[PLAYER NAME],Table0[POINTS TALLY],0)*2</f>
        <v>900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384</v>
      </c>
      <c r="K6" s="1">
        <f>_xlfn.XLOOKUP(Table8[[#This Row],[NAME]],'WINNING TEAM PREDICTIONS'!$A$2:$A$8,'WINNING TEAM PREDICTIONS'!$B$2:$B$8,"NA")</f>
        <v>190</v>
      </c>
      <c r="L6" s="1">
        <f>_xlfn.XLOOKUP(Table8[[#This Row],[NAME]],'TARGET PREDICTIONS'!$A$2:$A$8,'TARGET PREDICTIONS'!$B$2:$B$8,"NA")</f>
        <v>72</v>
      </c>
      <c r="M6" s="1">
        <v>300</v>
      </c>
      <c r="N6" s="1">
        <v>100</v>
      </c>
      <c r="O6" s="1"/>
    </row>
    <row r="7" spans="1:15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8</v>
      </c>
      <c r="D7" s="1">
        <f>SUM(Table8[[#This Row],[BATTER]:[EXTRAS]])</f>
        <v>2102</v>
      </c>
      <c r="E7" s="1" cm="1">
        <f t="array" ref="E7">IF(Table8[[#This Row],[RANK]]&lt;MAX(Table8[RANK]),Table8[[#This Row],[TALLY]] - INDEX(Table8[TALLY], Table8[[#This Row],[RANK]] + 1), "")</f>
        <v>522</v>
      </c>
      <c r="F7" s="1">
        <f>IF(MAX(Table8[TALLY])-Table8[[#This Row],[TALLY]]=0,"",MAX(Table8[TALLY])-Table8[[#This Row],[TALLY]])</f>
        <v>5649</v>
      </c>
      <c r="G7" s="1">
        <f>_xlfn.XLOOKUP(_xlfn.XLOOKUP(Table8[[#This Row],[NAME]],'TEAM PICK AND PREDICTIONS'!$A$2:$A$8,'TEAM PICK AND PREDICTIONS'!$B$2:$B$8,"NA"),Table0[PLAYER NAME],Table0[POINTS TALLY],0)*2</f>
        <v>120</v>
      </c>
      <c r="H7" s="1">
        <f>_xlfn.XLOOKUP(_xlfn.XLOOKUP(Table8[[#This Row],[NAME]],'TEAM PICK AND PREDICTIONS'!$A$2:$A$8,'TEAM PICK AND PREDICTIONS'!$C$2:$C$8,"NA"),Table0[PLAYER NAME],Table0[POINTS TALLY],0)</f>
        <v>475</v>
      </c>
      <c r="I7" s="1">
        <f>_xlfn.XLOOKUP(_xlfn.XLOOKUP(Table8[[#This Row],[NAME]],'TEAM PICK AND PREDICTIONS'!$A$2:$A$8,'TEAM PICK AND PREDICTIONS'!$D$2:$D$8,"NA"),Table0[PLAYER NAME],Table0[POINTS TALLY],0)*1.5</f>
        <v>702</v>
      </c>
      <c r="J7" s="1">
        <f>_xlfn.XLOOKUP(_xlfn.XLOOKUP(Table8[[#This Row],[NAME]],'TEAM PICK AND PREDICTIONS'!$A$2:$A$8,'TEAM PICK AND PREDICTIONS'!$E$2:$E$8,"NA"),Table0[PLAYER NAME],Table0[POINTS TALLY],0)</f>
        <v>80</v>
      </c>
      <c r="K7" s="1">
        <f>_xlfn.XLOOKUP(Table8[[#This Row],[NAME]],'WINNING TEAM PREDICTIONS'!$A$2:$A$8,'WINNING TEAM PREDICTIONS'!$B$2:$B$8,"NA")</f>
        <v>100</v>
      </c>
      <c r="L7" s="1">
        <f>_xlfn.XLOOKUP(Table8[[#This Row],[NAME]],'TARGET PREDICTIONS'!$A$2:$A$8,'TARGET PREDICTIONS'!$B$2:$B$8,"NA")</f>
        <v>225</v>
      </c>
      <c r="M7" s="1">
        <v>300</v>
      </c>
      <c r="N7" s="1">
        <v>100</v>
      </c>
      <c r="O7" s="1"/>
    </row>
    <row r="8" spans="1:15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6</v>
      </c>
      <c r="D8" s="1">
        <f>SUM(Table8[[#This Row],[BATTER]:[EXTRAS]])</f>
        <v>1580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6171</v>
      </c>
      <c r="G8" s="1">
        <f>_xlfn.XLOOKUP(_xlfn.XLOOKUP(Table8[[#This Row],[NAME]],'TEAM PICK AND PREDICTIONS'!$A$2:$A$8,'TEAM PICK AND PREDICTIONS'!$B$2:$B$8,"NA"),Table0[PLAYER NAME],Table0[POINTS TALLY],0)*2</f>
        <v>534</v>
      </c>
      <c r="H8" s="1">
        <f>_xlfn.XLOOKUP(_xlfn.XLOOKUP(Table8[[#This Row],[NAME]],'TEAM PICK AND PREDICTIONS'!$A$2:$A$8,'TEAM PICK AND PREDICTIONS'!$C$2:$C$8,"NA"),Table0[PLAYER NAME],Table0[POINTS TALLY],0)</f>
        <v>67</v>
      </c>
      <c r="I8" s="1">
        <f>_xlfn.XLOOKUP(_xlfn.XLOOKUP(Table8[[#This Row],[NAME]],'TEAM PICK AND PREDICTIONS'!$A$2:$A$8,'TEAM PICK AND PREDICTIONS'!$D$2:$D$8,"NA"),Table0[PLAYER NAME],Table0[POINTS TALLY],0)*1.5</f>
        <v>120</v>
      </c>
      <c r="J8" s="1">
        <f>_xlfn.XLOOKUP(_xlfn.XLOOKUP(Table8[[#This Row],[NAME]],'TEAM PICK AND PREDICTIONS'!$A$2:$A$8,'TEAM PICK AND PREDICTIONS'!$E$2:$E$8,"NA"),Table0[PLAYER NAME],Table0[POINTS TALLY],0)</f>
        <v>237</v>
      </c>
      <c r="K8" s="1">
        <f>_xlfn.XLOOKUP(Table8[[#This Row],[NAME]],'WINNING TEAM PREDICTIONS'!$A$2:$A$8,'WINNING TEAM PREDICTIONS'!$B$2:$B$8,"NA")</f>
        <v>172</v>
      </c>
      <c r="L8" s="1">
        <f>_xlfn.XLOOKUP(Table8[[#This Row],[NAME]],'TARGET PREDICTIONS'!$A$2:$A$8,'TARGET PREDICTIONS'!$B$2:$B$8,"NA")</f>
        <v>50</v>
      </c>
      <c r="M8" s="1">
        <v>300</v>
      </c>
      <c r="N8" s="1">
        <v>100</v>
      </c>
      <c r="O8" s="1"/>
    </row>
    <row r="10" spans="1:15" x14ac:dyDescent="0.3">
      <c r="A10" s="9"/>
    </row>
    <row r="28" spans="1:1" x14ac:dyDescent="0.3">
      <c r="A28" s="9"/>
    </row>
  </sheetData>
  <conditionalFormatting sqref="B2:B8">
    <cfRule type="cellIs" dxfId="2" priority="1" operator="equal">
      <formula>"🔼"</formula>
    </cfRule>
    <cfRule type="cellIs" dxfId="1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8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319</v>
      </c>
    </row>
    <row r="4" spans="1:1" x14ac:dyDescent="0.3">
      <c r="A4" t="s">
        <v>317</v>
      </c>
    </row>
    <row r="5" spans="1:1" x14ac:dyDescent="0.3">
      <c r="A5" t="s">
        <v>318</v>
      </c>
    </row>
    <row r="6" spans="1:1" x14ac:dyDescent="0.3">
      <c r="A6" s="9" t="s">
        <v>308</v>
      </c>
    </row>
    <row r="7" spans="1:1" x14ac:dyDescent="0.3">
      <c r="A7" t="s">
        <v>307</v>
      </c>
    </row>
    <row r="8" spans="1:1" x14ac:dyDescent="0.3">
      <c r="A8" s="9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topLeftCell="A9" zoomScale="90" zoomScaleNormal="90" workbookViewId="0">
      <pane xSplit="1" topLeftCell="B1" activePane="topRight" state="frozen"/>
      <selection pane="topRight" activeCell="ER5" sqref="ER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3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 t="s">
        <v>13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 t="s">
        <v>14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 t="s">
        <v>15</v>
      </c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 t="s">
        <v>16</v>
      </c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 t="s">
        <v>226</v>
      </c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 t="s">
        <v>227</v>
      </c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x14ac:dyDescent="0.3">
      <c r="B2" s="6" t="s">
        <v>228</v>
      </c>
      <c r="C2" s="14" t="s">
        <v>36</v>
      </c>
      <c r="D2" s="14"/>
      <c r="E2" s="14"/>
      <c r="F2" s="14"/>
      <c r="G2" s="14"/>
      <c r="H2" s="14"/>
      <c r="I2" s="14"/>
      <c r="J2" s="14" t="s">
        <v>37</v>
      </c>
      <c r="K2" s="14"/>
      <c r="L2" s="14"/>
      <c r="M2" s="14"/>
      <c r="N2" s="14"/>
      <c r="O2" s="14"/>
      <c r="P2" s="14"/>
      <c r="Q2" s="14" t="s">
        <v>38</v>
      </c>
      <c r="R2" s="14"/>
      <c r="S2" s="14"/>
      <c r="T2" s="14"/>
      <c r="U2" s="14"/>
      <c r="V2" s="4"/>
      <c r="W2" s="4"/>
      <c r="X2" s="14" t="s">
        <v>36</v>
      </c>
      <c r="Y2" s="14"/>
      <c r="Z2" s="14"/>
      <c r="AA2" s="14"/>
      <c r="AB2" s="14"/>
      <c r="AC2" s="14"/>
      <c r="AD2" s="14"/>
      <c r="AE2" s="14" t="s">
        <v>37</v>
      </c>
      <c r="AF2" s="14"/>
      <c r="AG2" s="14"/>
      <c r="AH2" s="14"/>
      <c r="AI2" s="14"/>
      <c r="AJ2" s="14"/>
      <c r="AK2" s="14"/>
      <c r="AL2" s="14" t="s">
        <v>38</v>
      </c>
      <c r="AM2" s="14"/>
      <c r="AN2" s="14"/>
      <c r="AO2" s="14"/>
      <c r="AP2" s="14"/>
      <c r="AQ2" s="4"/>
      <c r="AR2" s="4"/>
      <c r="AS2" s="14" t="s">
        <v>36</v>
      </c>
      <c r="AT2" s="14"/>
      <c r="AU2" s="14"/>
      <c r="AV2" s="14"/>
      <c r="AW2" s="14"/>
      <c r="AX2" s="14"/>
      <c r="AY2" s="14"/>
      <c r="AZ2" s="14" t="s">
        <v>37</v>
      </c>
      <c r="BA2" s="14"/>
      <c r="BB2" s="14"/>
      <c r="BC2" s="14"/>
      <c r="BD2" s="14"/>
      <c r="BE2" s="14"/>
      <c r="BF2" s="14"/>
      <c r="BG2" s="14" t="s">
        <v>38</v>
      </c>
      <c r="BH2" s="14"/>
      <c r="BI2" s="14"/>
      <c r="BJ2" s="14"/>
      <c r="BK2" s="14"/>
      <c r="BL2" s="4"/>
      <c r="BM2" s="4"/>
      <c r="BN2" s="14" t="s">
        <v>36</v>
      </c>
      <c r="BO2" s="14"/>
      <c r="BP2" s="14"/>
      <c r="BQ2" s="14"/>
      <c r="BR2" s="14"/>
      <c r="BS2" s="14"/>
      <c r="BT2" s="14"/>
      <c r="BU2" s="14" t="s">
        <v>37</v>
      </c>
      <c r="BV2" s="14"/>
      <c r="BW2" s="14"/>
      <c r="BX2" s="14"/>
      <c r="BY2" s="14"/>
      <c r="BZ2" s="14"/>
      <c r="CA2" s="14"/>
      <c r="CB2" s="14" t="s">
        <v>38</v>
      </c>
      <c r="CC2" s="14"/>
      <c r="CD2" s="14"/>
      <c r="CE2" s="14"/>
      <c r="CF2" s="14"/>
      <c r="CG2" s="4"/>
      <c r="CH2" s="4"/>
      <c r="CI2" s="14" t="s">
        <v>36</v>
      </c>
      <c r="CJ2" s="14"/>
      <c r="CK2" s="14"/>
      <c r="CL2" s="14"/>
      <c r="CM2" s="14"/>
      <c r="CN2" s="14"/>
      <c r="CO2" s="14"/>
      <c r="CP2" s="14" t="s">
        <v>37</v>
      </c>
      <c r="CQ2" s="14"/>
      <c r="CR2" s="14"/>
      <c r="CS2" s="14"/>
      <c r="CT2" s="14"/>
      <c r="CU2" s="14"/>
      <c r="CV2" s="14"/>
      <c r="CW2" s="14" t="s">
        <v>38</v>
      </c>
      <c r="CX2" s="14"/>
      <c r="CY2" s="14"/>
      <c r="CZ2" s="14"/>
      <c r="DA2" s="14"/>
      <c r="DB2" s="4"/>
      <c r="DC2" s="4"/>
      <c r="DD2" s="14" t="s">
        <v>36</v>
      </c>
      <c r="DE2" s="14"/>
      <c r="DF2" s="14"/>
      <c r="DG2" s="14"/>
      <c r="DH2" s="14"/>
      <c r="DI2" s="14"/>
      <c r="DJ2" s="14"/>
      <c r="DK2" s="14" t="s">
        <v>37</v>
      </c>
      <c r="DL2" s="14"/>
      <c r="DM2" s="14"/>
      <c r="DN2" s="14"/>
      <c r="DO2" s="14"/>
      <c r="DP2" s="14"/>
      <c r="DQ2" s="14"/>
      <c r="DR2" s="14" t="s">
        <v>38</v>
      </c>
      <c r="DS2" s="14"/>
      <c r="DT2" s="14"/>
      <c r="DU2" s="14"/>
      <c r="DV2" s="14"/>
      <c r="DW2" s="4"/>
      <c r="DX2" s="4"/>
      <c r="DY2" s="14" t="s">
        <v>36</v>
      </c>
      <c r="DZ2" s="14"/>
      <c r="EA2" s="14"/>
      <c r="EB2" s="14"/>
      <c r="EC2" s="14"/>
      <c r="ED2" s="14"/>
      <c r="EE2" s="14"/>
      <c r="EF2" s="14" t="s">
        <v>37</v>
      </c>
      <c r="EG2" s="14"/>
      <c r="EH2" s="14"/>
      <c r="EI2" s="14"/>
      <c r="EJ2" s="14"/>
      <c r="EK2" s="14"/>
      <c r="EL2" s="14"/>
      <c r="EM2" s="14" t="s">
        <v>38</v>
      </c>
      <c r="EN2" s="14"/>
      <c r="EO2" s="14"/>
      <c r="EP2" s="14"/>
      <c r="EQ2" s="14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2104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>
        <v>75</v>
      </c>
      <c r="CJ4" s="1">
        <v>37</v>
      </c>
      <c r="CK4" s="1">
        <v>6</v>
      </c>
      <c r="CL4" s="1">
        <v>5</v>
      </c>
      <c r="CM4" s="1">
        <f>IFERROR(_xlfn.NUMBERVALUE(SUBSTITUTE(Table5[[#This Row],[RUNS SCORED]],"*",""))/Table5[[#This Row],[BALLS FACED]]*100,0)</f>
        <v>202.70270270270271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CO4" s="1">
        <f>IF(Table5[[#This Row],[RUNS SCORED]]="", 0, VALUE(SUBSTITUTE(Table5[[#This Row],[RUNS SCORED]],"*","")) + Table5[[#This Row],[BONUS 1]])</f>
        <v>375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>
        <v>2</v>
      </c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4" s="1">
        <f>IF(AND(Table5[[#This Row],[CATCHES TAKEN]]="",Table5[[#This Row],[RUNOUTS]]="",Table5[[#This Row],[STUMPINGS]]=""), 0, Table5[[#This Row],[BONUS 3]])</f>
        <v>50</v>
      </c>
      <c r="DB4" s="1">
        <v>100</v>
      </c>
      <c r="DC4" s="1">
        <f>SUM(Table5[[#This Row],[SUB TOTAL 1]],Table5[[#This Row],[SUB TOTAL 2]],Table5[[#This Row],[SUB TOTAL 3]],Table5[[#This Row],[POM BONUS]])</f>
        <v>525</v>
      </c>
      <c r="DD4" s="1">
        <v>61</v>
      </c>
      <c r="DE4" s="1">
        <v>31</v>
      </c>
      <c r="DF4" s="1">
        <v>8</v>
      </c>
      <c r="DG4" s="1">
        <v>2</v>
      </c>
      <c r="DH4" s="1">
        <f>IFERROR(_xlfn.NUMBERVALUE(SUBSTITUTE(Table6[[#This Row],[RUNS SCORED]],"*",""))/Table6[[#This Row],[BALLS FACED]]*100,0)</f>
        <v>196.7741935483871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DJ4" s="1">
        <f>IF(Table6[[#This Row],[RUNS SCORED]]="", 0, VALUE(SUBSTITUTE(Table6[[#This Row],[RUNS SCORED]],"*","")) + Table6[[#This Row],[BONUS 1]])</f>
        <v>261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261</v>
      </c>
      <c r="DY4" s="1">
        <v>5</v>
      </c>
      <c r="DZ4" s="1">
        <v>6</v>
      </c>
      <c r="EA4" s="1">
        <v>1</v>
      </c>
      <c r="EB4" s="1">
        <v>0</v>
      </c>
      <c r="EC4" s="1">
        <f>IFERROR(_xlfn.NUMBERVALUE(SUBSTITUTE(Table7[[#This Row],[RUNS SCORED]],"*",""))/Table7[[#This Row],[BALLS FACED]]*100,0)</f>
        <v>83.333333333333343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4" s="1">
        <f>IF(Table7[[#This Row],[RUNS SCORED]]="", 0, VALUE(SUBSTITUTE(Table7[[#This Row],[RUNS SCORED]],"*","")) + Table7[[#This Row],[BONUS 1]])</f>
        <v>-5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>
        <v>500</v>
      </c>
      <c r="ES4" s="1">
        <f>SUM(Table7[[#This Row],[SUB TOTAL 1]],Table7[[#This Row],[SUB TOTAL 2]],Table7[[#This Row],[SUB TOTAL 3]],Table7[[#This Row],[POM BONUS]])</f>
        <v>495</v>
      </c>
    </row>
    <row r="5" spans="1:149" x14ac:dyDescent="0.3">
      <c r="A5" s="10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>
        <v>5</v>
      </c>
      <c r="DE5" s="1">
        <v>9</v>
      </c>
      <c r="DF5" s="1">
        <v>0</v>
      </c>
      <c r="DG5" s="1">
        <v>0</v>
      </c>
      <c r="DH5" s="1">
        <f>IFERROR(_xlfn.NUMBERVALUE(SUBSTITUTE(Table6[[#This Row],[RUNS SCORED]],"*",""))/Table6[[#This Row],[BALLS FACED]]*100,0)</f>
        <v>55.555555555555557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5" s="1">
        <f>IF(Table6[[#This Row],[RUNS SCORED]]="", 0, VALUE(SUBSTITUTE(Table6[[#This Row],[RUNS SCORED]],"*","")) + Table6[[#This Row],[BONUS 1]])</f>
        <v>-5</v>
      </c>
      <c r="DK5" s="1">
        <v>2</v>
      </c>
      <c r="DL5" s="1">
        <v>0</v>
      </c>
      <c r="DM5" s="1">
        <v>18</v>
      </c>
      <c r="DN5" s="1">
        <v>1</v>
      </c>
      <c r="DO5" s="1">
        <f>IFERROR(Table6[[#This Row],[RUNS GIVEN]]/Table6[[#This Row],[OVERS]],0)</f>
        <v>9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50</v>
      </c>
      <c r="DR5" s="1">
        <v>1</v>
      </c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5" s="1">
        <f>IF(AND(Table6[[#This Row],[CATCHES TAKEN]]="",Table6[[#This Row],[RUNOUTS]]="",Table6[[#This Row],[STUMPINGS]]=""), 0, Table6[[#This Row],[BONUS 3]])</f>
        <v>25</v>
      </c>
      <c r="DW5" s="1"/>
      <c r="DX5" s="1">
        <f>SUM(Table6[[#This Row],[SUB TOTAL 1]],Table6[[#This Row],[SUB TOTAL 2]],Table6[[#This Row],[SUB TOTAL 3]],Table6[[#This Row],[POM BONUS]])</f>
        <v>70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s="10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351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>
        <v>38</v>
      </c>
      <c r="CJ8" s="1">
        <v>29</v>
      </c>
      <c r="CK8" s="1">
        <v>4</v>
      </c>
      <c r="CL8" s="1">
        <v>1</v>
      </c>
      <c r="CM8" s="1">
        <f>IFERROR(_xlfn.NUMBERVALUE(SUBSTITUTE(Table5[[#This Row],[RUNS SCORED]],"*",""))/Table5[[#This Row],[BALLS FACED]]*100,0)</f>
        <v>131.0344827586207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8" s="1">
        <f>IF(Table5[[#This Row],[RUNS SCORED]]="", 0, VALUE(SUBSTITUTE(Table5[[#This Row],[RUNS SCORED]],"*","")) + Table5[[#This Row],[BONUS 1]])</f>
        <v>88</v>
      </c>
      <c r="CP8" s="1">
        <v>2</v>
      </c>
      <c r="CQ8" s="1">
        <v>0</v>
      </c>
      <c r="CR8" s="1">
        <v>14</v>
      </c>
      <c r="CS8" s="1">
        <v>0</v>
      </c>
      <c r="CT8" s="1">
        <f>IFERROR(Table5[[#This Row],[RUNS GIVEN]]/Table5[[#This Row],[OVERS]],0)</f>
        <v>7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-25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63</v>
      </c>
      <c r="DD8" s="1">
        <v>2</v>
      </c>
      <c r="DE8" s="1">
        <v>3</v>
      </c>
      <c r="DF8" s="1">
        <v>0</v>
      </c>
      <c r="DG8" s="1">
        <v>0</v>
      </c>
      <c r="DH8" s="1">
        <f>IFERROR(_xlfn.NUMBERVALUE(SUBSTITUTE(Table6[[#This Row],[RUNS SCORED]],"*",""))/Table6[[#This Row],[BALLS FACED]]*100,0)</f>
        <v>66.666666666666657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8" s="1">
        <f>IF(Table6[[#This Row],[RUNS SCORED]]="", 0, VALUE(SUBSTITUTE(Table6[[#This Row],[RUNS SCORED]],"*","")) + Table6[[#This Row],[BONUS 1]])</f>
        <v>-8</v>
      </c>
      <c r="DK8" s="1">
        <v>1</v>
      </c>
      <c r="DL8" s="1">
        <v>0</v>
      </c>
      <c r="DM8" s="1">
        <v>7</v>
      </c>
      <c r="DN8" s="1">
        <v>1</v>
      </c>
      <c r="DO8" s="1">
        <f>IFERROR(Table6[[#This Row],[RUNS GIVEN]]/Table6[[#This Row],[OVERS]],0)</f>
        <v>7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50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42</v>
      </c>
      <c r="DY8" s="1">
        <v>33</v>
      </c>
      <c r="DZ8" s="1">
        <v>22</v>
      </c>
      <c r="EA8" s="1">
        <v>2</v>
      </c>
      <c r="EB8" s="1">
        <v>2</v>
      </c>
      <c r="EC8" s="1">
        <f>IFERROR(_xlfn.NUMBERVALUE(SUBSTITUTE(Table7[[#This Row],[RUNS SCORED]],"*",""))/Table7[[#This Row],[BALLS FACED]]*100,0)</f>
        <v>150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EE8" s="1">
        <f>IF(Table7[[#This Row],[RUNS SCORED]]="", 0, VALUE(SUBSTITUTE(Table7[[#This Row],[RUNS SCORED]],"*","")) + Table7[[#This Row],[BONUS 1]])</f>
        <v>83</v>
      </c>
      <c r="EF8" s="1">
        <v>3</v>
      </c>
      <c r="EG8" s="1">
        <v>0</v>
      </c>
      <c r="EH8" s="1">
        <v>23</v>
      </c>
      <c r="EI8" s="1">
        <v>0</v>
      </c>
      <c r="EJ8" s="1">
        <f>IFERROR(Table7[[#This Row],[RUNS GIVEN]]/Table7[[#This Row],[OVERS]],0)</f>
        <v>7.666666666666667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-25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58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450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>
        <v>4</v>
      </c>
      <c r="CQ10" s="1">
        <v>0</v>
      </c>
      <c r="CR10" s="1">
        <v>18</v>
      </c>
      <c r="CS10" s="1">
        <v>2</v>
      </c>
      <c r="CT10" s="1">
        <f>IFERROR(Table5[[#This Row],[RUNS GIVEN]]/Table5[[#This Row],[OVERS]],0)</f>
        <v>4.5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0" s="1">
        <f>IF(Table5[[#This Row],[WICKETS TAKEN]]="", 0, IF(Table5[[#This Row],[WICKETS TAKEN]] = 0, -25,
        Table5[[#This Row],[WICKETS TAKEN]] * 50)+Table5[[#This Row],[BONUS 2]])</f>
        <v>200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200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>
        <v>3.1</v>
      </c>
      <c r="EG10" s="1">
        <v>0</v>
      </c>
      <c r="EH10" s="1">
        <v>25</v>
      </c>
      <c r="EI10" s="1">
        <v>2</v>
      </c>
      <c r="EJ10" s="1">
        <f>IFERROR(Table7[[#This Row],[RUNS GIVEN]]/Table7[[#This Row],[OVERS]],0)</f>
        <v>8.064516129032258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100</v>
      </c>
      <c r="EM10" s="1">
        <v>1</v>
      </c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EQ10" s="1">
        <f>IF(AND(Table7[[#This Row],[CATCHES TAKEN]]="",Table7[[#This Row],[RUNOUTS]]="",Table7[[#This Row],[STUMPINGS]]=""), 0, Table7[[#This Row],[BONUS 3]])</f>
        <v>25</v>
      </c>
      <c r="ER10" s="1"/>
      <c r="ES10" s="1">
        <f>SUM(Table7[[#This Row],[SUB TOTAL 1]],Table7[[#This Row],[SUB TOTAL 2]],Table7[[#This Row],[SUB TOTAL 3]],Table7[[#This Row],[POM BONUS]])</f>
        <v>125</v>
      </c>
    </row>
    <row r="11" spans="1:149" x14ac:dyDescent="0.3">
      <c r="A11" s="10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311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>
        <v>3</v>
      </c>
      <c r="DE11" s="1">
        <v>7</v>
      </c>
      <c r="DF11" s="1">
        <v>0</v>
      </c>
      <c r="DG11" s="1">
        <v>0</v>
      </c>
      <c r="DH11" s="1">
        <f>IFERROR(_xlfn.NUMBERVALUE(SUBSTITUTE(Table6[[#This Row],[RUNS SCORED]],"*",""))/Table6[[#This Row],[BALLS FACED]]*100,0)</f>
        <v>42.857142857142854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11" s="1">
        <f>IF(Table6[[#This Row],[RUNS SCORED]]="", 0, VALUE(SUBSTITUTE(Table6[[#This Row],[RUNS SCORED]],"*","")) + Table6[[#This Row],[BONUS 1]])</f>
        <v>-7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>
        <v>1</v>
      </c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11" s="1">
        <f>IF(AND(Table6[[#This Row],[CATCHES TAKEN]]="",Table6[[#This Row],[RUNOUTS]]="",Table6[[#This Row],[STUMPINGS]]=""), 0, Table6[[#This Row],[BONUS 3]])</f>
        <v>25</v>
      </c>
      <c r="DW11" s="1"/>
      <c r="DX11" s="1">
        <f>SUM(Table6[[#This Row],[SUB TOTAL 1]],Table6[[#This Row],[SUB TOTAL 2]],Table6[[#This Row],[SUB TOTAL 3]],Table6[[#This Row],[POM BONUS]])</f>
        <v>18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237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>
        <v>31</v>
      </c>
      <c r="DE12" s="1">
        <v>23</v>
      </c>
      <c r="DF12" s="1">
        <v>2</v>
      </c>
      <c r="DG12" s="1">
        <v>1</v>
      </c>
      <c r="DH12" s="1">
        <f>IFERROR(_xlfn.NUMBERVALUE(SUBSTITUTE(Table6[[#This Row],[RUNS SCORED]],"*",""))/Table6[[#This Row],[BALLS FACED]]*100,0)</f>
        <v>134.78260869565219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2" s="1">
        <f>IF(Table6[[#This Row],[RUNS SCORED]]="", 0, VALUE(SUBSTITUTE(Table6[[#This Row],[RUNS SCORED]],"*","")) + Table6[[#This Row],[BONUS 1]])</f>
        <v>81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81</v>
      </c>
      <c r="DY12" s="1">
        <v>0</v>
      </c>
      <c r="DZ12" s="1">
        <v>2</v>
      </c>
      <c r="EA12" s="1">
        <v>0</v>
      </c>
      <c r="EB12" s="1">
        <v>0</v>
      </c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EE12" s="1">
        <f>IF(Table7[[#This Row],[RUNS SCORED]]="", 0, VALUE(SUBSTITUTE(Table7[[#This Row],[RUNS SCORED]],"*","")) + Table7[[#This Row],[BONUS 1]])</f>
        <v>-25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-25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468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315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>
        <v>25</v>
      </c>
      <c r="DE13" s="1">
        <v>15</v>
      </c>
      <c r="DF13" s="1">
        <v>1</v>
      </c>
      <c r="DG13" s="1">
        <v>2</v>
      </c>
      <c r="DH13" s="1">
        <f>IFERROR(_xlfn.NUMBERVALUE(SUBSTITUTE(Table6[[#This Row],[RUNS SCORED]],"*",""))/Table6[[#This Row],[BALLS FACED]]*100,0)</f>
        <v>166.66666666666669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3" s="1">
        <f>IF(Table6[[#This Row],[RUNS SCORED]]="", 0, VALUE(SUBSTITUTE(Table6[[#This Row],[RUNS SCORED]],"*","")) + Table6[[#This Row],[BONUS 1]])</f>
        <v>75</v>
      </c>
      <c r="DK13" s="1">
        <v>3</v>
      </c>
      <c r="DL13" s="1">
        <v>0</v>
      </c>
      <c r="DM13" s="1">
        <v>14</v>
      </c>
      <c r="DN13" s="1">
        <v>1</v>
      </c>
      <c r="DO13" s="1">
        <f>IFERROR(Table6[[#This Row],[RUNS GIVEN]]/Table6[[#This Row],[OVERS]],0)</f>
        <v>4.666666666666667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DQ13" s="1">
        <f>IF(Table6[[#This Row],[WICKETS TAKEN]]="", 0, IF(Table6[[#This Row],[WICKETS TAKEN]] = 0, -25,
        Table6[[#This Row],[WICKETS TAKEN]] * 50)+Table6[[#This Row],[BONUS 2]])</f>
        <v>150</v>
      </c>
      <c r="DR13" s="1">
        <v>3</v>
      </c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125</v>
      </c>
      <c r="DV13" s="1">
        <f>IF(AND(Table6[[#This Row],[CATCHES TAKEN]]="",Table6[[#This Row],[RUNOUTS]]="",Table6[[#This Row],[STUMPINGS]]=""), 0, Table6[[#This Row],[BONUS 3]])</f>
        <v>125</v>
      </c>
      <c r="DW13" s="1"/>
      <c r="DX13" s="1">
        <f>SUM(Table6[[#This Row],[SUB TOTAL 1]],Table6[[#This Row],[SUB TOTAL 2]],Table6[[#This Row],[SUB TOTAL 3]],Table6[[#This Row],[POM BONUS]])</f>
        <v>350</v>
      </c>
      <c r="DY13" s="1">
        <v>6</v>
      </c>
      <c r="DZ13" s="1">
        <v>9</v>
      </c>
      <c r="EA13" s="1">
        <v>0</v>
      </c>
      <c r="EB13" s="1">
        <v>0</v>
      </c>
      <c r="EC13" s="1">
        <f>IFERROR(_xlfn.NUMBERVALUE(SUBSTITUTE(Table7[[#This Row],[RUNS SCORED]],"*",""))/Table7[[#This Row],[BALLS FACED]]*100,0)</f>
        <v>66.666666666666657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13" s="1">
        <f>IF(Table7[[#This Row],[RUNS SCORED]]="", 0, VALUE(SUBSTITUTE(Table7[[#This Row],[RUNS SCORED]],"*","")) + Table7[[#This Row],[BONUS 1]])</f>
        <v>-4</v>
      </c>
      <c r="EF13" s="1">
        <v>1</v>
      </c>
      <c r="EG13" s="1">
        <v>0</v>
      </c>
      <c r="EH13" s="1">
        <v>6</v>
      </c>
      <c r="EI13" s="1">
        <v>0</v>
      </c>
      <c r="EJ13" s="1">
        <f>IFERROR(Table7[[#This Row],[RUNS GIVEN]]/Table7[[#This Row],[OVERS]],0)</f>
        <v>6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-25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-29</v>
      </c>
    </row>
    <row r="14" spans="1:149" x14ac:dyDescent="0.3">
      <c r="A14" s="10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767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>
        <v>6</v>
      </c>
      <c r="CJ14" s="1">
        <v>11</v>
      </c>
      <c r="CK14" s="1">
        <v>1</v>
      </c>
      <c r="CL14" s="1">
        <v>0</v>
      </c>
      <c r="CM14" s="1">
        <f>IFERROR(_xlfn.NUMBERVALUE(SUBSTITUTE(Table5[[#This Row],[RUNS SCORED]],"*",""))/Table5[[#This Row],[BALLS FACED]]*100,0)</f>
        <v>54.54545454545454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4" s="1">
        <f>IF(Table5[[#This Row],[RUNS SCORED]]="", 0, VALUE(SUBSTITUTE(Table5[[#This Row],[RUNS SCORED]],"*","")) + Table5[[#This Row],[BONUS 1]])</f>
        <v>-4</v>
      </c>
      <c r="CP14" s="1">
        <v>4</v>
      </c>
      <c r="CQ14" s="1">
        <v>0</v>
      </c>
      <c r="CR14" s="1">
        <v>33</v>
      </c>
      <c r="CS14" s="1">
        <v>1</v>
      </c>
      <c r="CT14" s="1">
        <f>IFERROR(Table5[[#This Row],[RUNS GIVEN]]/Table5[[#This Row],[OVERS]],0)</f>
        <v>8.25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50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46</v>
      </c>
      <c r="DD14" s="1" t="s">
        <v>310</v>
      </c>
      <c r="DE14" s="1">
        <v>4</v>
      </c>
      <c r="DF14" s="1">
        <v>1</v>
      </c>
      <c r="DG14" s="1">
        <v>0</v>
      </c>
      <c r="DH14" s="1">
        <f>IFERROR(_xlfn.NUMBERVALUE(SUBSTITUTE(Table6[[#This Row],[RUNS SCORED]],"*",""))/Table6[[#This Row],[BALLS FACED]]*100,0)</f>
        <v>150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DJ14" s="1">
        <f>IF(Table6[[#This Row],[RUNS SCORED]]="", 0, VALUE(SUBSTITUTE(Table6[[#This Row],[RUNS SCORED]],"*","")) + Table6[[#This Row],[BONUS 1]])</f>
        <v>21</v>
      </c>
      <c r="DK14" s="1">
        <v>4</v>
      </c>
      <c r="DL14" s="1">
        <v>0</v>
      </c>
      <c r="DM14" s="1">
        <v>33</v>
      </c>
      <c r="DN14" s="1">
        <v>1</v>
      </c>
      <c r="DO14" s="1">
        <f>IFERROR(Table6[[#This Row],[RUNS GIVEN]]/Table6[[#This Row],[OVERS]],0)</f>
        <v>8.25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50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71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310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s="10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966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>
        <v>107</v>
      </c>
      <c r="DE16" s="1">
        <v>58</v>
      </c>
      <c r="DF16" s="1">
        <v>7</v>
      </c>
      <c r="DG16" s="1">
        <v>6</v>
      </c>
      <c r="DH16" s="1">
        <f>IFERROR(_xlfn.NUMBERVALUE(SUBSTITUTE(Table6[[#This Row],[RUNS SCORED]],"*",""))/Table6[[#This Row],[BALLS FACED]]*100,0)</f>
        <v>184.48275862068965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DJ16" s="1">
        <f>IF(Table6[[#This Row],[RUNS SCORED]]="", 0, VALUE(SUBSTITUTE(Table6[[#This Row],[RUNS SCORED]],"*","")) + Table6[[#This Row],[BONUS 1]])</f>
        <v>407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>
        <v>100</v>
      </c>
      <c r="DX16" s="1">
        <f>SUM(Table6[[#This Row],[SUB TOTAL 1]],Table6[[#This Row],[SUB TOTAL 2]],Table6[[#This Row],[SUB TOTAL 3]],Table6[[#This Row],[POM BONUS]])</f>
        <v>507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119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 t="s">
        <v>320</v>
      </c>
      <c r="DZ17" s="1">
        <v>1</v>
      </c>
      <c r="EA17" s="1">
        <v>0</v>
      </c>
      <c r="EB17" s="1">
        <v>0</v>
      </c>
      <c r="EC17" s="1">
        <f>IFERROR(_xlfn.NUMBERVALUE(SUBSTITUTE(Table7[[#This Row],[RUNS SCORED]],"*",""))/Table7[[#This Row],[BALLS FACED]]*100,0)</f>
        <v>400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EE17" s="1">
        <f>IF(Table7[[#This Row],[RUNS SCORED]]="", 0, VALUE(SUBSTITUTE(Table7[[#This Row],[RUNS SCORED]],"*","")) + Table7[[#This Row],[BONUS 1]])</f>
        <v>19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>
        <v>2</v>
      </c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EQ17" s="1">
        <f>IF(AND(Table7[[#This Row],[CATCHES TAKEN]]="",Table7[[#This Row],[RUNOUTS]]="",Table7[[#This Row],[STUMPINGS]]=""), 0, Table7[[#This Row],[BONUS 3]])</f>
        <v>50</v>
      </c>
      <c r="ER17" s="1"/>
      <c r="ES17" s="1">
        <f>SUM(Table7[[#This Row],[SUB TOTAL 1]],Table7[[#This Row],[SUB TOTAL 2]],Table7[[#This Row],[SUB TOTAL 3]],Table7[[#This Row],[POM BONUS]])</f>
        <v>69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142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312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>
        <v>19</v>
      </c>
      <c r="DE18" s="1">
        <v>23</v>
      </c>
      <c r="DF18" s="1">
        <v>2</v>
      </c>
      <c r="DG18" s="1">
        <v>0</v>
      </c>
      <c r="DH18" s="1">
        <f>IFERROR(_xlfn.NUMBERVALUE(SUBSTITUTE(Table6[[#This Row],[RUNS SCORED]],"*",""))/Table6[[#This Row],[BALLS FACED]]*100,0)</f>
        <v>82.608695652173907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19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19</v>
      </c>
      <c r="DY18" s="1">
        <v>8</v>
      </c>
      <c r="DZ18" s="1">
        <v>7</v>
      </c>
      <c r="EA18" s="1">
        <v>0</v>
      </c>
      <c r="EB18" s="1">
        <v>0</v>
      </c>
      <c r="EC18" s="1">
        <f>IFERROR(_xlfn.NUMBERVALUE(SUBSTITUTE(Table7[[#This Row],[RUNS SCORED]],"*",""))/Table7[[#This Row],[BALLS FACED]]*100,0)</f>
        <v>114.28571428571428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18" s="1">
        <f>IF(Table7[[#This Row],[RUNS SCORED]]="", 0, VALUE(SUBSTITUTE(Table7[[#This Row],[RUNS SCORED]],"*","")) + Table7[[#This Row],[BONUS 1]])</f>
        <v>-2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>
        <v>1</v>
      </c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EQ18" s="1">
        <f>IF(AND(Table7[[#This Row],[CATCHES TAKEN]]="",Table7[[#This Row],[RUNOUTS]]="",Table7[[#This Row],[STUMPINGS]]=""), 0, Table7[[#This Row],[BONUS 3]])</f>
        <v>25</v>
      </c>
      <c r="ER18" s="1"/>
      <c r="ES18" s="1">
        <f>SUM(Table7[[#This Row],[SUB TOTAL 1]],Table7[[#This Row],[SUB TOTAL 2]],Table7[[#This Row],[SUB TOTAL 3]],Table7[[#This Row],[POM BONUS]])</f>
        <v>23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1623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309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>
        <v>19</v>
      </c>
      <c r="DE19" s="1">
        <v>13</v>
      </c>
      <c r="DF19" s="1">
        <v>0</v>
      </c>
      <c r="DG19" s="1">
        <v>2</v>
      </c>
      <c r="DH19" s="1">
        <f>IFERROR(_xlfn.NUMBERVALUE(SUBSTITUTE(Table6[[#This Row],[RUNS SCORED]],"*",""))/Table6[[#This Row],[BALLS FACED]]*100,0)</f>
        <v>146.15384615384613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19</v>
      </c>
      <c r="DK19" s="1">
        <v>4</v>
      </c>
      <c r="DL19" s="1">
        <v>0</v>
      </c>
      <c r="DM19" s="1">
        <v>17</v>
      </c>
      <c r="DN19" s="1">
        <v>3</v>
      </c>
      <c r="DO19" s="1">
        <f>IFERROR(Table6[[#This Row],[RUNS GIVEN]]/Table6[[#This Row],[OVERS]],0)</f>
        <v>4.25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DQ19" s="1">
        <f>IF(Table6[[#This Row],[WICKETS TAKEN]]="", 0, IF(Table6[[#This Row],[WICKETS TAKEN]] = 0, -25,
        Table6[[#This Row],[WICKETS TAKEN]] * 50)+Table6[[#This Row],[BONUS 2]])</f>
        <v>350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>
        <v>100</v>
      </c>
      <c r="DX19" s="1">
        <f>SUM(Table6[[#This Row],[SUB TOTAL 1]],Table6[[#This Row],[SUB TOTAL 2]],Table6[[#This Row],[SUB TOTAL 3]],Table6[[#This Row],[POM BONUS]])</f>
        <v>469</v>
      </c>
      <c r="DY19" s="1">
        <v>0</v>
      </c>
      <c r="DZ19" s="1">
        <v>3</v>
      </c>
      <c r="EA19" s="1">
        <v>0</v>
      </c>
      <c r="EB19" s="1">
        <v>0</v>
      </c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EE19" s="1">
        <f>IF(Table7[[#This Row],[RUNS SCORED]]="", 0, VALUE(SUBSTITUTE(Table7[[#This Row],[RUNS SCORED]],"*","")) + Table7[[#This Row],[BONUS 1]])</f>
        <v>-25</v>
      </c>
      <c r="EF19" s="1">
        <v>4</v>
      </c>
      <c r="EG19" s="1">
        <v>0</v>
      </c>
      <c r="EH19" s="1">
        <v>20</v>
      </c>
      <c r="EI19" s="1">
        <v>1</v>
      </c>
      <c r="EJ19" s="1">
        <f>IFERROR(Table7[[#This Row],[RUNS GIVEN]]/Table7[[#This Row],[OVERS]],0)</f>
        <v>5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EL19" s="1">
        <f>IF(Table7[[#This Row],[WICKETS TAKEN]]="", 0, IF(Table7[[#This Row],[WICKETS TAKEN]] = 0, -25,
        Table7[[#This Row],[WICKETS TAKEN]] * 50)+Table7[[#This Row],[BONUS 2]])</f>
        <v>150</v>
      </c>
      <c r="EM19" s="1">
        <v>1</v>
      </c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EQ19" s="1">
        <f>IF(AND(Table7[[#This Row],[CATCHES TAKEN]]="",Table7[[#This Row],[RUNOUTS]]="",Table7[[#This Row],[STUMPINGS]]=""), 0, Table7[[#This Row],[BONUS 3]])</f>
        <v>25</v>
      </c>
      <c r="ER19" s="1"/>
      <c r="ES19" s="1">
        <f>SUM(Table7[[#This Row],[SUB TOTAL 1]],Table7[[#This Row],[SUB TOTAL 2]],Table7[[#This Row],[SUB TOTAL 3]],Table7[[#This Row],[POM BONUS]])</f>
        <v>150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307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>
        <v>29</v>
      </c>
      <c r="CJ20" s="1">
        <v>19</v>
      </c>
      <c r="CK20" s="1">
        <v>2</v>
      </c>
      <c r="CL20" s="1">
        <v>1</v>
      </c>
      <c r="CM20" s="1">
        <f>IFERROR(_xlfn.NUMBERVALUE(SUBSTITUTE(Table5[[#This Row],[RUNS SCORED]],"*",""))/Table5[[#This Row],[BALLS FACED]]*100,0)</f>
        <v>152.63157894736844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20" s="1">
        <f>IF(Table5[[#This Row],[RUNS SCORED]]="", 0, VALUE(SUBSTITUTE(Table5[[#This Row],[RUNS SCORED]],"*","")) + Table5[[#This Row],[BONUS 1]])</f>
        <v>79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79</v>
      </c>
      <c r="DD20" s="1">
        <v>4</v>
      </c>
      <c r="DE20" s="1">
        <v>3</v>
      </c>
      <c r="DF20" s="1">
        <v>1</v>
      </c>
      <c r="DG20" s="1">
        <v>0</v>
      </c>
      <c r="DH20" s="1">
        <f>IFERROR(_xlfn.NUMBERVALUE(SUBSTITUTE(Table6[[#This Row],[RUNS SCORED]],"*",""))/Table6[[#This Row],[BALLS FACED]]*100,0)</f>
        <v>133.33333333333331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0" s="1">
        <f>IF(Table6[[#This Row],[RUNS SCORED]]="", 0, VALUE(SUBSTITUTE(Table6[[#This Row],[RUNS SCORED]],"*","")) + Table6[[#This Row],[BONUS 1]])</f>
        <v>-6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>
        <v>2</v>
      </c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V20" s="1">
        <f>IF(AND(Table6[[#This Row],[CATCHES TAKEN]]="",Table6[[#This Row],[RUNOUTS]]="",Table6[[#This Row],[STUMPINGS]]=""), 0, Table6[[#This Row],[BONUS 3]])</f>
        <v>50</v>
      </c>
      <c r="DW20" s="1"/>
      <c r="DX20" s="1">
        <f>SUM(Table6[[#This Row],[SUB TOTAL 1]],Table6[[#This Row],[SUB TOTAL 2]],Table6[[#This Row],[SUB TOTAL 3]],Table6[[#This Row],[POM BONUS]])</f>
        <v>44</v>
      </c>
      <c r="DY20" s="1">
        <v>12</v>
      </c>
      <c r="DZ20" s="1">
        <v>10</v>
      </c>
      <c r="EA20" s="1">
        <v>1</v>
      </c>
      <c r="EB20" s="1">
        <v>0</v>
      </c>
      <c r="EC20" s="1">
        <f>IFERROR(_xlfn.NUMBERVALUE(SUBSTITUTE(Table7[[#This Row],[RUNS SCORED]],"*",""))/Table7[[#This Row],[BALLS FACED]]*100,0)</f>
        <v>120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12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12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267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>
        <v>5</v>
      </c>
      <c r="CJ21" s="1">
        <v>11</v>
      </c>
      <c r="CK21" s="1">
        <v>0</v>
      </c>
      <c r="CL21" s="1">
        <v>0</v>
      </c>
      <c r="CM21" s="1">
        <f>IFERROR(_xlfn.NUMBERVALUE(SUBSTITUTE(Table5[[#This Row],[RUNS SCORED]],"*",""))/Table5[[#This Row],[BALLS FACED]]*100,0)</f>
        <v>45.454545454545453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1" s="1">
        <f>IF(Table5[[#This Row],[RUNS SCORED]]="", 0, VALUE(SUBSTITUTE(Table5[[#This Row],[RUNS SCORED]],"*","")) + Table5[[#This Row],[BONUS 1]])</f>
        <v>-5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>
        <v>1</v>
      </c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1" s="1">
        <f>IF(AND(Table5[[#This Row],[CATCHES TAKEN]]="",Table5[[#This Row],[RUNOUTS]]="",Table5[[#This Row],[STUMPINGS]]=""), 0, Table5[[#This Row],[BONUS 3]])</f>
        <v>50</v>
      </c>
      <c r="DB21" s="1"/>
      <c r="DC21" s="1">
        <f>SUM(Table5[[#This Row],[SUB TOTAL 1]],Table5[[#This Row],[SUB TOTAL 2]],Table5[[#This Row],[SUB TOTAL 3]],Table5[[#This Row],[POM BONUS]])</f>
        <v>45</v>
      </c>
      <c r="DD21" s="1">
        <v>12</v>
      </c>
      <c r="DE21" s="1">
        <v>13</v>
      </c>
      <c r="DF21" s="1">
        <v>1</v>
      </c>
      <c r="DG21" s="1">
        <v>0</v>
      </c>
      <c r="DH21" s="1">
        <f>IFERROR(_xlfn.NUMBERVALUE(SUBSTITUTE(Table6[[#This Row],[RUNS SCORED]],"*",""))/Table6[[#This Row],[BALLS FACED]]*100,0)</f>
        <v>92.307692307692307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12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12</v>
      </c>
      <c r="DY21" s="1">
        <v>1</v>
      </c>
      <c r="DZ21" s="1">
        <v>5</v>
      </c>
      <c r="EA21" s="1">
        <v>0</v>
      </c>
      <c r="EB21" s="1">
        <v>0</v>
      </c>
      <c r="EC21" s="1">
        <f>IFERROR(_xlfn.NUMBERVALUE(SUBSTITUTE(Table7[[#This Row],[RUNS SCORED]],"*",""))/Table7[[#This Row],[BALLS FACED]]*100,0)</f>
        <v>20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21" s="1">
        <f>IF(Table7[[#This Row],[RUNS SCORED]]="", 0, VALUE(SUBSTITUTE(Table7[[#This Row],[RUNS SCORED]],"*","")) + Table7[[#This Row],[BONUS 1]])</f>
        <v>-9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-9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803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313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>
        <v>5</v>
      </c>
      <c r="CJ22" s="1">
        <v>7</v>
      </c>
      <c r="CK22" s="1">
        <v>0</v>
      </c>
      <c r="CL22" s="1">
        <v>0</v>
      </c>
      <c r="CM22" s="1">
        <f>IFERROR(_xlfn.NUMBERVALUE(SUBSTITUTE(Table5[[#This Row],[RUNS SCORED]],"*",""))/Table5[[#This Row],[BALLS FACED]]*100,0)</f>
        <v>71.428571428571431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2" s="1">
        <f>IF(Table5[[#This Row],[RUNS SCORED]]="", 0, VALUE(SUBSTITUTE(Table5[[#This Row],[RUNS SCORED]],"*","")) + Table5[[#This Row],[BONUS 1]])</f>
        <v>-5</v>
      </c>
      <c r="CP22" s="1">
        <v>0.3</v>
      </c>
      <c r="CQ22" s="1">
        <v>0</v>
      </c>
      <c r="CR22" s="1">
        <v>1</v>
      </c>
      <c r="CS22" s="1">
        <v>1</v>
      </c>
      <c r="CT22" s="1">
        <f>IFERROR(Table5[[#This Row],[RUNS GIVEN]]/Table5[[#This Row],[OVERS]],0)</f>
        <v>3.3333333333333335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50</v>
      </c>
      <c r="CW22" s="1">
        <v>2</v>
      </c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2" s="1">
        <f>IF(AND(Table5[[#This Row],[CATCHES TAKEN]]="",Table5[[#This Row],[RUNOUTS]]="",Table5[[#This Row],[STUMPINGS]]=""), 0, Table5[[#This Row],[BONUS 3]])</f>
        <v>50</v>
      </c>
      <c r="DB22" s="1"/>
      <c r="DC22" s="1">
        <f>SUM(Table5[[#This Row],[SUB TOTAL 1]],Table5[[#This Row],[SUB TOTAL 2]],Table5[[#This Row],[SUB TOTAL 3]],Table5[[#This Row],[POM BONUS]])</f>
        <v>95</v>
      </c>
      <c r="DD22" s="1" t="s">
        <v>316</v>
      </c>
      <c r="DE22" s="1">
        <v>34</v>
      </c>
      <c r="DF22" s="1">
        <v>4</v>
      </c>
      <c r="DG22" s="1">
        <v>1</v>
      </c>
      <c r="DH22" s="1">
        <f>IFERROR(_xlfn.NUMBERVALUE(SUBSTITUTE(Table6[[#This Row],[RUNS SCORED]],"*",""))/Table6[[#This Row],[BALLS FACED]]*100,0)</f>
        <v>144.11764705882354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DJ22" s="1">
        <f>IF(Table6[[#This Row],[RUNS SCORED]]="", 0, VALUE(SUBSTITUTE(Table6[[#This Row],[RUNS SCORED]],"*","")) + Table6[[#This Row],[BONUS 1]])</f>
        <v>124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124</v>
      </c>
      <c r="DY22" s="1" t="s">
        <v>321</v>
      </c>
      <c r="DZ22" s="1">
        <v>53</v>
      </c>
      <c r="EA22" s="1">
        <v>3</v>
      </c>
      <c r="EB22" s="1">
        <v>4</v>
      </c>
      <c r="EC22" s="1">
        <f>IFERROR(_xlfn.NUMBERVALUE(SUBSTITUTE(Table7[[#This Row],[RUNS SCORED]],"*",""))/Table7[[#This Row],[BALLS FACED]]*100,0)</f>
        <v>130.18867924528303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125</v>
      </c>
      <c r="EE22" s="1">
        <f>IF(Table7[[#This Row],[RUNS SCORED]]="", 0, VALUE(SUBSTITUTE(Table7[[#This Row],[RUNS SCORED]],"*","")) + Table7[[#This Row],[BONUS 1]])</f>
        <v>194</v>
      </c>
      <c r="EF22" s="1">
        <v>1</v>
      </c>
      <c r="EG22" s="1">
        <v>0</v>
      </c>
      <c r="EH22" s="1">
        <v>9</v>
      </c>
      <c r="EI22" s="1">
        <v>0</v>
      </c>
      <c r="EJ22" s="1">
        <f>IFERROR(Table7[[#This Row],[RUNS GIVEN]]/Table7[[#This Row],[OVERS]],0)</f>
        <v>9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-25</v>
      </c>
      <c r="EM22" s="1">
        <v>2</v>
      </c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EQ22" s="1">
        <f>IF(AND(Table7[[#This Row],[CATCHES TAKEN]]="",Table7[[#This Row],[RUNOUTS]]="",Table7[[#This Row],[STUMPINGS]]=""), 0, Table7[[#This Row],[BONUS 3]])</f>
        <v>50</v>
      </c>
      <c r="ER22" s="1">
        <v>100</v>
      </c>
      <c r="ES22" s="1">
        <f>SUM(Table7[[#This Row],[SUB TOTAL 1]],Table7[[#This Row],[SUB TOTAL 2]],Table7[[#This Row],[SUB TOTAL 3]],Table7[[#This Row],[POM BONUS]])</f>
        <v>319</v>
      </c>
    </row>
    <row r="23" spans="1:149" x14ac:dyDescent="0.3">
      <c r="A23" s="10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384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>
        <v>7</v>
      </c>
      <c r="CJ23" s="1">
        <v>10</v>
      </c>
      <c r="CK23" s="1">
        <v>0</v>
      </c>
      <c r="CL23" s="1">
        <v>0</v>
      </c>
      <c r="CM23" s="1">
        <f>IFERROR(_xlfn.NUMBERVALUE(SUBSTITUTE(Table5[[#This Row],[RUNS SCORED]],"*",""))/Table5[[#This Row],[BALLS FACED]]*100,0)</f>
        <v>70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3" s="1">
        <f>IF(Table5[[#This Row],[RUNS SCORED]]="", 0, VALUE(SUBSTITUTE(Table5[[#This Row],[RUNS SCORED]],"*","")) + Table5[[#This Row],[BONUS 1]])</f>
        <v>-3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>
        <v>1</v>
      </c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3" s="1">
        <f>IF(AND(Table5[[#This Row],[CATCHES TAKEN]]="",Table5[[#This Row],[RUNOUTS]]="",Table5[[#This Row],[STUMPINGS]]=""), 0, Table5[[#This Row],[BONUS 3]])</f>
        <v>25</v>
      </c>
      <c r="DB23" s="1"/>
      <c r="DC23" s="1">
        <f>SUM(Table5[[#This Row],[SUB TOTAL 1]],Table5[[#This Row],[SUB TOTAL 2]],Table5[[#This Row],[SUB TOTAL 3]],Table5[[#This Row],[POM BONUS]])</f>
        <v>22</v>
      </c>
      <c r="DD23" s="1">
        <v>5</v>
      </c>
      <c r="DE23" s="1">
        <v>10</v>
      </c>
      <c r="DF23" s="1">
        <v>0</v>
      </c>
      <c r="DG23" s="1">
        <v>0</v>
      </c>
      <c r="DH23" s="1">
        <f>IFERROR(_xlfn.NUMBERVALUE(SUBSTITUTE(Table6[[#This Row],[RUNS SCORED]],"*",""))/Table6[[#This Row],[BALLS FACED]]*100,0)</f>
        <v>50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3" s="1">
        <f>IF(Table6[[#This Row],[RUNS SCORED]]="", 0, VALUE(SUBSTITUTE(Table6[[#This Row],[RUNS SCORED]],"*","")) + Table6[[#This Row],[BONUS 1]])</f>
        <v>-5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-5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475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>
        <v>4</v>
      </c>
      <c r="CQ24" s="1">
        <v>0</v>
      </c>
      <c r="CR24" s="1">
        <v>29</v>
      </c>
      <c r="CS24" s="1">
        <v>2</v>
      </c>
      <c r="CT24" s="1">
        <f>IFERROR(Table5[[#This Row],[RUNS GIVEN]]/Table5[[#This Row],[OVERS]],0)</f>
        <v>7.25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100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100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>
        <v>4</v>
      </c>
      <c r="DL24" s="1">
        <v>0</v>
      </c>
      <c r="DM24" s="1">
        <v>31</v>
      </c>
      <c r="DN24" s="1">
        <v>1</v>
      </c>
      <c r="DO24" s="1">
        <f>IFERROR(Table6[[#This Row],[RUNS GIVEN]]/Table6[[#This Row],[OVERS]],0)</f>
        <v>7.75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50</v>
      </c>
      <c r="DR24" s="1">
        <v>1</v>
      </c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24" s="1">
        <f>IF(AND(Table6[[#This Row],[CATCHES TAKEN]]="",Table6[[#This Row],[RUNOUTS]]="",Table6[[#This Row],[STUMPINGS]]=""), 0, Table6[[#This Row],[BONUS 3]])</f>
        <v>25</v>
      </c>
      <c r="DW24" s="1"/>
      <c r="DX24" s="1">
        <f>SUM(Table6[[#This Row],[SUB TOTAL 1]],Table6[[#This Row],[SUB TOTAL 2]],Table6[[#This Row],[SUB TOTAL 3]],Table6[[#This Row],[POM BONUS]])</f>
        <v>75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>
        <v>4</v>
      </c>
      <c r="EG24" s="1">
        <v>0</v>
      </c>
      <c r="EH24" s="1">
        <v>30</v>
      </c>
      <c r="EI24" s="1">
        <v>2</v>
      </c>
      <c r="EJ24" s="1">
        <f>IFERROR(Table7[[#This Row],[RUNS GIVEN]]/Table7[[#This Row],[OVERS]],0)</f>
        <v>7.5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100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100</v>
      </c>
    </row>
    <row r="25" spans="1:149" x14ac:dyDescent="0.3">
      <c r="A25" s="10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552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>
        <v>4</v>
      </c>
      <c r="DL25" s="1">
        <v>0</v>
      </c>
      <c r="DM25" s="1">
        <v>37</v>
      </c>
      <c r="DN25" s="1">
        <v>1</v>
      </c>
      <c r="DO25" s="1">
        <f>IFERROR(Table6[[#This Row],[RUNS GIVEN]]/Table6[[#This Row],[OVERS]],0)</f>
        <v>9.25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50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50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7</v>
      </c>
      <c r="C31" s="1">
        <v>7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6</v>
      </c>
      <c r="C33" s="1">
        <v>6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AN9" sqref="AN9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72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  <c r="AG2">
        <v>188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  <c r="AG3">
        <v>198</v>
      </c>
      <c r="AH3">
        <v>0</v>
      </c>
    </row>
    <row r="4" spans="1:40" x14ac:dyDescent="0.3">
      <c r="A4" t="s">
        <v>7</v>
      </c>
      <c r="B4">
        <f t="shared" si="0"/>
        <v>124</v>
      </c>
      <c r="C4">
        <v>191</v>
      </c>
      <c r="D4">
        <v>100</v>
      </c>
      <c r="E4">
        <v>94</v>
      </c>
      <c r="F4">
        <v>0</v>
      </c>
      <c r="AI4">
        <v>178</v>
      </c>
      <c r="AJ4">
        <v>0</v>
      </c>
      <c r="AK4">
        <v>191</v>
      </c>
      <c r="AL4">
        <v>24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  <c r="AG6">
        <v>230</v>
      </c>
      <c r="AH6">
        <v>0</v>
      </c>
      <c r="AK6">
        <v>177</v>
      </c>
      <c r="AL6">
        <v>0</v>
      </c>
    </row>
    <row r="7" spans="1:40" x14ac:dyDescent="0.3">
      <c r="A7" t="s">
        <v>10</v>
      </c>
      <c r="B7">
        <f t="shared" si="0"/>
        <v>275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  <c r="AG7">
        <v>208</v>
      </c>
      <c r="AH7">
        <v>0</v>
      </c>
      <c r="AI7">
        <v>166</v>
      </c>
      <c r="AJ7">
        <v>25</v>
      </c>
      <c r="AK7">
        <v>182</v>
      </c>
      <c r="AL7">
        <v>0</v>
      </c>
      <c r="AM7">
        <v>166</v>
      </c>
      <c r="AN7">
        <v>25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  <c r="AG8">
        <v>200</v>
      </c>
      <c r="AH8">
        <v>0</v>
      </c>
      <c r="AK8">
        <v>189</v>
      </c>
      <c r="AL8">
        <v>0</v>
      </c>
      <c r="AM8">
        <v>173</v>
      </c>
      <c r="AN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AB1" workbookViewId="0">
      <selection activeCell="AO23" sqref="AO23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190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  <c r="AG2" t="s">
        <v>31</v>
      </c>
      <c r="AH2">
        <v>25</v>
      </c>
      <c r="AM2" t="s">
        <v>31</v>
      </c>
      <c r="A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172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  <c r="AG3" t="s">
        <v>31</v>
      </c>
      <c r="AH3">
        <v>25</v>
      </c>
      <c r="AM3" t="s">
        <v>31</v>
      </c>
      <c r="AN3">
        <v>25</v>
      </c>
    </row>
    <row r="4" spans="1:40" x14ac:dyDescent="0.3">
      <c r="A4" t="s">
        <v>7</v>
      </c>
      <c r="B4">
        <f t="shared" si="0"/>
        <v>124</v>
      </c>
      <c r="C4" t="s">
        <v>98</v>
      </c>
      <c r="D4">
        <v>25</v>
      </c>
      <c r="E4" t="s">
        <v>31</v>
      </c>
      <c r="F4">
        <v>25</v>
      </c>
      <c r="AI4" t="s">
        <v>104</v>
      </c>
      <c r="AJ4">
        <v>25</v>
      </c>
      <c r="AK4" t="s">
        <v>31</v>
      </c>
      <c r="AL4">
        <v>24</v>
      </c>
      <c r="AM4" t="s">
        <v>31</v>
      </c>
      <c r="AN4">
        <v>25</v>
      </c>
    </row>
    <row r="5" spans="1:40" x14ac:dyDescent="0.3">
      <c r="A5" t="s">
        <v>8</v>
      </c>
      <c r="B5">
        <f t="shared" si="0"/>
        <v>100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  <c r="AM5" t="s">
        <v>31</v>
      </c>
      <c r="AN5">
        <v>25</v>
      </c>
    </row>
    <row r="6" spans="1:40" x14ac:dyDescent="0.3">
      <c r="A6" t="s">
        <v>9</v>
      </c>
      <c r="B6">
        <f t="shared" si="0"/>
        <v>242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  <c r="AG6" t="s">
        <v>31</v>
      </c>
      <c r="AH6">
        <v>25</v>
      </c>
      <c r="AK6" t="s">
        <v>31</v>
      </c>
      <c r="AL6">
        <v>25</v>
      </c>
      <c r="AM6" t="s">
        <v>31</v>
      </c>
      <c r="AN6">
        <v>25</v>
      </c>
    </row>
    <row r="7" spans="1:40" x14ac:dyDescent="0.3">
      <c r="A7" t="s">
        <v>10</v>
      </c>
      <c r="B7">
        <f t="shared" si="0"/>
        <v>360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  <c r="AG7" t="s">
        <v>31</v>
      </c>
      <c r="AH7">
        <v>25</v>
      </c>
      <c r="AI7" t="s">
        <v>104</v>
      </c>
      <c r="AJ7">
        <v>25</v>
      </c>
      <c r="AK7" t="s">
        <v>31</v>
      </c>
      <c r="AL7">
        <v>25</v>
      </c>
      <c r="AM7" t="s">
        <v>31</v>
      </c>
      <c r="AN7">
        <v>25</v>
      </c>
    </row>
    <row r="8" spans="1:40" x14ac:dyDescent="0.3">
      <c r="A8" t="s">
        <v>11</v>
      </c>
      <c r="B8">
        <f t="shared" si="0"/>
        <v>255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  <c r="AG8" t="s">
        <v>31</v>
      </c>
      <c r="AH8">
        <v>25</v>
      </c>
      <c r="AK8" t="s">
        <v>31</v>
      </c>
      <c r="AL8">
        <v>25</v>
      </c>
      <c r="AM8" t="s">
        <v>31</v>
      </c>
      <c r="AN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Q23"/>
  <sheetViews>
    <sheetView workbookViewId="0">
      <selection activeCell="P3" sqref="P3"/>
    </sheetView>
  </sheetViews>
  <sheetFormatPr defaultRowHeight="14.4" x14ac:dyDescent="0.3"/>
  <cols>
    <col min="17" max="17" width="13.44140625" bestFit="1" customWidth="1"/>
  </cols>
  <sheetData>
    <row r="1" spans="1:17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17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525</v>
      </c>
      <c r="G2">
        <f>'DESCRIPTIVE PLAYER POINTS'!DX4</f>
        <v>261</v>
      </c>
      <c r="H2">
        <f>'DESCRIPTIVE PLAYER POINTS'!ES4</f>
        <v>495</v>
      </c>
    </row>
    <row r="3" spans="1:17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70</v>
      </c>
      <c r="H3">
        <f>'DESCRIPTIVE PLAYER POINTS'!ES5</f>
        <v>0</v>
      </c>
    </row>
    <row r="4" spans="1:17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  <c r="Q4" s="12"/>
    </row>
    <row r="5" spans="1:17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17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63</v>
      </c>
      <c r="G6">
        <f>'DESCRIPTIVE PLAYER POINTS'!DX8</f>
        <v>42</v>
      </c>
      <c r="H6">
        <f>'DESCRIPTIVE PLAYER POINTS'!ES8</f>
        <v>58</v>
      </c>
    </row>
    <row r="7" spans="1:17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17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200</v>
      </c>
      <c r="G8">
        <f>'DESCRIPTIVE PLAYER POINTS'!DX10</f>
        <v>0</v>
      </c>
      <c r="H8">
        <f>'DESCRIPTIVE PLAYER POINTS'!ES10</f>
        <v>125</v>
      </c>
    </row>
    <row r="9" spans="1:17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18</v>
      </c>
      <c r="H9">
        <f>'DESCRIPTIVE PLAYER POINTS'!ES11</f>
        <v>0</v>
      </c>
    </row>
    <row r="10" spans="1:17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81</v>
      </c>
      <c r="H10">
        <f>'DESCRIPTIVE PLAYER POINTS'!ES12</f>
        <v>-25</v>
      </c>
    </row>
    <row r="11" spans="1:17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350</v>
      </c>
      <c r="H11">
        <f>'DESCRIPTIVE PLAYER POINTS'!ES13</f>
        <v>-29</v>
      </c>
    </row>
    <row r="12" spans="1:17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46</v>
      </c>
      <c r="G12">
        <f>'DESCRIPTIVE PLAYER POINTS'!DX14</f>
        <v>71</v>
      </c>
      <c r="H12">
        <f>'DESCRIPTIVE PLAYER POINTS'!ES14</f>
        <v>0</v>
      </c>
    </row>
    <row r="13" spans="1:17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17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507</v>
      </c>
      <c r="H14">
        <f>'DESCRIPTIVE PLAYER POINTS'!ES16</f>
        <v>0</v>
      </c>
    </row>
    <row r="15" spans="1:17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69</v>
      </c>
    </row>
    <row r="16" spans="1:17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19</v>
      </c>
      <c r="H16">
        <f>'DESCRIPTIVE PLAYER POINTS'!ES18</f>
        <v>23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469</v>
      </c>
      <c r="H17">
        <f>'DESCRIPTIVE PLAYER POINTS'!ES19</f>
        <v>150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79</v>
      </c>
      <c r="G18">
        <f>'DESCRIPTIVE PLAYER POINTS'!DX20</f>
        <v>44</v>
      </c>
      <c r="H18">
        <f>'DESCRIPTIVE PLAYER POINTS'!ES20</f>
        <v>12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45</v>
      </c>
      <c r="G19">
        <f>'DESCRIPTIVE PLAYER POINTS'!DX21</f>
        <v>12</v>
      </c>
      <c r="H19">
        <f>'DESCRIPTIVE PLAYER POINTS'!ES21</f>
        <v>-9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95</v>
      </c>
      <c r="G20">
        <f>'DESCRIPTIVE PLAYER POINTS'!DX22</f>
        <v>124</v>
      </c>
      <c r="H20">
        <f>'DESCRIPTIVE PLAYER POINTS'!ES22</f>
        <v>319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22</v>
      </c>
      <c r="G21">
        <f>'DESCRIPTIVE PLAYER POINTS'!DX23</f>
        <v>-5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100</v>
      </c>
      <c r="G22">
        <f>'DESCRIPTIVE PLAYER POINTS'!DX24</f>
        <v>75</v>
      </c>
      <c r="H22">
        <f>'DESCRIPTIVE PLAYER POINTS'!ES24</f>
        <v>100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50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G33" sqref="G33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7</v>
      </c>
      <c r="F2">
        <f>_xlfn.XLOOKUP(A2,Table0[PLAYER NAME],Table0[POINTS TALLY],"")</f>
        <v>2104</v>
      </c>
      <c r="G2" s="11">
        <f>IFERROR(F2/E2,"")</f>
        <v>300.57142857142856</v>
      </c>
      <c r="H2">
        <f>MAX('MATCH-WISE PERFORMANCE'!B2:H2)</f>
        <v>525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6</v>
      </c>
      <c r="F3">
        <f>_xlfn.XLOOKUP(A3,Table0[PLAYER NAME],Table0[POINTS TALLY],"")</f>
        <v>80</v>
      </c>
      <c r="G3" s="11">
        <f t="shared" ref="G3:G23" si="0">IFERROR(F3/E3,"")</f>
        <v>13.333333333333334</v>
      </c>
      <c r="H3">
        <f>MAX('MATCH-WISE PERFORMANCE'!B3:H3)</f>
        <v>70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 s="11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 s="11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7</v>
      </c>
      <c r="F6">
        <f>_xlfn.XLOOKUP(A6,Table0[PLAYER NAME],Table0[POINTS TALLY],"")</f>
        <v>351</v>
      </c>
      <c r="G6" s="11">
        <f t="shared" si="0"/>
        <v>50.142857142857146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 s="11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5</v>
      </c>
      <c r="F8">
        <f>_xlfn.XLOOKUP(A8,Table0[PLAYER NAME],Table0[POINTS TALLY],"")</f>
        <v>450</v>
      </c>
      <c r="G8" s="11">
        <f t="shared" si="0"/>
        <v>90</v>
      </c>
      <c r="H8">
        <f>MAX('MATCH-WISE PERFORMANCE'!B8:H8)</f>
        <v>200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6</v>
      </c>
      <c r="F9">
        <f>_xlfn.XLOOKUP(A9,Table0[PLAYER NAME],Table0[POINTS TALLY],"")</f>
        <v>380</v>
      </c>
      <c r="G9" s="11">
        <f t="shared" si="0"/>
        <v>63.333333333333336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7</v>
      </c>
      <c r="F10">
        <f>_xlfn.XLOOKUP(A10,Table0[PLAYER NAME],Table0[POINTS TALLY],"")</f>
        <v>237</v>
      </c>
      <c r="G10" s="11">
        <f t="shared" si="0"/>
        <v>33.857142857142854</v>
      </c>
      <c r="H10">
        <f>MAX('MATCH-WISE PERFORMANCE'!B10:H10)</f>
        <v>81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7</v>
      </c>
      <c r="F11">
        <f>_xlfn.XLOOKUP(A11,Table0[PLAYER NAME],Table0[POINTS TALLY],"")</f>
        <v>468</v>
      </c>
      <c r="G11" s="11">
        <f t="shared" si="0"/>
        <v>66.857142857142861</v>
      </c>
      <c r="H11">
        <f>MAX('MATCH-WISE PERFORMANCE'!B11:H11)</f>
        <v>350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6</v>
      </c>
      <c r="F12">
        <f>_xlfn.XLOOKUP(A12,Table0[PLAYER NAME],Table0[POINTS TALLY],"")</f>
        <v>767</v>
      </c>
      <c r="G12" s="11">
        <f t="shared" si="0"/>
        <v>127.83333333333333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 s="11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6</v>
      </c>
      <c r="F14">
        <f>_xlfn.XLOOKUP(A14,Table0[PLAYER NAME],Table0[POINTS TALLY],"")</f>
        <v>966</v>
      </c>
      <c r="G14" s="11">
        <f t="shared" si="0"/>
        <v>161</v>
      </c>
      <c r="H14">
        <f>MAX('MATCH-WISE PERFORMANCE'!B14:H14)</f>
        <v>507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E15">
        <v>1</v>
      </c>
      <c r="F15">
        <f>_xlfn.XLOOKUP(A15,Table0[PLAYER NAME],Table0[POINTS TALLY],"")</f>
        <v>119</v>
      </c>
      <c r="G15" s="11">
        <f t="shared" si="0"/>
        <v>119</v>
      </c>
      <c r="H15">
        <f>MAX('MATCH-WISE PERFORMANCE'!B15:H15)</f>
        <v>69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7</v>
      </c>
      <c r="F16">
        <f>_xlfn.XLOOKUP(A16,Table0[PLAYER NAME],Table0[POINTS TALLY],"")</f>
        <v>142</v>
      </c>
      <c r="G16" s="11">
        <f t="shared" si="0"/>
        <v>20.285714285714285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7</v>
      </c>
      <c r="F17">
        <f>_xlfn.XLOOKUP(A17,Table0[PLAYER NAME],Table0[POINTS TALLY],"")</f>
        <v>1623</v>
      </c>
      <c r="G17" s="11">
        <f t="shared" si="0"/>
        <v>231.85714285714286</v>
      </c>
      <c r="H17">
        <f>MAX('MATCH-WISE PERFORMANCE'!B17:H17)</f>
        <v>469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7</v>
      </c>
      <c r="F18">
        <f>_xlfn.XLOOKUP(A18,Table0[PLAYER NAME],Table0[POINTS TALLY],"")</f>
        <v>307</v>
      </c>
      <c r="G18" s="11">
        <f t="shared" si="0"/>
        <v>43.857142857142854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7</v>
      </c>
      <c r="F19">
        <f>_xlfn.XLOOKUP(A19,Table0[PLAYER NAME],Table0[POINTS TALLY],"")</f>
        <v>267</v>
      </c>
      <c r="G19" s="11">
        <f t="shared" si="0"/>
        <v>38.142857142857146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7</v>
      </c>
      <c r="F20">
        <f>_xlfn.XLOOKUP(A20,Table0[PLAYER NAME],Table0[POINTS TALLY],"")</f>
        <v>803</v>
      </c>
      <c r="G20" s="11">
        <f t="shared" si="0"/>
        <v>114.71428571428571</v>
      </c>
      <c r="H20">
        <f>MAX('MATCH-WISE PERFORMANCE'!B20:H20)</f>
        <v>319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6</v>
      </c>
      <c r="F21">
        <f>_xlfn.XLOOKUP(A21,Table0[PLAYER NAME],Table0[POINTS TALLY],"")</f>
        <v>384</v>
      </c>
      <c r="G21" s="11">
        <f t="shared" si="0"/>
        <v>64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6</v>
      </c>
      <c r="F22">
        <f>_xlfn.XLOOKUP(A22,Table0[PLAYER NAME],Table0[POINTS TALLY],"")</f>
        <v>475</v>
      </c>
      <c r="G22" s="11">
        <f t="shared" si="0"/>
        <v>79.166666666666671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6</v>
      </c>
      <c r="F23">
        <f>_xlfn.XLOOKUP(A23,Table0[PLAYER NAME],Table0[POINTS TALLY],"")</f>
        <v>552</v>
      </c>
      <c r="G23" s="11">
        <f t="shared" si="0"/>
        <v>92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topLeftCell="A29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2025-09-29T03:59:44Z</dcterms:modified>
  <cp:category/>
  <cp:contentStatus/>
</cp:coreProperties>
</file>