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A0228A2C-1F5A-40AB-B17C-5DCF41975380}" xr6:coauthVersionLast="47" xr6:coauthVersionMax="47" xr10:uidLastSave="{00000000-0000-0000-0000-000000000000}"/>
  <bookViews>
    <workbookView xWindow="-108" yWindow="-108" windowWidth="23256" windowHeight="13896" tabRatio="736" firstSheet="1" activeTab="1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6" l="1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5" i="10"/>
  <c r="DX6" i="10"/>
  <c r="DX7" i="10"/>
  <c r="DX8" i="10"/>
  <c r="DX9" i="10"/>
  <c r="DX10" i="10"/>
  <c r="DX11" i="10"/>
  <c r="DX15" i="10"/>
  <c r="DX16" i="10"/>
  <c r="DX17" i="10"/>
  <c r="DX20" i="10"/>
  <c r="DX21" i="10"/>
  <c r="DX22" i="10"/>
  <c r="DX24" i="10"/>
  <c r="DX25" i="10"/>
  <c r="DC6" i="10"/>
  <c r="DC7" i="10"/>
  <c r="DC9" i="10"/>
  <c r="DC15" i="10"/>
  <c r="DC17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8" i="16" s="1"/>
  <c r="B4" i="15"/>
  <c r="L6" i="16" s="1"/>
  <c r="B5" i="15"/>
  <c r="L7" i="16" s="1"/>
  <c r="B6" i="15"/>
  <c r="L3" i="16" s="1"/>
  <c r="B7" i="15"/>
  <c r="L2" i="16" s="1"/>
  <c r="B8" i="15"/>
  <c r="L4" i="16" s="1"/>
  <c r="B2" i="15"/>
  <c r="L5" i="16" s="1"/>
  <c r="B3" i="14"/>
  <c r="K8" i="16" s="1"/>
  <c r="B4" i="14"/>
  <c r="K6" i="16" s="1"/>
  <c r="B5" i="14"/>
  <c r="K7" i="16" s="1"/>
  <c r="B6" i="14"/>
  <c r="K3" i="16" s="1"/>
  <c r="B7" i="14"/>
  <c r="K2" i="16" s="1"/>
  <c r="B8" i="14"/>
  <c r="K4" i="16" s="1"/>
  <c r="B2" i="14"/>
  <c r="K5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3" i="13"/>
  <c r="G14" i="13"/>
  <c r="G15" i="13"/>
  <c r="G18" i="13"/>
  <c r="G19" i="13"/>
  <c r="G20" i="13"/>
  <c r="G22" i="13"/>
  <c r="G23" i="13"/>
  <c r="F4" i="13"/>
  <c r="F5" i="13"/>
  <c r="F7" i="13"/>
  <c r="F13" i="13"/>
  <c r="F15" i="13"/>
  <c r="E5" i="13"/>
  <c r="E7" i="13"/>
  <c r="E10" i="13"/>
  <c r="E13" i="13"/>
  <c r="E15" i="13"/>
  <c r="D8" i="13"/>
  <c r="D19" i="13"/>
  <c r="D22" i="13"/>
  <c r="C4" i="13"/>
  <c r="C15" i="13"/>
  <c r="H2" i="13"/>
  <c r="G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P13" i="10" s="1"/>
  <c r="DQ13" i="10" s="1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X4" i="10" s="1"/>
  <c r="DJ5" i="10"/>
  <c r="DJ6" i="10"/>
  <c r="DJ7" i="10"/>
  <c r="DJ8" i="10"/>
  <c r="DJ9" i="10"/>
  <c r="DJ10" i="10"/>
  <c r="DJ11" i="10"/>
  <c r="DJ15" i="10"/>
  <c r="DJ16" i="10"/>
  <c r="DJ17" i="10"/>
  <c r="DJ20" i="10"/>
  <c r="DJ21" i="10"/>
  <c r="DJ22" i="10"/>
  <c r="DJ24" i="10"/>
  <c r="DJ25" i="10"/>
  <c r="DI4" i="10"/>
  <c r="DI5" i="10"/>
  <c r="DI6" i="10"/>
  <c r="DI7" i="10"/>
  <c r="DI8" i="10"/>
  <c r="DI9" i="10"/>
  <c r="DI10" i="10"/>
  <c r="DI11" i="10"/>
  <c r="DI12" i="10"/>
  <c r="DJ12" i="10" s="1"/>
  <c r="DX12" i="10" s="1"/>
  <c r="G10" i="13" s="1"/>
  <c r="DI15" i="10"/>
  <c r="DI16" i="10"/>
  <c r="DI17" i="10"/>
  <c r="DI19" i="10"/>
  <c r="DJ19" i="10" s="1"/>
  <c r="DI20" i="10"/>
  <c r="DI21" i="10"/>
  <c r="DI22" i="10"/>
  <c r="DI23" i="10"/>
  <c r="DJ23" i="10" s="1"/>
  <c r="DX23" i="10" s="1"/>
  <c r="G21" i="13" s="1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I13" i="10" s="1"/>
  <c r="DJ13" i="10" s="1"/>
  <c r="DH14" i="10"/>
  <c r="DI14" i="10" s="1"/>
  <c r="DJ14" i="10" s="1"/>
  <c r="DH15" i="10"/>
  <c r="DH16" i="10"/>
  <c r="DH17" i="10"/>
  <c r="DH18" i="10"/>
  <c r="DI18" i="10" s="1"/>
  <c r="DJ18" i="10" s="1"/>
  <c r="DX18" i="10" s="1"/>
  <c r="G16" i="13" s="1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3" i="10"/>
  <c r="DA14" i="10"/>
  <c r="DA15" i="10"/>
  <c r="DA16" i="10"/>
  <c r="DA17" i="10"/>
  <c r="DA18" i="10"/>
  <c r="DA19" i="10"/>
  <c r="DA20" i="10"/>
  <c r="DA21" i="10"/>
  <c r="DA24" i="10"/>
  <c r="CZ4" i="10"/>
  <c r="CZ5" i="10"/>
  <c r="CZ6" i="10"/>
  <c r="CZ7" i="10"/>
  <c r="CZ8" i="10"/>
  <c r="CZ9" i="10"/>
  <c r="CZ10" i="10"/>
  <c r="CZ11" i="10"/>
  <c r="DA11" i="10" s="1"/>
  <c r="CZ12" i="10"/>
  <c r="DA12" i="10" s="1"/>
  <c r="CZ13" i="10"/>
  <c r="CZ14" i="10"/>
  <c r="CZ15" i="10"/>
  <c r="CZ16" i="10"/>
  <c r="CZ17" i="10"/>
  <c r="CZ18" i="10"/>
  <c r="CZ19" i="10"/>
  <c r="CZ20" i="10"/>
  <c r="CZ21" i="10"/>
  <c r="CZ22" i="10"/>
  <c r="DA22" i="10" s="1"/>
  <c r="CZ23" i="10"/>
  <c r="DA23" i="10" s="1"/>
  <c r="CZ24" i="10"/>
  <c r="CZ25" i="10"/>
  <c r="DA25" i="10" s="1"/>
  <c r="CV4" i="10"/>
  <c r="CV6" i="10"/>
  <c r="CV7" i="10"/>
  <c r="CV9" i="10"/>
  <c r="CV11" i="10"/>
  <c r="CV12" i="10"/>
  <c r="CV13" i="10"/>
  <c r="CV15" i="10"/>
  <c r="CV16" i="10"/>
  <c r="CV17" i="10"/>
  <c r="CV20" i="10"/>
  <c r="CV21" i="10"/>
  <c r="CV23" i="10"/>
  <c r="CV25" i="10"/>
  <c r="CU4" i="10"/>
  <c r="CU6" i="10"/>
  <c r="CU7" i="10"/>
  <c r="CU9" i="10"/>
  <c r="CU11" i="10"/>
  <c r="CU12" i="10"/>
  <c r="CU13" i="10"/>
  <c r="CU15" i="10"/>
  <c r="CU16" i="10"/>
  <c r="CU17" i="10"/>
  <c r="CU19" i="10"/>
  <c r="CV19" i="10" s="1"/>
  <c r="DC19" i="10" s="1"/>
  <c r="F17" i="13" s="1"/>
  <c r="CU20" i="10"/>
  <c r="CU21" i="10"/>
  <c r="CU22" i="10"/>
  <c r="CV22" i="10" s="1"/>
  <c r="CU23" i="10"/>
  <c r="CU24" i="10"/>
  <c r="CV24" i="10" s="1"/>
  <c r="DC24" i="10" s="1"/>
  <c r="F22" i="13" s="1"/>
  <c r="CU25" i="10"/>
  <c r="CT4" i="10"/>
  <c r="CT5" i="10"/>
  <c r="CU5" i="10" s="1"/>
  <c r="CV5" i="10" s="1"/>
  <c r="CT6" i="10"/>
  <c r="CT7" i="10"/>
  <c r="CT8" i="10"/>
  <c r="CU8" i="10" s="1"/>
  <c r="CV8" i="10" s="1"/>
  <c r="CT9" i="10"/>
  <c r="CT10" i="10"/>
  <c r="CU10" i="10" s="1"/>
  <c r="CV10" i="10" s="1"/>
  <c r="DC10" i="10" s="1"/>
  <c r="F8" i="13" s="1"/>
  <c r="CT11" i="10"/>
  <c r="CT12" i="10"/>
  <c r="CT13" i="10"/>
  <c r="CT14" i="10"/>
  <c r="CU14" i="10" s="1"/>
  <c r="CV14" i="10" s="1"/>
  <c r="CT15" i="10"/>
  <c r="CT16" i="10"/>
  <c r="CT17" i="10"/>
  <c r="CT18" i="10"/>
  <c r="CU18" i="10" s="1"/>
  <c r="CV18" i="10" s="1"/>
  <c r="CT19" i="10"/>
  <c r="CT20" i="10"/>
  <c r="CT21" i="10"/>
  <c r="CT22" i="10"/>
  <c r="CT23" i="10"/>
  <c r="CT24" i="10"/>
  <c r="CT25" i="10"/>
  <c r="CO6" i="10"/>
  <c r="CO7" i="10"/>
  <c r="CO9" i="10"/>
  <c r="CO10" i="10"/>
  <c r="CO15" i="10"/>
  <c r="CO17" i="10"/>
  <c r="CO19" i="10"/>
  <c r="CO24" i="10"/>
  <c r="CN6" i="10"/>
  <c r="CN7" i="10"/>
  <c r="CN9" i="10"/>
  <c r="CN10" i="10"/>
  <c r="CN11" i="10"/>
  <c r="CO11" i="10" s="1"/>
  <c r="CN12" i="10"/>
  <c r="CO12" i="10" s="1"/>
  <c r="CN15" i="10"/>
  <c r="CN17" i="10"/>
  <c r="CN19" i="10"/>
  <c r="CN21" i="10"/>
  <c r="CO21" i="10" s="1"/>
  <c r="CN23" i="10"/>
  <c r="CO23" i="10" s="1"/>
  <c r="CN24" i="10"/>
  <c r="CM4" i="10"/>
  <c r="CN4" i="10" s="1"/>
  <c r="CO4" i="10" s="1"/>
  <c r="CM5" i="10"/>
  <c r="CN5" i="10" s="1"/>
  <c r="CO5" i="10" s="1"/>
  <c r="CM6" i="10"/>
  <c r="CM7" i="10"/>
  <c r="CM8" i="10"/>
  <c r="CN8" i="10" s="1"/>
  <c r="CO8" i="10" s="1"/>
  <c r="CM9" i="10"/>
  <c r="CM10" i="10"/>
  <c r="CM11" i="10"/>
  <c r="CM12" i="10"/>
  <c r="CM13" i="10"/>
  <c r="CN13" i="10" s="1"/>
  <c r="CO13" i="10" s="1"/>
  <c r="DC13" i="10" s="1"/>
  <c r="F11" i="13" s="1"/>
  <c r="CM14" i="10"/>
  <c r="CN14" i="10" s="1"/>
  <c r="CO14" i="10" s="1"/>
  <c r="CM15" i="10"/>
  <c r="CM16" i="10"/>
  <c r="CN16" i="10" s="1"/>
  <c r="CO16" i="10" s="1"/>
  <c r="DC16" i="10" s="1"/>
  <c r="F14" i="13" s="1"/>
  <c r="CM17" i="10"/>
  <c r="CM18" i="10"/>
  <c r="CN18" i="10" s="1"/>
  <c r="CO18" i="10" s="1"/>
  <c r="CM19" i="10"/>
  <c r="CM20" i="10"/>
  <c r="CN20" i="10" s="1"/>
  <c r="CO20" i="10" s="1"/>
  <c r="DC20" i="10" s="1"/>
  <c r="F18" i="13" s="1"/>
  <c r="CM21" i="10"/>
  <c r="CM22" i="10"/>
  <c r="CN22" i="10" s="1"/>
  <c r="CO22" i="10" s="1"/>
  <c r="CM23" i="10"/>
  <c r="CM24" i="10"/>
  <c r="CM25" i="10"/>
  <c r="CN25" i="10" s="1"/>
  <c r="CO25" i="10" s="1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DX14" i="10" l="1"/>
  <c r="G12" i="13" s="1"/>
  <c r="DX13" i="10"/>
  <c r="G11" i="13" s="1"/>
  <c r="DX19" i="10"/>
  <c r="G17" i="13" s="1"/>
  <c r="DC4" i="10"/>
  <c r="F2" i="13" s="1"/>
  <c r="DC21" i="10"/>
  <c r="F19" i="13" s="1"/>
  <c r="DC23" i="10"/>
  <c r="F21" i="13" s="1"/>
  <c r="DC22" i="10"/>
  <c r="F20" i="13" s="1"/>
  <c r="DC14" i="10"/>
  <c r="F12" i="13" s="1"/>
  <c r="DC8" i="10"/>
  <c r="F6" i="13" s="1"/>
  <c r="DC11" i="10"/>
  <c r="F9" i="13" s="1"/>
  <c r="DC12" i="10"/>
  <c r="F10" i="13" s="1"/>
  <c r="DC25" i="10"/>
  <c r="F23" i="13" s="1"/>
  <c r="DC18" i="10"/>
  <c r="F16" i="13" s="1"/>
  <c r="DC5" i="10"/>
  <c r="F3" i="13" s="1"/>
  <c r="CH21" i="10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B6" i="10" l="1"/>
  <c r="F9" i="12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H3" i="16" s="1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5" i="16"/>
  <c r="H8" i="16"/>
  <c r="H6" i="16"/>
  <c r="F5" i="12"/>
  <c r="G5" i="12" s="1"/>
  <c r="H4" i="16"/>
  <c r="F13" i="12"/>
  <c r="G13" i="12" s="1"/>
  <c r="F7" i="12"/>
  <c r="G7" i="12" s="1"/>
  <c r="G7" i="16"/>
  <c r="G3" i="16"/>
  <c r="F23" i="12"/>
  <c r="G23" i="12" s="1"/>
  <c r="F14" i="12"/>
  <c r="G14" i="12" s="1"/>
  <c r="G2" i="16"/>
  <c r="G6" i="16"/>
  <c r="F3" i="12"/>
  <c r="G3" i="12" s="1"/>
  <c r="J7" i="16"/>
  <c r="I8" i="16"/>
  <c r="F10" i="12"/>
  <c r="G10" i="12" s="1"/>
  <c r="J8" i="16"/>
  <c r="F17" i="12"/>
  <c r="G17" i="12" s="1"/>
  <c r="J2" i="16"/>
  <c r="F16" i="12"/>
  <c r="G16" i="12" s="1"/>
  <c r="J6" i="16"/>
  <c r="I7" i="16"/>
  <c r="F11" i="12"/>
  <c r="G11" i="12" s="1"/>
  <c r="I4" i="16"/>
  <c r="J5" i="16"/>
  <c r="F21" i="12"/>
  <c r="G21" i="12" s="1"/>
  <c r="F12" i="12"/>
  <c r="G12" i="12" s="1"/>
  <c r="H2" i="16"/>
  <c r="F8" i="12"/>
  <c r="G8" i="12" s="1"/>
  <c r="H5" i="16"/>
  <c r="I6" i="16"/>
  <c r="F6" i="12"/>
  <c r="G6" i="12" s="1"/>
  <c r="F22" i="12"/>
  <c r="G22" i="12" s="1"/>
  <c r="H7" i="16"/>
  <c r="G5" i="16"/>
  <c r="F18" i="12"/>
  <c r="G18" i="12" s="1"/>
  <c r="F19" i="12"/>
  <c r="G19" i="12" s="1"/>
  <c r="G8" i="16"/>
  <c r="I2" i="16"/>
  <c r="F2" i="12"/>
  <c r="G2" i="12" s="1"/>
  <c r="D4" i="16" l="1"/>
  <c r="D7" i="16"/>
  <c r="D3" i="16"/>
  <c r="D8" i="16"/>
  <c r="D5" i="16"/>
  <c r="D6" i="16"/>
  <c r="D2" i="16"/>
  <c r="F5" i="16" l="1"/>
  <c r="F4" i="16"/>
  <c r="F7" i="16"/>
  <c r="A2" i="16"/>
  <c r="B35" i="10" s="1"/>
  <c r="A5" i="16"/>
  <c r="B30" i="10" s="1"/>
  <c r="F2" i="16"/>
  <c r="F8" i="16"/>
  <c r="A8" i="16"/>
  <c r="B8" i="16" s="1"/>
  <c r="A6" i="16"/>
  <c r="B6" i="16" s="1"/>
  <c r="A3" i="16"/>
  <c r="B3" i="16" s="1"/>
  <c r="A4" i="16"/>
  <c r="F3" i="16"/>
  <c r="F6" i="16"/>
  <c r="A7" i="16"/>
  <c r="B7" i="16" s="1"/>
  <c r="B2" i="16" l="1"/>
  <c r="B5" i="16"/>
  <c r="E2" i="16" a="1"/>
  <c r="E2" i="16" s="1"/>
  <c r="B31" i="10"/>
  <c r="E3" i="16" a="1"/>
  <c r="E3" i="16" s="1"/>
  <c r="B32" i="10"/>
  <c r="B33" i="10"/>
  <c r="E5" i="16" a="1"/>
  <c r="E5" i="16" s="1"/>
  <c r="B4" i="16"/>
  <c r="E6" i="16" a="1"/>
  <c r="E6" i="16" s="1"/>
  <c r="B36" i="10"/>
  <c r="B34" i="10"/>
  <c r="E4" i="16" a="1"/>
  <c r="E4" i="16" s="1"/>
  <c r="E7" i="16" a="1"/>
  <c r="E7" i="16" s="1"/>
  <c r="E8" i="16" a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<sst xmlns="http://schemas.openxmlformats.org/spreadsheetml/2006/main" count="1135" uniqueCount="341">
  <si>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</si>
  <si>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</si>
  <si>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</si>
  <si>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</si>
  <si>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</si>
  <si>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</si>
  <si>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</si>
  <si>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</si>
  <si>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</si>
  <si>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</si>
  <si>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</si>
  <si>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</si>
  <si>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</si>
  <si>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</si>
  <si>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</si>
  <si>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</si>
  <si>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</si>
  <si>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</si>
  <si>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</si>
  <si>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</si>
  <si>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</si>
  <si>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</si>
  <si>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</si>
  <si>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</si>
  <si>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</si>
  <si>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</si>
  <si>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</si>
  <si>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</si>
  <si>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</si>
  <si>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</si>
  <si>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</si>
  <si>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</si>
  <si>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</si>
  <si>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</si>
  <si>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</si>
  <si>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</si>
  <si>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</si>
  <si>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</si>
  <si>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</si>
  <si>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</si>
  <si>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</si>
  <si>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</si>
  <si>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</si>
  <si>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</si>
  <si>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</si>
  <si>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</si>
  <si>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</si>
  <si>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</si>
  <si>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</si>
  <si>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</si>
  <si>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</si>
  <si>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</si>
  <si>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</si>
  <si>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</si>
  <si>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</si>
  <si>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</si>
  <si>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</si>
  <si>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</si>
  <si>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</si>
  <si>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</si>
  <si>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</si>
  <si>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</si>
  <si>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</si>
  <si>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</si>
  <si>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</si>
  <si>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</si>
  <si>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</si>
  <si>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</si>
  <si>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</si>
  <si>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</si>
  <si>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</si>
  <si>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</si>
  <si>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</si>
  <si>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</si>
  <si>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</si>
  <si>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</si>
  <si>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</si>
  <si>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</si>
  <si>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</si>
  <si>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</si>
  <si>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</si>
  <si>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</si>
  <si>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</si>
  <si>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</si>
  <si>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</si>
  <si>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</si>
  <si>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</si>
  <si>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</si>
  <si>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</si>
  <si>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</si>
  <si>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</si>
  <si>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</si>
  <si>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</si>
  <si>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</si>
  <si>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</si>
  <si>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</si>
  <si>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</si>
  <si>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</si>
  <si>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</si>
  <si>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</si>
  <si>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</si>
  <si>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</si>
  <si>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</si>
  <si>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</si>
  <si>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</si>
  <si>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</si>
  <si>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</si>
  <si>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</si>
  <si>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</si>
  <si>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</si>
  <si>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</si>
  <si>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</si>
  <si>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</si>
  <si>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</si>
  <si>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</si>
  <si>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</si>
  <si>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</si>
  <si>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</si>
  <si>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</si>
  <si>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</si>
  <si>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</si>
  <si>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</si>
  <si>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</si>
  <si>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</si>
  <si>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</si>
  <si>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</si>
  <si>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</si>
  <si>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</si>
  <si>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</si>
  <si>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</si>
  <si>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</si>
  <si>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</si>
  <si>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</si>
  <si>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</si>
  <si>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</si>
  <si>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</si>
  <si>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</si>
  <si>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</si>
  <si>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</si>
  <si>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</si>
  <si>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</si>
  <si>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</si>
  <si>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</si>
  <si>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</si>
  <si>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</si>
  <si>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</si>
  <si>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</si>
  <si>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</si>
  <si>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</si>
  <si>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</si>
  <si>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</si>
  <si>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</si>
  <si>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</si>
  <si>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</si>
  <si>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</si>
  <si>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</si>
  <si>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</si>
  <si>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</si>
  <si>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</si>
  <si>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</si>
  <si>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</si>
  <si>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</si>
  <si>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</si>
  <si>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</si>
  <si>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</si>
  <si>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</si>
  <si>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</si>
  <si>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</si>
  <si>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</si>
  <si>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</si>
  <si>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</si>
  <si>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</si>
  <si>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</si>
  <si>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</si>
  <si>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</si>
  <si>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</si>
  <si>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</si>
  <si>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</si>
  <si>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</si>
  <si>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</si>
  <si>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</si>
  <si>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</si>
  <si>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</si>
  <si>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</si>
  <si>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</si>
  <si>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</si>
  <si>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</si>
  <si>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</si>
  <si>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</si>
  <si>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</si>
  <si>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</si>
  <si>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</si>
  <si>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</si>
  <si>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</si>
  <si>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</si>
  <si>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</si>
  <si>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</si>
  <si>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</si>
  <si>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</si>
  <si>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</si>
  <si>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</si>
  <si>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</si>
  <si>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</si>
  <si>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</si>
  <si>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</si>
  <si>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</si>
  <si>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</si>
  <si>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</si>
  <si>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</si>
  <si>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</si>
  <si>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</si>
  <si>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</si>
  <si>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</si>
  <si>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</si>
  <si>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</si>
  <si>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</si>
  <si>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</si>
  <si>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</si>
  <si>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</si>
  <si>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</si>
  <si>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</si>
  <si>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</si>
  <si>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</si>
  <si>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</si>
  <si>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</si>
  <si>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</si>
  <si>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</si>
  <si>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</si>
  <si>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</si>
  <si>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</si>
  <si>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</si>
  <si>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</si>
  <si>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</si>
  <si>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</si>
  <si>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</si>
  <si>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</si>
  <si>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</si>
  <si>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</si>
  <si>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</si>
  <si>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</si>
  <si>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</si>
  <si>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</si>
  <si>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</si>
  <si>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</si>
  <si>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</si>
  <si>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</si>
  <si>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</si>
  <si>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</si>
  <si>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</si>
  <si>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</si>
  <si>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</si>
  <si>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</si>
  <si>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</si>
  <si>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</si>
  <si>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</si>
  <si>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</si>
  <si>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</si>
  <si>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</si>
  <si>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</si>
  <si>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</si>
  <si>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</si>
  <si>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</si>
  <si>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</si>
  <si>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</si>
  <si>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</si>
  <si>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</si>
  <si>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</si>
  <si>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</si>
  <si>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</si>
  <si>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</si>
  <si>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</si>
  <si>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</si>
  <si>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</si>
  <si>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</si>
  <si>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</si>
  <si>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</si>
  <si>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</si>
  <si>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</si>
  <si>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</si>
  <si>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</si>
  <si>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</si>
  <si>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</si>
  <si>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</si>
  <si>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</si>
  <si>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</si>
  <si>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</si>
  <si>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</si>
  <si>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</si>
  <si>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</si>
  <si>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</si>
  <si>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</si>
  <si>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</si>
  <si>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</si>
  <si>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</si>
  <si>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</si>
  <si>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</si>
  <si>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</si>
  <si>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</si>
  <si>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</si>
  <si>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</si>
  <si>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</si>
  <si>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</si>
  <si>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</si>
  <si>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</si>
  <si>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</si>
  <si>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</si>
  <si>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</si>
  <si>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</si>
  <si>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</si>
  <si>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</si>
  <si>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</si>
  <si>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</si>
  <si>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</si>
  <si>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</si>
  <si>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</si>
  <si>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</si>
  <si>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Everybody listen listen listen</t>
  </si>
  <si>
    <t>Make way for the king</t>
  </si>
  <si>
    <t>Just watch the way</t>
  </si>
  <si>
    <t>He is gonna swing… alright</t>
  </si>
  <si>
    <t>Endhan ellai thaandum kaatrivan</t>
  </si>
  <si>
    <t>Kaattai erikkum neruppivan</t>
  </si>
  <si>
    <t>Kai pattal kothikkum neer ivan</t>
  </si>
  <si>
    <t>He is on a mission</t>
  </si>
  <si>
    <t>You can never stop him</t>
  </si>
  <si>
    <t>He is a human tornado</t>
  </si>
  <si>
    <t>Everybody listen</t>
  </si>
  <si>
    <t>He has got the right decision</t>
  </si>
  <si>
    <t>You cannot mess with him</t>
  </si>
  <si>
    <t>Not even with his shadow</t>
  </si>
  <si>
    <t>He is durai singam</t>
  </si>
  <si>
    <t>Nilamum vanangum</t>
  </si>
  <si>
    <t>Hey..singam singam</t>
  </si>
  <si>
    <t>Ayim boothangal yaavum</t>
  </si>
  <si>
    <t>Evanul adangum</t>
  </si>
  <si>
    <t>Hei vinnai theendum kathiravan</t>
  </si>
  <si>
    <t>Ivan nadanthal pothum</t>
  </si>
  <si>
    <t>Singam singam</t>
  </si>
  <si>
    <t>SURIYA TAKING OVER THE SHOW</t>
  </si>
  <si>
    <t>38*</t>
  </si>
  <si>
    <t>ADHESH MOVE UP ONE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</si>
</sst>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4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N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178">
      <calculatedColumnFormula>SUM(Table8[[#This Row],[BATTER]:[EXTRAS]])</calculatedColumnFormula>
    </tableColumn>
    <tableColumn id="5" xr3:uid="{EA6134DA-45EF-4BC1-AA0D-D281E9D1E0BE}" name="LEAD OVER NEXT ONE" dataDxfId="177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6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5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4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3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2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1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0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6" sqref="G6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s="10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s="10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s="10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s="10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s="10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s="10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s="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tabSelected="1" workbookViewId="0">
      <selection activeCell="A5" sqref="A5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315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5230.5</v>
      </c>
      <c r="E2" s="1" cm="1">
        <f t="array" ref="E2">IF(Table8[[#This Row],[RANK]]&lt;MAX(Table8[RANK]),Table8[[#This Row],[TALLY]] - INDEX(Table8[TALLY], Table8[[#This Row],[RANK]] + 1), "")</f>
        <v>1583.5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688.5</v>
      </c>
      <c r="H2" s="1">
        <f>_xlfn.XLOOKUP(_xlfn.XLOOKUP(Table8[[#This Row],[NAME]],'TEAM PICK AND PREDICTIONS'!$A$2:$A$8,'TEAM PICK AND PREDICTIONS'!$C$2:$C$8,"NA"),Table0[PLAYER NAME],Table0[POINTS TALLY],0)</f>
        <v>767</v>
      </c>
      <c r="I2" s="1">
        <f>_xlfn.XLOOKUP(_xlfn.XLOOKUP(Table8[[#This Row],[NAME]],'TEAM PICK AND PREDICTIONS'!$A$2:$A$8,'TEAM PICK AND PREDICTIONS'!$D$2:$D$8,"NA"),Table0[PLAYER NAME],Table0[POINTS TALLY],0)*2</f>
        <v>2696</v>
      </c>
      <c r="J2" s="1">
        <f>_xlfn.XLOOKUP(_xlfn.XLOOKUP(Table8[[#This Row],[NAME]],'TEAM PICK AND PREDICTIONS'!$A$2:$A$8,'TEAM PICK AND PREDICTIONS'!$E$2:$E$8,"NA"),Table0[PLAYER NAME],Table0[POINTS TALLY],0)</f>
        <v>119</v>
      </c>
      <c r="K2" s="1">
        <f>_xlfn.XLOOKUP(Table8[[#This Row],[NAME]],'WINNING TEAM PREDICTIONS'!$A$2:$A$8,'WINNING TEAM PREDICTIONS'!$B$2:$B$8,"NA")</f>
        <v>310</v>
      </c>
      <c r="L2" s="1">
        <f>_xlfn.XLOOKUP(Table8[[#This Row],[NAME]],'TARGET PREDICTIONS'!$A$2:$A$8,'TARGET PREDICTIONS'!$B$2:$B$8,"NA")</f>
        <v>250</v>
      </c>
      <c r="M2" s="1">
        <v>400</v>
      </c>
      <c r="N2" s="1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3647</v>
      </c>
      <c r="E3" s="1" cm="1">
        <f t="array" ref="E3">IF(Table8[[#This Row],[RANK]]&lt;MAX(Table8[RANK]),Table8[[#This Row],[TALLY]] - INDEX(Table8[TALLY], Table8[[#This Row],[RANK]] + 1), "")</f>
        <v>632.5</v>
      </c>
      <c r="F3" s="1">
        <f>IF(MAX(Table8[TALLY])-Table8[[#This Row],[TALLY]]=0,"",MAX(Table8[TALLY])-Table8[[#This Row],[TALLY]])</f>
        <v>1583.5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TALLY],0)*1.5</f>
        <v>2209.5</v>
      </c>
      <c r="I3" s="1">
        <f>_xlfn.XLOOKUP(_xlfn.XLOOKUP(Table8[[#This Row],[NAME]],'TEAM PICK AND PREDICTIONS'!$A$2:$A$8,'TEAM PICK AND PREDICTIONS'!$D$2:$D$8,"NA"),Table0[PLAYER NAME],Table0[POINTS TALLY],0)</f>
        <v>502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192</v>
      </c>
      <c r="L3" s="1">
        <f>_xlfn.XLOOKUP(Table8[[#This Row],[NAME]],'TARGET PREDICTIONS'!$A$2:$A$8,'TARGET PREDICTIONS'!$B$2:$B$8,"NA")</f>
        <v>373.5</v>
      </c>
      <c r="M3" s="1">
        <v>150</v>
      </c>
      <c r="N3" s="1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3014.5</v>
      </c>
      <c r="E4" s="1" cm="1">
        <f t="array" ref="E4">IF(Table8[[#This Row],[RANK]]&lt;MAX(Table8[RANK]),Table8[[#This Row],[TALLY]] - INDEX(Table8[TALLY], Table8[[#This Row],[RANK]] + 1), "")</f>
        <v>916.5</v>
      </c>
      <c r="F4" s="1">
        <f>IF(MAX(Table8[TALLY])-Table8[[#This Row],[TALLY]]=0,"",MAX(Table8[TALLY])-Table8[[#This Row],[TALLY]])</f>
        <v>2216</v>
      </c>
      <c r="G4" s="1">
        <f>_xlfn.XLOOKUP(_xlfn.XLOOKUP(Table8[[#This Row],[NAME]],'TEAM PICK AND PREDICTIONS'!$A$2:$A$8,'TEAM PICK AND PREDICTIONS'!$B$2:$B$8,"NA"),Table0[PLAYER NAME],Table0[POINTS TALLY],0)*2</f>
        <v>720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745.5</v>
      </c>
      <c r="J4" s="1">
        <f>_xlfn.XLOOKUP(_xlfn.XLOOKUP(Table8[[#This Row],[NAME]],'TEAM PICK AND PREDICTIONS'!$A$2:$A$8,'TEAM PICK AND PREDICTIONS'!$E$2:$E$8,"NA"),Table0[PLAYER NAME],Table0[POINTS TALLY],0)</f>
        <v>362</v>
      </c>
      <c r="K4" s="1">
        <f>_xlfn.XLOOKUP(Table8[[#This Row],[NAME]],'WINNING TEAM PREDICTIONS'!$A$2:$A$8,'WINNING TEAM PREDICTIONS'!$B$2:$B$8,"NA")</f>
        <v>205</v>
      </c>
      <c r="L4" s="1">
        <f>_xlfn.XLOOKUP(Table8[[#This Row],[NAME]],'TARGET PREDICTIONS'!$A$2:$A$8,'TARGET PREDICTIONS'!$B$2:$B$8,"NA")</f>
        <v>472</v>
      </c>
      <c r="M4" s="1">
        <v>300</v>
      </c>
      <c r="N4" s="1">
        <v>-100</v>
      </c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5" s="1" t="s">
        <v>4</v>
      </c>
      <c r="D5" s="1">
        <f>SUM(Table8[[#This Row],[BATTER]:[EXTRAS]])</f>
        <v>2098</v>
      </c>
      <c r="E5" s="1" cm="1">
        <f t="array" ref="E5">IF(Table8[[#This Row],[RANK]]&lt;MAX(Table8[RANK]),Table8[[#This Row],[TALLY]] - INDEX(Table8[TALLY], Table8[[#This Row],[RANK]] + 1), "")</f>
        <v>246.5</v>
      </c>
      <c r="F5" s="1">
        <f>IF(MAX(Table8[TALLY])-Table8[[#This Row],[TALLY]]=0,"",MAX(Table8[TALLY])-Table8[[#This Row],[TALLY]])</f>
        <v>3132.5</v>
      </c>
      <c r="G5" s="1">
        <f>_xlfn.XLOOKUP(_xlfn.XLOOKUP(Table8[[#This Row],[NAME]],'TEAM PICK AND PREDICTIONS'!$A$2:$A$8,'TEAM PICK AND PREDICTIONS'!$B$2:$B$8,"NA"),Table0[PLAYER NAME],Table0[POINTS TALLY],0)*2</f>
        <v>502</v>
      </c>
      <c r="H5" s="1">
        <f>_xlfn.XLOOKUP(_xlfn.XLOOKUP(Table8[[#This Row],[NAME]],'TEAM PICK AND PREDICTIONS'!$A$2:$A$8,'TEAM PICK AND PREDICTIONS'!$C$2:$C$8,"NA"),Table0[PLAYER NAME],Table0[POINTS TALLY],0)*2</f>
        <v>650</v>
      </c>
      <c r="I5" s="1">
        <f>_xlfn.XLOOKUP(_xlfn.XLOOKUP(Table8[[#This Row],[NAME]],'TEAM PICK AND PREDICTIONS'!$A$2:$A$8,'TEAM PICK AND PREDICTIONS'!$D$2:$D$8,"NA"),Table0[PLAYER NAME],Table0[POINTS TALLY],0)</f>
        <v>25</v>
      </c>
      <c r="J5" s="1">
        <f>_xlfn.XLOOKUP(_xlfn.XLOOKUP(Table8[[#This Row],[NAME]],'TEAM PICK AND PREDICTIONS'!$A$2:$A$8,'TEAM PICK AND PREDICTIONS'!$E$2:$E$8,"NA"),Table0[PLAYER NAME],Table0[POINTS TALLY],0)</f>
        <v>384</v>
      </c>
      <c r="K5" s="1">
        <f>_xlfn.XLOOKUP(Table8[[#This Row],[NAME]],'WINNING TEAM PREDICTIONS'!$A$2:$A$8,'WINNING TEAM PREDICTIONS'!$B$2:$B$8,"NA")</f>
        <v>165</v>
      </c>
      <c r="L5" s="1">
        <f>_xlfn.XLOOKUP(Table8[[#This Row],[NAME]],'TARGET PREDICTIONS'!$A$2:$A$8,'TARGET PREDICTIONS'!$B$2:$B$8,"NA")</f>
        <v>72</v>
      </c>
      <c r="M5" s="1">
        <v>300</v>
      </c>
      <c r="N5" s="1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7</v>
      </c>
      <c r="D6" s="1">
        <f>SUM(Table8[[#This Row],[BATTER]:[EXTRAS]])</f>
        <v>1851.5</v>
      </c>
      <c r="E6" s="1" cm="1">
        <f t="array" ref="E6">IF(Table8[[#This Row],[RANK]]&lt;MAX(Table8[RANK]),Table8[[#This Row],[TALLY]] - INDEX(Table8[TALLY], Table8[[#This Row],[RANK]] + 1), "")</f>
        <v>76</v>
      </c>
      <c r="F6" s="1">
        <f>IF(MAX(Table8[TALLY])-Table8[[#This Row],[TALLY]]=0,"",MAX(Table8[TALLY])-Table8[[#This Row],[TALLY]])</f>
        <v>3379</v>
      </c>
      <c r="G6" s="1">
        <f>_xlfn.XLOOKUP(_xlfn.XLOOKUP(Table8[[#This Row],[NAME]],'TEAM PICK AND PREDICTIONS'!$A$2:$A$8,'TEAM PICK AND PREDICTIONS'!$B$2:$B$8,"NA"),Table0[PLAYER NAME],Table0[POINTS TALLY],0)*1.5</f>
        <v>688.5</v>
      </c>
      <c r="H6" s="1">
        <f>_xlfn.XLOOKUP(_xlfn.XLOOKUP(Table8[[#This Row],[NAME]],'TEAM PICK AND PREDICTIONS'!$A$2:$A$8,'TEAM PICK AND PREDICTIONS'!$C$2:$C$8,"NA"),Table0[PLAYER NAME],Table0[POINTS TALLY],0)</f>
        <v>67</v>
      </c>
      <c r="I6" s="1">
        <f>_xlfn.XLOOKUP(_xlfn.XLOOKUP(Table8[[#This Row],[NAME]],'TEAM PICK AND PREDICTIONS'!$A$2:$A$8,'TEAM PICK AND PREDICTIONS'!$D$2:$D$8,"NA"),Table0[PLAYER NAME],Table0[POINTS TALLY],0)*2</f>
        <v>502</v>
      </c>
      <c r="J6" s="1">
        <f>_xlfn.XLOOKUP(_xlfn.XLOOKUP(Table8[[#This Row],[NAME]],'TEAM PICK AND PREDICTIONS'!$A$2:$A$8,'TEAM PICK AND PREDICTIONS'!$E$2:$E$8,"NA"),Table0[PLAYER NAME],Table0[POINTS TALLY],0)</f>
        <v>119</v>
      </c>
      <c r="K6" s="1">
        <f>_xlfn.XLOOKUP(Table8[[#This Row],[NAME]],'WINNING TEAM PREDICTIONS'!$A$2:$A$8,'WINNING TEAM PREDICTIONS'!$B$2:$B$8,"NA")</f>
        <v>75</v>
      </c>
      <c r="L6" s="1">
        <f>_xlfn.XLOOKUP(Table8[[#This Row],[NAME]],'TARGET PREDICTIONS'!$A$2:$A$8,'TARGET PREDICTIONS'!$B$2:$B$8,"NA")</f>
        <v>100</v>
      </c>
      <c r="M6" s="1">
        <v>300</v>
      </c>
      <c r="N6" s="1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1</v>
      </c>
      <c r="C7" s="1" t="s">
        <v>8</v>
      </c>
      <c r="D7" s="1">
        <f>SUM(Table8[[#This Row],[BATTER]:[EXTRAS]])</f>
        <v>1775.5</v>
      </c>
      <c r="E7" s="1" cm="1">
        <f t="array" ref="E7">IF(Table8[[#This Row],[RANK]]&lt;MAX(Table8[RANK]),Table8[[#This Row],[TALLY]] - INDEX(Table8[TALLY], Table8[[#This Row],[RANK]] + 1), "")</f>
        <v>406.5</v>
      </c>
      <c r="F7" s="1">
        <f>IF(MAX(Table8[TALLY])-Table8[[#This Row],[TALLY]]=0,"",MAX(Table8[TALLY])-Table8[[#This Row],[TALLY]])</f>
        <v>3455</v>
      </c>
      <c r="G7" s="1">
        <f>_xlfn.XLOOKUP(_xlfn.XLOOKUP(Table8[[#This Row],[NAME]],'TEAM PICK AND PREDICTIONS'!$A$2:$A$8,'TEAM PICK AND PREDICTIONS'!$B$2:$B$8,"NA"),Table0[PLAYER NAME],Table0[POINTS TALLY],0)*2</f>
        <v>120</v>
      </c>
      <c r="H7" s="1">
        <f>_xlfn.XLOOKUP(_xlfn.XLOOKUP(Table8[[#This Row],[NAME]],'TEAM PICK AND PREDICTIONS'!$A$2:$A$8,'TEAM PICK AND PREDICTIONS'!$C$2:$C$8,"NA"),Table0[PLAYER NAME],Table0[POINTS TALLY],0)</f>
        <v>300</v>
      </c>
      <c r="I7" s="1">
        <f>_xlfn.XLOOKUP(_xlfn.XLOOKUP(Table8[[#This Row],[NAME]],'TEAM PICK AND PREDICTIONS'!$A$2:$A$8,'TEAM PICK AND PREDICTIONS'!$D$2:$D$8,"NA"),Table0[PLAYER NAME],Table0[POINTS TALLY],0)*1.5</f>
        <v>745.5</v>
      </c>
      <c r="J7" s="1">
        <f>_xlfn.XLOOKUP(_xlfn.XLOOKUP(Table8[[#This Row],[NAME]],'TEAM PICK AND PREDICTIONS'!$A$2:$A$8,'TEAM PICK AND PREDICTIONS'!$E$2:$E$8,"NA"),Table0[PLAYER NAME],Table0[POINTS TALLY],0)</f>
        <v>10</v>
      </c>
      <c r="K7" s="1">
        <f>_xlfn.XLOOKUP(Table8[[#This Row],[NAME]],'WINNING TEAM PREDICTIONS'!$A$2:$A$8,'WINNING TEAM PREDICTIONS'!$B$2:$B$8,"NA")</f>
        <v>75</v>
      </c>
      <c r="L7" s="1">
        <f>_xlfn.XLOOKUP(Table8[[#This Row],[NAME]],'TARGET PREDICTIONS'!$A$2:$A$8,'TARGET PREDICTIONS'!$B$2:$B$8,"NA")</f>
        <v>225</v>
      </c>
      <c r="M7" s="1">
        <v>300</v>
      </c>
      <c r="N7" s="1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8" s="1" t="s">
        <v>6</v>
      </c>
      <c r="D8" s="1">
        <f>SUM(Table8[[#This Row],[BATTER]:[EXTRAS]])</f>
        <v>1369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3861.5</v>
      </c>
      <c r="G8" s="1">
        <f>_xlfn.XLOOKUP(_xlfn.XLOOKUP(Table8[[#This Row],[NAME]],'TEAM PICK AND PREDICTIONS'!$A$2:$A$8,'TEAM PICK AND PREDICTIONS'!$B$2:$B$8,"NA"),Table0[PLAYER NAME],Table0[POINTS TALLY],0)*2</f>
        <v>528</v>
      </c>
      <c r="H8" s="1">
        <f>_xlfn.XLOOKUP(_xlfn.XLOOKUP(Table8[[#This Row],[NAME]],'TEAM PICK AND PREDICTIONS'!$A$2:$A$8,'TEAM PICK AND PREDICTIONS'!$C$2:$C$8,"NA"),Table0[PLAYER NAME],Table0[POINTS TALLY],0)</f>
        <v>67</v>
      </c>
      <c r="I8" s="1">
        <f>_xlfn.XLOOKUP(_xlfn.XLOOKUP(Table8[[#This Row],[NAME]],'TEAM PICK AND PREDICTIONS'!$A$2:$A$8,'TEAM PICK AND PREDICTIONS'!$D$2:$D$8,"NA"),Table0[PLAYER NAME],Table0[POINTS TALLY],0)*1.5</f>
        <v>15</v>
      </c>
      <c r="J8" s="1">
        <f>_xlfn.XLOOKUP(_xlfn.XLOOKUP(Table8[[#This Row],[NAME]],'TEAM PICK AND PREDICTIONS'!$A$2:$A$8,'TEAM PICK AND PREDICTIONS'!$E$2:$E$8,"NA"),Table0[PLAYER NAME],Table0[POINTS TALLY],0)</f>
        <v>262</v>
      </c>
      <c r="K8" s="1">
        <f>_xlfn.XLOOKUP(Table8[[#This Row],[NAME]],'WINNING TEAM PREDICTIONS'!$A$2:$A$8,'WINNING TEAM PREDICTIONS'!$B$2:$B$8,"NA")</f>
        <v>147</v>
      </c>
      <c r="L8" s="1">
        <f>_xlfn.XLOOKUP(Table8[[#This Row],[NAME]],'TARGET PREDICTIONS'!$A$2:$A$8,'TARGET PREDICTIONS'!$B$2:$B$8,"NA")</f>
        <v>50</v>
      </c>
      <c r="M8" s="1">
        <v>300</v>
      </c>
      <c r="N8" s="1"/>
    </row>
    <row r="10" spans="1:14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3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338</v>
      </c>
    </row>
    <row r="4" spans="1:1" x14ac:dyDescent="0.3">
      <c r="A4" t="s">
        <v>340</v>
      </c>
    </row>
    <row r="5" spans="1:1" x14ac:dyDescent="0.3">
      <c r="A5" t="s">
        <v>307</v>
      </c>
    </row>
    <row r="6" spans="1:1" x14ac:dyDescent="0.3">
      <c r="A6" s="9" t="s">
        <v>309</v>
      </c>
    </row>
    <row r="7" spans="1:1" x14ac:dyDescent="0.3">
      <c r="A7" t="s">
        <v>308</v>
      </c>
    </row>
    <row r="8" spans="1:1" x14ac:dyDescent="0.3">
      <c r="A8" s="9" t="s">
        <v>309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316</v>
      </c>
    </row>
    <row r="12" spans="1:1" x14ac:dyDescent="0.3">
      <c r="A12" t="s">
        <v>318</v>
      </c>
    </row>
    <row r="13" spans="1:1" x14ac:dyDescent="0.3">
      <c r="A13" t="s">
        <v>319</v>
      </c>
    </row>
    <row r="14" spans="1:1" x14ac:dyDescent="0.3">
      <c r="A14" t="s">
        <v>335</v>
      </c>
    </row>
    <row r="15" spans="1:1" x14ac:dyDescent="0.3">
      <c r="A15" t="s">
        <v>320</v>
      </c>
    </row>
    <row r="16" spans="1:1" x14ac:dyDescent="0.3">
      <c r="A16" t="s">
        <v>321</v>
      </c>
    </row>
    <row r="17" spans="1:1" x14ac:dyDescent="0.3">
      <c r="A17" t="s">
        <v>322</v>
      </c>
    </row>
    <row r="18" spans="1:1" x14ac:dyDescent="0.3">
      <c r="A18" t="s">
        <v>326</v>
      </c>
    </row>
    <row r="19" spans="1:1" x14ac:dyDescent="0.3">
      <c r="A19" t="s">
        <v>323</v>
      </c>
    </row>
    <row r="20" spans="1:1" x14ac:dyDescent="0.3">
      <c r="A20" t="s">
        <v>324</v>
      </c>
    </row>
    <row r="21" spans="1:1" x14ac:dyDescent="0.3">
      <c r="A21" t="s">
        <v>325</v>
      </c>
    </row>
    <row r="22" spans="1:1" x14ac:dyDescent="0.3">
      <c r="A22" t="s">
        <v>326</v>
      </c>
    </row>
    <row r="23" spans="1:1" x14ac:dyDescent="0.3">
      <c r="A23" t="s">
        <v>327</v>
      </c>
    </row>
    <row r="24" spans="1:1" x14ac:dyDescent="0.3">
      <c r="A24" t="s">
        <v>328</v>
      </c>
    </row>
    <row r="25" spans="1:1" x14ac:dyDescent="0.3">
      <c r="A25" t="s">
        <v>329</v>
      </c>
    </row>
    <row r="26" spans="1:1" x14ac:dyDescent="0.3">
      <c r="A26" t="s">
        <v>337</v>
      </c>
    </row>
    <row r="27" spans="1:1" x14ac:dyDescent="0.3">
      <c r="A27" t="s">
        <v>330</v>
      </c>
    </row>
    <row r="28" spans="1:1" x14ac:dyDescent="0.3">
      <c r="A28" t="s">
        <v>336</v>
      </c>
    </row>
    <row r="29" spans="1:1" x14ac:dyDescent="0.3">
      <c r="A29" t="s">
        <v>331</v>
      </c>
    </row>
    <row r="30" spans="1:1" x14ac:dyDescent="0.3">
      <c r="A30" t="s">
        <v>332</v>
      </c>
    </row>
    <row r="31" spans="1:1" x14ac:dyDescent="0.3">
      <c r="A31" t="s">
        <v>330</v>
      </c>
    </row>
    <row r="32" spans="1:1" x14ac:dyDescent="0.3">
      <c r="A32" t="s">
        <v>333</v>
      </c>
    </row>
    <row r="33" spans="1:1" x14ac:dyDescent="0.3">
      <c r="A33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DC1" activePane="topRight" state="frozen"/>
      <selection pane="topRight" activeCell="DF11" sqref="DF11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13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 t="s">
        <v>14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 t="s">
        <v>15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 t="s">
        <v>16</v>
      </c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 t="s">
        <v>226</v>
      </c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 t="s">
        <v>227</v>
      </c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</row>
    <row r="2" spans="1:149" x14ac:dyDescent="0.3">
      <c r="B2" s="6" t="s">
        <v>228</v>
      </c>
      <c r="C2" s="12" t="s">
        <v>36</v>
      </c>
      <c r="D2" s="12"/>
      <c r="E2" s="12"/>
      <c r="F2" s="12"/>
      <c r="G2" s="12"/>
      <c r="H2" s="12"/>
      <c r="I2" s="12"/>
      <c r="J2" s="12" t="s">
        <v>37</v>
      </c>
      <c r="K2" s="12"/>
      <c r="L2" s="12"/>
      <c r="M2" s="12"/>
      <c r="N2" s="12"/>
      <c r="O2" s="12"/>
      <c r="P2" s="12"/>
      <c r="Q2" s="12" t="s">
        <v>38</v>
      </c>
      <c r="R2" s="12"/>
      <c r="S2" s="12"/>
      <c r="T2" s="12"/>
      <c r="U2" s="12"/>
      <c r="V2" s="4"/>
      <c r="W2" s="4"/>
      <c r="X2" s="12" t="s">
        <v>36</v>
      </c>
      <c r="Y2" s="12"/>
      <c r="Z2" s="12"/>
      <c r="AA2" s="12"/>
      <c r="AB2" s="12"/>
      <c r="AC2" s="12"/>
      <c r="AD2" s="12"/>
      <c r="AE2" s="12" t="s">
        <v>37</v>
      </c>
      <c r="AF2" s="12"/>
      <c r="AG2" s="12"/>
      <c r="AH2" s="12"/>
      <c r="AI2" s="12"/>
      <c r="AJ2" s="12"/>
      <c r="AK2" s="12"/>
      <c r="AL2" s="12" t="s">
        <v>38</v>
      </c>
      <c r="AM2" s="12"/>
      <c r="AN2" s="12"/>
      <c r="AO2" s="12"/>
      <c r="AP2" s="12"/>
      <c r="AQ2" s="4"/>
      <c r="AR2" s="4"/>
      <c r="AS2" s="12" t="s">
        <v>36</v>
      </c>
      <c r="AT2" s="12"/>
      <c r="AU2" s="12"/>
      <c r="AV2" s="12"/>
      <c r="AW2" s="12"/>
      <c r="AX2" s="12"/>
      <c r="AY2" s="12"/>
      <c r="AZ2" s="12" t="s">
        <v>37</v>
      </c>
      <c r="BA2" s="12"/>
      <c r="BB2" s="12"/>
      <c r="BC2" s="12"/>
      <c r="BD2" s="12"/>
      <c r="BE2" s="12"/>
      <c r="BF2" s="12"/>
      <c r="BG2" s="12" t="s">
        <v>38</v>
      </c>
      <c r="BH2" s="12"/>
      <c r="BI2" s="12"/>
      <c r="BJ2" s="12"/>
      <c r="BK2" s="12"/>
      <c r="BL2" s="4"/>
      <c r="BM2" s="4"/>
      <c r="BN2" s="12" t="s">
        <v>36</v>
      </c>
      <c r="BO2" s="12"/>
      <c r="BP2" s="12"/>
      <c r="BQ2" s="12"/>
      <c r="BR2" s="12"/>
      <c r="BS2" s="12"/>
      <c r="BT2" s="12"/>
      <c r="BU2" s="12" t="s">
        <v>37</v>
      </c>
      <c r="BV2" s="12"/>
      <c r="BW2" s="12"/>
      <c r="BX2" s="12"/>
      <c r="BY2" s="12"/>
      <c r="BZ2" s="12"/>
      <c r="CA2" s="12"/>
      <c r="CB2" s="12" t="s">
        <v>38</v>
      </c>
      <c r="CC2" s="12"/>
      <c r="CD2" s="12"/>
      <c r="CE2" s="12"/>
      <c r="CF2" s="12"/>
      <c r="CG2" s="4"/>
      <c r="CH2" s="4"/>
      <c r="CI2" s="12" t="s">
        <v>36</v>
      </c>
      <c r="CJ2" s="12"/>
      <c r="CK2" s="12"/>
      <c r="CL2" s="12"/>
      <c r="CM2" s="12"/>
      <c r="CN2" s="12"/>
      <c r="CO2" s="12"/>
      <c r="CP2" s="12" t="s">
        <v>37</v>
      </c>
      <c r="CQ2" s="12"/>
      <c r="CR2" s="12"/>
      <c r="CS2" s="12"/>
      <c r="CT2" s="12"/>
      <c r="CU2" s="12"/>
      <c r="CV2" s="12"/>
      <c r="CW2" s="12" t="s">
        <v>38</v>
      </c>
      <c r="CX2" s="12"/>
      <c r="CY2" s="12"/>
      <c r="CZ2" s="12"/>
      <c r="DA2" s="12"/>
      <c r="DB2" s="4"/>
      <c r="DC2" s="4"/>
      <c r="DD2" s="12" t="s">
        <v>36</v>
      </c>
      <c r="DE2" s="12"/>
      <c r="DF2" s="12"/>
      <c r="DG2" s="12"/>
      <c r="DH2" s="12"/>
      <c r="DI2" s="12"/>
      <c r="DJ2" s="12"/>
      <c r="DK2" s="12" t="s">
        <v>37</v>
      </c>
      <c r="DL2" s="12"/>
      <c r="DM2" s="12"/>
      <c r="DN2" s="12"/>
      <c r="DO2" s="12"/>
      <c r="DP2" s="12"/>
      <c r="DQ2" s="12"/>
      <c r="DR2" s="12" t="s">
        <v>38</v>
      </c>
      <c r="DS2" s="12"/>
      <c r="DT2" s="12"/>
      <c r="DU2" s="12"/>
      <c r="DV2" s="12"/>
      <c r="DW2" s="4"/>
      <c r="DX2" s="4"/>
      <c r="DY2" s="12" t="s">
        <v>36</v>
      </c>
      <c r="DZ2" s="12"/>
      <c r="EA2" s="12"/>
      <c r="EB2" s="12"/>
      <c r="EC2" s="12"/>
      <c r="ED2" s="12"/>
      <c r="EE2" s="12"/>
      <c r="EF2" s="12" t="s">
        <v>37</v>
      </c>
      <c r="EG2" s="12"/>
      <c r="EH2" s="12"/>
      <c r="EI2" s="12"/>
      <c r="EJ2" s="12"/>
      <c r="EK2" s="12"/>
      <c r="EL2" s="12"/>
      <c r="EM2" s="12" t="s">
        <v>38</v>
      </c>
      <c r="EN2" s="12"/>
      <c r="EO2" s="12"/>
      <c r="EP2" s="12"/>
      <c r="EQ2" s="12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1348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>
        <v>75</v>
      </c>
      <c r="CJ4" s="1">
        <v>37</v>
      </c>
      <c r="CK4" s="1">
        <v>6</v>
      </c>
      <c r="CL4" s="1">
        <v>5</v>
      </c>
      <c r="CM4" s="1">
        <f>IFERROR(_xlfn.NUMBERVALUE(SUBSTITUTE(Table5[[#This Row],[RUNS SCORED]],"*",""))/Table5[[#This Row],[BALLS FACED]]*100,0)</f>
        <v>202.70270270270271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CO4" s="1">
        <f>IF(Table5[[#This Row],[RUNS SCORED]]="", 0, VALUE(SUBSTITUTE(Table5[[#This Row],[RUNS SCORED]],"*","")) + Table5[[#This Row],[BONUS 1]])</f>
        <v>375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>
        <v>2</v>
      </c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4" s="1">
        <f>IF(AND(Table5[[#This Row],[CATCHES TAKEN]]="",Table5[[#This Row],[RUNOUTS]]="",Table5[[#This Row],[STUMPINGS]]=""), 0, Table5[[#This Row],[BONUS 3]])</f>
        <v>50</v>
      </c>
      <c r="DB4" s="1">
        <v>100</v>
      </c>
      <c r="DC4" s="1">
        <f>SUM(Table5[[#This Row],[SUB TOTAL 1]],Table5[[#This Row],[SUB TOTAL 2]],Table5[[#This Row],[SUB TOTAL 3]],Table5[[#This Row],[POM BONUS]])</f>
        <v>525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>
        <v>20</v>
      </c>
      <c r="CJ5" s="1">
        <v>19</v>
      </c>
      <c r="CK5" s="1">
        <v>2</v>
      </c>
      <c r="CL5" s="1">
        <v>1</v>
      </c>
      <c r="CM5" s="1">
        <f>IFERROR(_xlfn.NUMBERVALUE(SUBSTITUTE(Table5[[#This Row],[RUNS SCORED]],"*",""))/Table5[[#This Row],[BALLS FACED]]*100,0)</f>
        <v>105.26315789473684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20</v>
      </c>
      <c r="CP5" s="1">
        <v>2</v>
      </c>
      <c r="CQ5" s="1">
        <v>0</v>
      </c>
      <c r="CR5" s="1">
        <v>11</v>
      </c>
      <c r="CS5" s="1">
        <v>0</v>
      </c>
      <c r="CT5" s="1">
        <f>IFERROR(Table5[[#This Row],[RUNS GIVEN]]/Table5[[#This Row],[OVERS]],0)</f>
        <v>5.5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-25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-5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251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>
        <v>38</v>
      </c>
      <c r="CJ8" s="1">
        <v>29</v>
      </c>
      <c r="CK8" s="1">
        <v>4</v>
      </c>
      <c r="CL8" s="1">
        <v>1</v>
      </c>
      <c r="CM8" s="1">
        <f>IFERROR(_xlfn.NUMBERVALUE(SUBSTITUTE(Table5[[#This Row],[RUNS SCORED]],"*",""))/Table5[[#This Row],[BALLS FACED]]*100,0)</f>
        <v>131.0344827586207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8" s="1">
        <f>IF(Table5[[#This Row],[RUNS SCORED]]="", 0, VALUE(SUBSTITUTE(Table5[[#This Row],[RUNS SCORED]],"*","")) + Table5[[#This Row],[BONUS 1]])</f>
        <v>88</v>
      </c>
      <c r="CP8" s="1">
        <v>2</v>
      </c>
      <c r="CQ8" s="1">
        <v>0</v>
      </c>
      <c r="CR8" s="1">
        <v>14</v>
      </c>
      <c r="CS8" s="1">
        <v>0</v>
      </c>
      <c r="CT8" s="1">
        <f>IFERROR(Table5[[#This Row],[RUNS GIVEN]]/Table5[[#This Row],[OVERS]],0)</f>
        <v>7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-25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63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325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>
        <v>4</v>
      </c>
      <c r="CQ10" s="1">
        <v>0</v>
      </c>
      <c r="CR10" s="1">
        <v>18</v>
      </c>
      <c r="CS10" s="1">
        <v>2</v>
      </c>
      <c r="CT10" s="1">
        <f>IFERROR(Table5[[#This Row],[RUNS GIVEN]]/Table5[[#This Row],[OVERS]],0)</f>
        <v>4.5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0" s="1">
        <f>IF(Table5[[#This Row],[WICKETS TAKEN]]="", 0, IF(Table5[[#This Row],[WICKETS TAKEN]] = 0, -25,
        Table5[[#This Row],[WICKETS TAKEN]] * 50)+Table5[[#This Row],[BONUS 2]])</f>
        <v>200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200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362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312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>
        <v>50</v>
      </c>
      <c r="CJ11" s="1">
        <v>44</v>
      </c>
      <c r="CK11" s="1">
        <v>3</v>
      </c>
      <c r="CL11" s="1">
        <v>2</v>
      </c>
      <c r="CM11" s="1">
        <f>IFERROR(_xlfn.NUMBERVALUE(SUBSTITUTE(Table5[[#This Row],[RUNS SCORED]],"*",""))/Table5[[#This Row],[BALLS FACED]]*100,0)</f>
        <v>113.63636363636364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CO11" s="1">
        <f>IF(Table5[[#This Row],[RUNS SCORED]]="", 0, VALUE(SUBSTITUTE(Table5[[#This Row],[RUNS SCORED]],"*","")) + Table5[[#This Row],[BONUS 1]])</f>
        <v>150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>
        <v>1</v>
      </c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1" s="1">
        <f>IF(AND(Table5[[#This Row],[CATCHES TAKEN]]="",Table5[[#This Row],[RUNOUTS]]="",Table5[[#This Row],[STUMPINGS]]=""), 0, Table5[[#This Row],[BONUS 3]])</f>
        <v>25</v>
      </c>
      <c r="DB11" s="1"/>
      <c r="DC11" s="1">
        <f>SUM(Table5[[#This Row],[SUB TOTAL 1]],Table5[[#This Row],[SUB TOTAL 2]],Table5[[#This Row],[SUB TOTAL 3]],Table5[[#This Row],[POM BONUS]])</f>
        <v>175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262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>
        <v>13</v>
      </c>
      <c r="CJ12" s="1">
        <v>11</v>
      </c>
      <c r="CK12" s="1">
        <v>1</v>
      </c>
      <c r="CL12" s="1"/>
      <c r="CM12" s="1">
        <f>IFERROR(_xlfn.NUMBERVALUE(SUBSTITUTE(Table5[[#This Row],[RUNS SCORED]],"*",""))/Table5[[#This Row],[BALLS FACED]]*100,0)</f>
        <v>118.18181818181819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13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>
        <v>2</v>
      </c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12" s="1">
        <f>IF(AND(Table5[[#This Row],[CATCHES TAKEN]]="",Table5[[#This Row],[RUNOUTS]]="",Table5[[#This Row],[STUMPINGS]]=""), 0, Table5[[#This Row],[BONUS 3]])</f>
        <v>50</v>
      </c>
      <c r="DB12" s="1"/>
      <c r="DC12" s="1">
        <f>SUM(Table5[[#This Row],[SUB TOTAL 1]],Table5[[#This Row],[SUB TOTAL 2]],Table5[[#This Row],[SUB TOTAL 3]],Table5[[#This Row],[POM BONUS]])</f>
        <v>63</v>
      </c>
      <c r="DD12" s="1">
        <v>31</v>
      </c>
      <c r="DE12" s="1">
        <v>23</v>
      </c>
      <c r="DF12" s="1">
        <v>2</v>
      </c>
      <c r="DG12" s="1">
        <v>1</v>
      </c>
      <c r="DH12" s="1">
        <f>IFERROR(_xlfn.NUMBERVALUE(SUBSTITUTE(Table6[[#This Row],[RUNS SCORED]],"*",""))/Table6[[#This Row],[BALLS FACED]]*100,0)</f>
        <v>134.78260869565219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2" s="1">
        <f>IF(Table6[[#This Row],[RUNS SCORED]]="", 0, VALUE(SUBSTITUTE(Table6[[#This Row],[RUNS SCORED]],"*","")) + Table6[[#This Row],[BONUS 1]])</f>
        <v>81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81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497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 t="s">
        <v>339</v>
      </c>
      <c r="CJ13" s="1">
        <v>24</v>
      </c>
      <c r="CK13" s="1">
        <v>3</v>
      </c>
      <c r="CL13" s="1">
        <v>3</v>
      </c>
      <c r="CM13" s="1">
        <f>IFERROR(_xlfn.NUMBERVALUE(SUBSTITUTE(Table5[[#This Row],[RUNS SCORED]],"*",""))/Table5[[#This Row],[BALLS FACED]]*100,0)</f>
        <v>158.33333333333331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CO13" s="1">
        <f>IF(Table5[[#This Row],[RUNS SCORED]]="", 0, VALUE(SUBSTITUTE(Table5[[#This Row],[RUNS SCORED]],"*","")) + Table5[[#This Row],[BONUS 1]])</f>
        <v>113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113</v>
      </c>
      <c r="DD13" s="1">
        <v>25</v>
      </c>
      <c r="DE13" s="1">
        <v>15</v>
      </c>
      <c r="DF13" s="1">
        <v>1</v>
      </c>
      <c r="DG13" s="1">
        <v>2</v>
      </c>
      <c r="DH13" s="1">
        <f>IFERROR(_xlfn.NUMBERVALUE(SUBSTITUTE(Table6[[#This Row],[RUNS SCORED]],"*",""))/Table6[[#This Row],[BALLS FACED]]*100,0)</f>
        <v>166.66666666666669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3" s="1">
        <f>IF(Table6[[#This Row],[RUNS SCORED]]="", 0, VALUE(SUBSTITUTE(Table6[[#This Row],[RUNS SCORED]],"*","")) + Table6[[#This Row],[BONUS 1]])</f>
        <v>75</v>
      </c>
      <c r="DK13" s="1">
        <v>3</v>
      </c>
      <c r="DL13" s="1">
        <v>0</v>
      </c>
      <c r="DM13" s="1">
        <v>14</v>
      </c>
      <c r="DN13" s="1">
        <v>1</v>
      </c>
      <c r="DO13" s="1">
        <f>IFERROR(Table6[[#This Row],[RUNS GIVEN]]/Table6[[#This Row],[OVERS]],0)</f>
        <v>4.666666666666667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DQ13" s="1">
        <f>IF(Table6[[#This Row],[WICKETS TAKEN]]="", 0, IF(Table6[[#This Row],[WICKETS TAKEN]] = 0, -25,
        Table6[[#This Row],[WICKETS TAKEN]] * 50)+Table6[[#This Row],[BONUS 2]])</f>
        <v>150</v>
      </c>
      <c r="DR13" s="1">
        <v>3</v>
      </c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125</v>
      </c>
      <c r="DV13" s="1">
        <f>IF(AND(Table6[[#This Row],[CATCHES TAKEN]]="",Table6[[#This Row],[RUNOUTS]]="",Table6[[#This Row],[STUMPINGS]]=""), 0, Table6[[#This Row],[BONUS 3]])</f>
        <v>125</v>
      </c>
      <c r="DW13" s="1"/>
      <c r="DX13" s="1">
        <f>SUM(Table6[[#This Row],[SUB TOTAL 1]],Table6[[#This Row],[SUB TOTAL 2]],Table6[[#This Row],[SUB TOTAL 3]],Table6[[#This Row],[POM BONUS]])</f>
        <v>350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767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>
        <v>6</v>
      </c>
      <c r="CJ14" s="1">
        <v>11</v>
      </c>
      <c r="CK14" s="1">
        <v>1</v>
      </c>
      <c r="CL14" s="1">
        <v>0</v>
      </c>
      <c r="CM14" s="1">
        <f>IFERROR(_xlfn.NUMBERVALUE(SUBSTITUTE(Table5[[#This Row],[RUNS SCORED]],"*",""))/Table5[[#This Row],[BALLS FACED]]*100,0)</f>
        <v>54.54545454545454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4" s="1">
        <f>IF(Table5[[#This Row],[RUNS SCORED]]="", 0, VALUE(SUBSTITUTE(Table5[[#This Row],[RUNS SCORED]],"*","")) + Table5[[#This Row],[BONUS 1]])</f>
        <v>-4</v>
      </c>
      <c r="CP14" s="1">
        <v>4</v>
      </c>
      <c r="CQ14" s="1">
        <v>0</v>
      </c>
      <c r="CR14" s="1">
        <v>33</v>
      </c>
      <c r="CS14" s="1">
        <v>1</v>
      </c>
      <c r="CT14" s="1">
        <f>IFERROR(Table5[[#This Row],[RUNS GIVEN]]/Table5[[#This Row],[OVERS]],0)</f>
        <v>8.25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50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46</v>
      </c>
      <c r="DD14" s="1" t="s">
        <v>311</v>
      </c>
      <c r="DE14" s="1">
        <v>4</v>
      </c>
      <c r="DF14" s="1">
        <v>1</v>
      </c>
      <c r="DG14" s="1">
        <v>0</v>
      </c>
      <c r="DH14" s="1">
        <f>IFERROR(_xlfn.NUMBERVALUE(SUBSTITUTE(Table6[[#This Row],[RUNS SCORED]],"*",""))/Table6[[#This Row],[BALLS FACED]]*100,0)</f>
        <v>150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DJ14" s="1">
        <f>IF(Table6[[#This Row],[RUNS SCORED]]="", 0, VALUE(SUBSTITUTE(Table6[[#This Row],[RUNS SCORED]],"*","")) + Table6[[#This Row],[BONUS 1]])</f>
        <v>21</v>
      </c>
      <c r="DK14" s="1">
        <v>4</v>
      </c>
      <c r="DL14" s="1">
        <v>0</v>
      </c>
      <c r="DM14" s="1">
        <v>33</v>
      </c>
      <c r="DN14" s="1">
        <v>1</v>
      </c>
      <c r="DO14" s="1">
        <f>IFERROR(Table6[[#This Row],[RUNS GIVEN]]/Table6[[#This Row],[OVERS]],0)</f>
        <v>8.25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50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71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311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459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>
        <v>8</v>
      </c>
      <c r="CJ16" s="1">
        <v>7</v>
      </c>
      <c r="CK16" s="1">
        <v>0</v>
      </c>
      <c r="CL16" s="1">
        <v>1</v>
      </c>
      <c r="CM16" s="1">
        <f>IFERROR(_xlfn.NUMBERVALUE(SUBSTITUTE(Table5[[#This Row],[RUNS SCORED]],"*",""))/Table5[[#This Row],[BALLS FACED]]*100,0)</f>
        <v>114.28571428571428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6" s="1">
        <f>IF(Table5[[#This Row],[RUNS SCORED]]="", 0, VALUE(SUBSTITUTE(Table5[[#This Row],[RUNS SCORED]],"*","")) + Table5[[#This Row],[BONUS 1]])</f>
        <v>-2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-2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119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313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>
        <v>5</v>
      </c>
      <c r="CJ18" s="1">
        <v>6</v>
      </c>
      <c r="CK18" s="1">
        <v>0</v>
      </c>
      <c r="CL18" s="1">
        <v>0</v>
      </c>
      <c r="CM18" s="1">
        <f>IFERROR(_xlfn.NUMBERVALUE(SUBSTITUTE(Table5[[#This Row],[RUNS SCORED]],"*",""))/Table5[[#This Row],[BALLS FACED]]*100,0)</f>
        <v>83.333333333333343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8" s="1">
        <f>IF(Table5[[#This Row],[RUNS SCORED]]="", 0, VALUE(SUBSTITUTE(Table5[[#This Row],[RUNS SCORED]],"*","")) + Table5[[#This Row],[BONUS 1]])</f>
        <v>-5</v>
      </c>
      <c r="CP18" s="1">
        <v>1</v>
      </c>
      <c r="CQ18" s="1">
        <v>0</v>
      </c>
      <c r="CR18" s="1">
        <v>5</v>
      </c>
      <c r="CS18" s="1">
        <v>0</v>
      </c>
      <c r="CT18" s="1">
        <f>IFERROR(Table5[[#This Row],[RUNS GIVEN]]/Table5[[#This Row],[OVERS]],0)</f>
        <v>5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-25</v>
      </c>
      <c r="CW18" s="1">
        <v>1</v>
      </c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8" s="1">
        <f>IF(AND(Table5[[#This Row],[CATCHES TAKEN]]="",Table5[[#This Row],[RUNOUTS]]="",Table5[[#This Row],[STUMPINGS]]=""), 0, Table5[[#This Row],[BONUS 3]])</f>
        <v>25</v>
      </c>
      <c r="DB18" s="1"/>
      <c r="DC18" s="1">
        <f>SUM(Table5[[#This Row],[SUB TOTAL 1]],Table5[[#This Row],[SUB TOTAL 2]],Table5[[#This Row],[SUB TOTAL 3]],Table5[[#This Row],[POM BONUS]])</f>
        <v>-5</v>
      </c>
      <c r="DD18" s="1">
        <v>19</v>
      </c>
      <c r="DE18" s="1">
        <v>23</v>
      </c>
      <c r="DF18" s="1">
        <v>2</v>
      </c>
      <c r="DG18" s="1">
        <v>0</v>
      </c>
      <c r="DH18" s="1">
        <f>IFERROR(_xlfn.NUMBERVALUE(SUBSTITUTE(Table6[[#This Row],[RUNS SCORED]],"*",""))/Table6[[#This Row],[BALLS FACED]]*100,0)</f>
        <v>82.608695652173907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19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19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1473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310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>
        <v>4</v>
      </c>
      <c r="CQ19" s="1">
        <v>0</v>
      </c>
      <c r="CR19" s="1">
        <v>28</v>
      </c>
      <c r="CS19" s="1">
        <v>3</v>
      </c>
      <c r="CT19" s="1">
        <f>IFERROR(Table5[[#This Row],[RUNS GIVEN]]/Table5[[#This Row],[OVERS]],0)</f>
        <v>7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9" s="1">
        <f>IF(Table5[[#This Row],[WICKETS TAKEN]]="", 0, IF(Table5[[#This Row],[WICKETS TAKEN]] = 0, -25,
        Table5[[#This Row],[WICKETS TAKEN]] * 50)+Table5[[#This Row],[BONUS 2]])</f>
        <v>250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250</v>
      </c>
      <c r="DD19" s="1">
        <v>19</v>
      </c>
      <c r="DE19" s="1">
        <v>13</v>
      </c>
      <c r="DF19" s="1">
        <v>0</v>
      </c>
      <c r="DG19" s="1">
        <v>2</v>
      </c>
      <c r="DH19" s="1">
        <f>IFERROR(_xlfn.NUMBERVALUE(SUBSTITUTE(Table6[[#This Row],[RUNS SCORED]],"*",""))/Table6[[#This Row],[BALLS FACED]]*100,0)</f>
        <v>146.15384615384613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19</v>
      </c>
      <c r="DK19" s="1">
        <v>4</v>
      </c>
      <c r="DL19" s="1">
        <v>0</v>
      </c>
      <c r="DM19" s="1">
        <v>17</v>
      </c>
      <c r="DN19" s="1">
        <v>3</v>
      </c>
      <c r="DO19" s="1">
        <f>IFERROR(Table6[[#This Row],[RUNS GIVEN]]/Table6[[#This Row],[OVERS]],0)</f>
        <v>4.25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DQ19" s="1">
        <f>IF(Table6[[#This Row],[WICKETS TAKEN]]="", 0, IF(Table6[[#This Row],[WICKETS TAKEN]] = 0, -25,
        Table6[[#This Row],[WICKETS TAKEN]] * 50)+Table6[[#This Row],[BONUS 2]])</f>
        <v>350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>
        <v>100</v>
      </c>
      <c r="DX19" s="1">
        <f>SUM(Table6[[#This Row],[SUB TOTAL 1]],Table6[[#This Row],[SUB TOTAL 2]],Table6[[#This Row],[SUB TOTAL 3]],Table6[[#This Row],[POM BONUS]])</f>
        <v>469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251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>
        <v>29</v>
      </c>
      <c r="CJ20" s="1">
        <v>19</v>
      </c>
      <c r="CK20" s="1">
        <v>2</v>
      </c>
      <c r="CL20" s="1">
        <v>1</v>
      </c>
      <c r="CM20" s="1">
        <f>IFERROR(_xlfn.NUMBERVALUE(SUBSTITUTE(Table5[[#This Row],[RUNS SCORED]],"*",""))/Table5[[#This Row],[BALLS FACED]]*100,0)</f>
        <v>152.63157894736844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20" s="1">
        <f>IF(Table5[[#This Row],[RUNS SCORED]]="", 0, VALUE(SUBSTITUTE(Table5[[#This Row],[RUNS SCORED]],"*","")) + Table5[[#This Row],[BONUS 1]])</f>
        <v>79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79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264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>
        <v>5</v>
      </c>
      <c r="CJ21" s="1">
        <v>11</v>
      </c>
      <c r="CK21" s="1">
        <v>0</v>
      </c>
      <c r="CL21" s="1">
        <v>0</v>
      </c>
      <c r="CM21" s="1">
        <f>IFERROR(_xlfn.NUMBERVALUE(SUBSTITUTE(Table5[[#This Row],[RUNS SCORED]],"*",""))/Table5[[#This Row],[BALLS FACED]]*100,0)</f>
        <v>45.454545454545453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1" s="1">
        <f>IF(Table5[[#This Row],[RUNS SCORED]]="", 0, VALUE(SUBSTITUTE(Table5[[#This Row],[RUNS SCORED]],"*","")) + Table5[[#This Row],[BONUS 1]])</f>
        <v>-5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>
        <v>1</v>
      </c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1" s="1">
        <f>IF(AND(Table5[[#This Row],[CATCHES TAKEN]]="",Table5[[#This Row],[RUNOUTS]]="",Table5[[#This Row],[STUMPINGS]]=""), 0, Table5[[#This Row],[BONUS 3]])</f>
        <v>50</v>
      </c>
      <c r="DB21" s="1"/>
      <c r="DC21" s="1">
        <f>SUM(Table5[[#This Row],[SUB TOTAL 1]],Table5[[#This Row],[SUB TOTAL 2]],Table5[[#This Row],[SUB TOTAL 3]],Table5[[#This Row],[POM BONUS]])</f>
        <v>45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314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>
        <v>5</v>
      </c>
      <c r="CJ22" s="1">
        <v>7</v>
      </c>
      <c r="CK22" s="1">
        <v>0</v>
      </c>
      <c r="CL22" s="1">
        <v>0</v>
      </c>
      <c r="CM22" s="1">
        <f>IFERROR(_xlfn.NUMBERVALUE(SUBSTITUTE(Table5[[#This Row],[RUNS SCORED]],"*",""))/Table5[[#This Row],[BALLS FACED]]*100,0)</f>
        <v>71.428571428571431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2" s="1">
        <f>IF(Table5[[#This Row],[RUNS SCORED]]="", 0, VALUE(SUBSTITUTE(Table5[[#This Row],[RUNS SCORED]],"*","")) + Table5[[#This Row],[BONUS 1]])</f>
        <v>-5</v>
      </c>
      <c r="CP22" s="1">
        <v>0.3</v>
      </c>
      <c r="CQ22" s="1">
        <v>0</v>
      </c>
      <c r="CR22" s="1">
        <v>1</v>
      </c>
      <c r="CS22" s="1">
        <v>1</v>
      </c>
      <c r="CT22" s="1">
        <f>IFERROR(Table5[[#This Row],[RUNS GIVEN]]/Table5[[#This Row],[OVERS]],0)</f>
        <v>3.3333333333333335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50</v>
      </c>
      <c r="CW22" s="1">
        <v>2</v>
      </c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2" s="1">
        <f>IF(AND(Table5[[#This Row],[CATCHES TAKEN]]="",Table5[[#This Row],[RUNOUTS]]="",Table5[[#This Row],[STUMPINGS]]=""), 0, Table5[[#This Row],[BONUS 3]])</f>
        <v>50</v>
      </c>
      <c r="DB22" s="1"/>
      <c r="DC22" s="1">
        <f>SUM(Table5[[#This Row],[SUB TOTAL 1]],Table5[[#This Row],[SUB TOTAL 2]],Table5[[#This Row],[SUB TOTAL 3]],Table5[[#This Row],[POM BONUS]])</f>
        <v>95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384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>
        <v>7</v>
      </c>
      <c r="CJ23" s="1">
        <v>10</v>
      </c>
      <c r="CK23" s="1">
        <v>0</v>
      </c>
      <c r="CL23" s="1">
        <v>0</v>
      </c>
      <c r="CM23" s="1">
        <f>IFERROR(_xlfn.NUMBERVALUE(SUBSTITUTE(Table5[[#This Row],[RUNS SCORED]],"*",""))/Table5[[#This Row],[BALLS FACED]]*100,0)</f>
        <v>70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3" s="1">
        <f>IF(Table5[[#This Row],[RUNS SCORED]]="", 0, VALUE(SUBSTITUTE(Table5[[#This Row],[RUNS SCORED]],"*","")) + Table5[[#This Row],[BONUS 1]])</f>
        <v>-3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>
        <v>1</v>
      </c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3" s="1">
        <f>IF(AND(Table5[[#This Row],[CATCHES TAKEN]]="",Table5[[#This Row],[RUNOUTS]]="",Table5[[#This Row],[STUMPINGS]]=""), 0, Table5[[#This Row],[BONUS 3]])</f>
        <v>25</v>
      </c>
      <c r="DB23" s="1"/>
      <c r="DC23" s="1">
        <f>SUM(Table5[[#This Row],[SUB TOTAL 1]],Table5[[#This Row],[SUB TOTAL 2]],Table5[[#This Row],[SUB TOTAL 3]],Table5[[#This Row],[POM BONUS]])</f>
        <v>22</v>
      </c>
      <c r="DD23" s="1">
        <v>5</v>
      </c>
      <c r="DE23" s="1">
        <v>10</v>
      </c>
      <c r="DF23" s="1">
        <v>0</v>
      </c>
      <c r="DG23" s="1">
        <v>0</v>
      </c>
      <c r="DH23" s="1">
        <f>IFERROR(_xlfn.NUMBERVALUE(SUBSTITUTE(Table6[[#This Row],[RUNS SCORED]],"*",""))/Table6[[#This Row],[BALLS FACED]]*100,0)</f>
        <v>50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23" s="1">
        <f>IF(Table6[[#This Row],[RUNS SCORED]]="", 0, VALUE(SUBSTITUTE(Table6[[#This Row],[RUNS SCORED]],"*","")) + Table6[[#This Row],[BONUS 1]])</f>
        <v>-5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-5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300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>
        <v>4</v>
      </c>
      <c r="CQ24" s="1">
        <v>0</v>
      </c>
      <c r="CR24" s="1">
        <v>29</v>
      </c>
      <c r="CS24" s="1">
        <v>2</v>
      </c>
      <c r="CT24" s="1">
        <f>IFERROR(Table5[[#This Row],[RUNS GIVEN]]/Table5[[#This Row],[OVERS]],0)</f>
        <v>7.25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100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100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>
        <v>15</v>
      </c>
      <c r="CJ25" s="1">
        <v>13</v>
      </c>
      <c r="CK25" s="1">
        <v>2</v>
      </c>
      <c r="CL25" s="1">
        <v>0</v>
      </c>
      <c r="CM25" s="1">
        <f>IFERROR(_xlfn.NUMBERVALUE(SUBSTITUTE(Table5[[#This Row],[RUNS SCORED]],"*",""))/Table5[[#This Row],[BALLS FACED]]*100,0)</f>
        <v>115.38461538461537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15</v>
      </c>
      <c r="CP25" s="1">
        <v>4</v>
      </c>
      <c r="CQ25" s="1">
        <v>0</v>
      </c>
      <c r="CR25" s="1">
        <v>27</v>
      </c>
      <c r="CS25" s="1">
        <v>2</v>
      </c>
      <c r="CT25" s="1">
        <f>IFERROR(Table5[[#This Row],[RUNS GIVEN]]/Table5[[#This Row],[OVERS]],0)</f>
        <v>6.75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100</v>
      </c>
      <c r="CW25" s="1">
        <v>1</v>
      </c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5" s="1">
        <f>IF(AND(Table5[[#This Row],[CATCHES TAKEN]]="",Table5[[#This Row],[RUNOUTS]]="",Table5[[#This Row],[STUMPINGS]]=""), 0, Table5[[#This Row],[BONUS 3]])</f>
        <v>25</v>
      </c>
      <c r="DB25" s="1"/>
      <c r="DC25" s="1">
        <f>SUM(Table5[[#This Row],[SUB TOTAL 1]],Table5[[#This Row],[SUB TOTAL 2]],Table5[[#This Row],[SUB TOTAL 3]],Table5[[#This Row],[POM BONUS]])</f>
        <v>140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4</v>
      </c>
      <c r="C30" s="1">
        <v>4</v>
      </c>
    </row>
    <row r="31" spans="1:149" x14ac:dyDescent="0.3">
      <c r="A31" t="s">
        <v>6</v>
      </c>
      <c r="B31" s="1">
        <f>_xlfn.XLOOKUP(Table411[[#This Row],[NAME]],Table8[NAME],Table8[RANK],"NA")</f>
        <v>7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5</v>
      </c>
      <c r="C32" s="1">
        <v>5</v>
      </c>
    </row>
    <row r="33" spans="1:3" x14ac:dyDescent="0.3">
      <c r="A33" t="s">
        <v>8</v>
      </c>
      <c r="B33" s="1">
        <f>_xlfn.XLOOKUP(Table411[[#This Row],[NAME]],Table8[NAME],Table8[RANK],"NA")</f>
        <v>6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Z1" workbookViewId="0">
      <selection activeCell="AI8" sqref="AI8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72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  <c r="AG2">
        <v>188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  <c r="AG3">
        <v>198</v>
      </c>
      <c r="AH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  <c r="AI4">
        <v>178</v>
      </c>
      <c r="AJ4">
        <v>0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373.5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  <c r="AE6">
        <v>157</v>
      </c>
      <c r="AF6">
        <v>25</v>
      </c>
      <c r="AG6">
        <v>230</v>
      </c>
      <c r="AH6">
        <v>0</v>
      </c>
    </row>
    <row r="7" spans="1:40" x14ac:dyDescent="0.3">
      <c r="A7" t="s">
        <v>10</v>
      </c>
      <c r="B7">
        <f t="shared" si="0"/>
        <v>250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  <c r="AE7">
        <v>168</v>
      </c>
      <c r="AF7">
        <v>0</v>
      </c>
      <c r="AG7">
        <v>208</v>
      </c>
      <c r="AH7">
        <v>0</v>
      </c>
      <c r="AI7">
        <v>166</v>
      </c>
      <c r="AJ7">
        <v>25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  <c r="AE8">
        <v>172</v>
      </c>
      <c r="AF8">
        <v>0</v>
      </c>
      <c r="AG8">
        <v>200</v>
      </c>
      <c r="A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Z1" workbookViewId="0">
      <selection activeCell="AI4" sqref="AI4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165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  <c r="AG2" t="s">
        <v>31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147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  <c r="AG3" t="s">
        <v>31</v>
      </c>
      <c r="AH3">
        <v>25</v>
      </c>
    </row>
    <row r="4" spans="1:40" x14ac:dyDescent="0.3">
      <c r="A4" t="s">
        <v>7</v>
      </c>
      <c r="B4">
        <f t="shared" si="0"/>
        <v>75</v>
      </c>
      <c r="C4" t="s">
        <v>98</v>
      </c>
      <c r="D4">
        <v>25</v>
      </c>
      <c r="E4" t="s">
        <v>31</v>
      </c>
      <c r="F4">
        <v>25</v>
      </c>
      <c r="AI4" t="s">
        <v>104</v>
      </c>
      <c r="AJ4">
        <v>25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192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  <c r="AE6" t="s">
        <v>100</v>
      </c>
      <c r="AF6">
        <v>-10</v>
      </c>
      <c r="AG6" t="s">
        <v>31</v>
      </c>
      <c r="AH6">
        <v>25</v>
      </c>
    </row>
    <row r="7" spans="1:40" x14ac:dyDescent="0.3">
      <c r="A7" t="s">
        <v>10</v>
      </c>
      <c r="B7">
        <f t="shared" si="0"/>
        <v>310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  <c r="AE7" t="s">
        <v>100</v>
      </c>
      <c r="AF7">
        <v>-10</v>
      </c>
      <c r="AG7" t="s">
        <v>31</v>
      </c>
      <c r="AH7">
        <v>25</v>
      </c>
      <c r="AI7" t="s">
        <v>104</v>
      </c>
      <c r="AJ7">
        <v>25</v>
      </c>
    </row>
    <row r="8" spans="1:40" x14ac:dyDescent="0.3">
      <c r="A8" t="s">
        <v>11</v>
      </c>
      <c r="B8">
        <f t="shared" si="0"/>
        <v>205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  <c r="AE8" t="s">
        <v>100</v>
      </c>
      <c r="AF8">
        <v>-10</v>
      </c>
      <c r="AG8" t="s">
        <v>31</v>
      </c>
      <c r="AH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525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-5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63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200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175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63</v>
      </c>
      <c r="G10">
        <f>'DESCRIPTIVE PLAYER POINTS'!DX12</f>
        <v>81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113</v>
      </c>
      <c r="G11">
        <f>'DESCRIPTIVE PLAYER POINTS'!DX13</f>
        <v>350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46</v>
      </c>
      <c r="G12">
        <f>'DESCRIPTIVE PLAYER POINTS'!DX14</f>
        <v>71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-2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-5</v>
      </c>
      <c r="G16">
        <f>'DESCRIPTIVE PLAYER POINTS'!DX18</f>
        <v>19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250</v>
      </c>
      <c r="G17">
        <f>'DESCRIPTIVE PLAYER POINTS'!DX19</f>
        <v>469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79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45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95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22</v>
      </c>
      <c r="G21">
        <f>'DESCRIPTIVE PLAYER POINTS'!DX23</f>
        <v>-5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100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140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" sqref="E2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5</v>
      </c>
      <c r="F2">
        <f>_xlfn.XLOOKUP(A2,Table0[PLAYER NAME],Table0[POINTS TALLY],"")</f>
        <v>1348</v>
      </c>
      <c r="G2">
        <f>IFERROR(F2/E2,"")</f>
        <v>269.60000000000002</v>
      </c>
      <c r="H2">
        <f>MAX('MATCH-WISE PERFORMANCE'!B2:H2)</f>
        <v>525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5</v>
      </c>
      <c r="F3">
        <f>_xlfn.XLOOKUP(A3,Table0[PLAYER NAME],Table0[POINTS TALLY],"")</f>
        <v>10</v>
      </c>
      <c r="G3">
        <f t="shared" ref="G3:G23" si="0">IFERROR(F3/E3,"")</f>
        <v>2</v>
      </c>
      <c r="H3">
        <f>MAX('MATCH-WISE PERFORMANCE'!B3:H3)</f>
        <v>21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E4">
        <v>2</v>
      </c>
      <c r="F4">
        <f>_xlfn.XLOOKUP(A4,Table0[PLAYER NAME],Table0[POINTS TALLY],"")</f>
        <v>25</v>
      </c>
      <c r="G4">
        <f t="shared" si="0"/>
        <v>12.5</v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5</v>
      </c>
      <c r="F6">
        <f>_xlfn.XLOOKUP(A6,Table0[PLAYER NAME],Table0[POINTS TALLY],"")</f>
        <v>251</v>
      </c>
      <c r="G6">
        <f t="shared" si="0"/>
        <v>50.2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4</v>
      </c>
      <c r="F8">
        <f>_xlfn.XLOOKUP(A8,Table0[PLAYER NAME],Table0[POINTS TALLY],"")</f>
        <v>325</v>
      </c>
      <c r="G8">
        <f t="shared" si="0"/>
        <v>81.25</v>
      </c>
      <c r="H8">
        <f>MAX('MATCH-WISE PERFORMANCE'!B8:H8)</f>
        <v>200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5</v>
      </c>
      <c r="F9">
        <f>_xlfn.XLOOKUP(A9,Table0[PLAYER NAME],Table0[POINTS TALLY],"")</f>
        <v>362</v>
      </c>
      <c r="G9">
        <f t="shared" si="0"/>
        <v>72.400000000000006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6</v>
      </c>
      <c r="F10">
        <f>_xlfn.XLOOKUP(A10,Table0[PLAYER NAME],Table0[POINTS TALLY],"")</f>
        <v>262</v>
      </c>
      <c r="G10">
        <f t="shared" si="0"/>
        <v>43.666666666666664</v>
      </c>
      <c r="H10">
        <f>MAX('MATCH-WISE PERFORMANCE'!B10:H10)</f>
        <v>81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6</v>
      </c>
      <c r="F11">
        <f>_xlfn.XLOOKUP(A11,Table0[PLAYER NAME],Table0[POINTS TALLY],"")</f>
        <v>497</v>
      </c>
      <c r="G11">
        <f t="shared" si="0"/>
        <v>82.833333333333329</v>
      </c>
      <c r="H11">
        <f>MAX('MATCH-WISE PERFORMANCE'!B11:H11)</f>
        <v>350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6</v>
      </c>
      <c r="F12">
        <f>_xlfn.XLOOKUP(A12,Table0[PLAYER NAME],Table0[POINTS TALLY],"")</f>
        <v>767</v>
      </c>
      <c r="G12">
        <f t="shared" si="0"/>
        <v>127.83333333333333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5</v>
      </c>
      <c r="F14">
        <f>_xlfn.XLOOKUP(A14,Table0[PLAYER NAME],Table0[POINTS TALLY],"")</f>
        <v>459</v>
      </c>
      <c r="G14">
        <f t="shared" si="0"/>
        <v>91.8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6</v>
      </c>
      <c r="F16">
        <f>_xlfn.XLOOKUP(A16,Table0[PLAYER NAME],Table0[POINTS TALLY],"")</f>
        <v>119</v>
      </c>
      <c r="G16">
        <f t="shared" si="0"/>
        <v>19.833333333333332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6</v>
      </c>
      <c r="F17">
        <f>_xlfn.XLOOKUP(A17,Table0[PLAYER NAME],Table0[POINTS TALLY],"")</f>
        <v>1473</v>
      </c>
      <c r="G17">
        <f t="shared" si="0"/>
        <v>245.5</v>
      </c>
      <c r="H17">
        <f>MAX('MATCH-WISE PERFORMANCE'!B17:H17)</f>
        <v>469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5</v>
      </c>
      <c r="F18">
        <f>_xlfn.XLOOKUP(A18,Table0[PLAYER NAME],Table0[POINTS TALLY],"")</f>
        <v>251</v>
      </c>
      <c r="G18">
        <f t="shared" si="0"/>
        <v>50.2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5</v>
      </c>
      <c r="F19">
        <f>_xlfn.XLOOKUP(A19,Table0[PLAYER NAME],Table0[POINTS TALLY],"")</f>
        <v>264</v>
      </c>
      <c r="G19">
        <f t="shared" si="0"/>
        <v>52.8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5</v>
      </c>
      <c r="F20">
        <f>_xlfn.XLOOKUP(A20,Table0[PLAYER NAME],Table0[POINTS TALLY],"")</f>
        <v>360</v>
      </c>
      <c r="G20">
        <f t="shared" si="0"/>
        <v>72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6</v>
      </c>
      <c r="F21">
        <f>_xlfn.XLOOKUP(A21,Table0[PLAYER NAME],Table0[POINTS TALLY],"")</f>
        <v>384</v>
      </c>
      <c r="G21">
        <f t="shared" si="0"/>
        <v>64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4</v>
      </c>
      <c r="F22">
        <f>_xlfn.XLOOKUP(A22,Table0[PLAYER NAME],Table0[POINTS TALLY],"")</f>
        <v>300</v>
      </c>
      <c r="G22">
        <f t="shared" si="0"/>
        <v>75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5</v>
      </c>
      <c r="F23">
        <f>_xlfn.XLOOKUP(A23,Table0[PLAYER NAME],Table0[POINTS TALLY],"")</f>
        <v>502</v>
      </c>
      <c r="G23">
        <f t="shared" si="0"/>
        <v>100.4</v>
      </c>
      <c r="H23">
        <f>MAX('MATCH-WISE PERFORMANCE'!B23:H23)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2025-09-26T06:51:37Z</dcterms:modified>
  <cp:category/>
  <cp:contentStatus/>
</cp:coreProperties>
</file>