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uriy\Documents\BFL Dashboard\asia-cup-dashboard\public\"/>
    </mc:Choice>
  </mc:AlternateContent>
  <xr:revisionPtr revIDLastSave="0" documentId="8_{5D0EDA5B-BB4F-45AA-8497-5A4417CA7244}" xr6:coauthVersionLast="47" xr6:coauthVersionMax="47" xr10:uidLastSave="{00000000-0000-0000-0000-000000000000}"/>
  <bookViews>
    <workbookView xWindow="-108" yWindow="-108" windowWidth="23256" windowHeight="13896" tabRatio="736" activeTab="3" xr2:uid="{00000000-000D-0000-FFFF-FFFF00000000}"/>
  </bookViews>
  <sheets>
    <sheet name="TEAM PICK AND PREDICTIONS" sheetId="8" r:id="rId1"/>
    <sheet name="LEADERBOARD" sheetId="16" r:id="rId2"/>
    <sheet name="NEWS" sheetId="17" r:id="rId3"/>
    <sheet name="DESCRIPTIVE PLAYER POINTS" sheetId="10" r:id="rId4"/>
    <sheet name="TARGET PREDICTIONS" sheetId="15" r:id="rId5"/>
    <sheet name="WINNING TEAM PREDICTIONS" sheetId="14" r:id="rId6"/>
    <sheet name="MATCH-WISE PERFORMANCE" sheetId="13" r:id="rId7"/>
    <sheet name="SELECTED PLAYER STATS" sheetId="12" r:id="rId8"/>
    <sheet name="POINTS SYSTEM" sheetId="11" r:id="rId9"/>
    <sheet name="PLAYERS DATA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S4" i="10" l="1"/>
  <c r="ES5" i="10"/>
  <c r="ES6" i="10"/>
  <c r="ES7" i="10"/>
  <c r="ES8" i="10"/>
  <c r="ES9" i="10"/>
  <c r="ES10" i="10"/>
  <c r="ES11" i="10"/>
  <c r="ES12" i="10"/>
  <c r="ES13" i="10"/>
  <c r="ES14" i="10"/>
  <c r="ES15" i="10"/>
  <c r="ES16" i="10"/>
  <c r="ES17" i="10"/>
  <c r="ES18" i="10"/>
  <c r="ES19" i="10"/>
  <c r="ES20" i="10"/>
  <c r="ES21" i="10"/>
  <c r="ES22" i="10"/>
  <c r="ES23" i="10"/>
  <c r="ES24" i="10"/>
  <c r="ES25" i="10"/>
  <c r="DX4" i="10"/>
  <c r="DX5" i="10"/>
  <c r="DX6" i="10"/>
  <c r="DX7" i="10"/>
  <c r="DX8" i="10"/>
  <c r="DX9" i="10"/>
  <c r="DX10" i="10"/>
  <c r="DX11" i="10"/>
  <c r="DX12" i="10"/>
  <c r="DX13" i="10"/>
  <c r="DX14" i="10"/>
  <c r="DX15" i="10"/>
  <c r="DX16" i="10"/>
  <c r="DX17" i="10"/>
  <c r="DX18" i="10"/>
  <c r="DX19" i="10"/>
  <c r="DX20" i="10"/>
  <c r="DX21" i="10"/>
  <c r="DX22" i="10"/>
  <c r="DX23" i="10"/>
  <c r="DX24" i="10"/>
  <c r="DX25" i="10"/>
  <c r="DC4" i="10"/>
  <c r="DC5" i="10"/>
  <c r="DC6" i="10"/>
  <c r="DC7" i="10"/>
  <c r="DC8" i="10"/>
  <c r="DC9" i="10"/>
  <c r="DC10" i="10"/>
  <c r="DC11" i="10"/>
  <c r="DC12" i="10"/>
  <c r="DC13" i="10"/>
  <c r="DC14" i="10"/>
  <c r="DC15" i="10"/>
  <c r="DC16" i="10"/>
  <c r="DC17" i="10"/>
  <c r="DC18" i="10"/>
  <c r="DC19" i="10"/>
  <c r="DC20" i="10"/>
  <c r="DC21" i="10"/>
  <c r="DC22" i="10"/>
  <c r="DC23" i="10"/>
  <c r="DC24" i="10"/>
  <c r="DC25" i="10"/>
  <c r="CH7" i="10"/>
  <c r="CH9" i="10"/>
  <c r="CH12" i="10"/>
  <c r="CH15" i="10"/>
  <c r="CH17" i="10"/>
  <c r="BM10" i="10"/>
  <c r="BM21" i="10"/>
  <c r="BM24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AR4" i="10"/>
  <c r="AR5" i="10"/>
  <c r="AR6" i="10"/>
  <c r="AR8" i="10"/>
  <c r="AR10" i="10"/>
  <c r="AR11" i="10"/>
  <c r="AR12" i="10"/>
  <c r="AR13" i="10"/>
  <c r="AR14" i="10"/>
  <c r="AR16" i="10"/>
  <c r="AR17" i="10"/>
  <c r="AR18" i="10"/>
  <c r="AR19" i="10"/>
  <c r="AR20" i="10"/>
  <c r="AR21" i="10"/>
  <c r="AR22" i="10"/>
  <c r="AR23" i="10"/>
  <c r="AR24" i="10"/>
  <c r="AR25" i="10"/>
  <c r="H7" i="13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D2" i="12"/>
  <c r="B2" i="12"/>
  <c r="C2" i="12"/>
  <c r="B3" i="15" l="1"/>
  <c r="L7" i="16" s="1"/>
  <c r="B4" i="15"/>
  <c r="L5" i="16" s="1"/>
  <c r="B5" i="15"/>
  <c r="L8" i="16" s="1"/>
  <c r="B6" i="15"/>
  <c r="L3" i="16" s="1"/>
  <c r="B7" i="15"/>
  <c r="L2" i="16" s="1"/>
  <c r="B8" i="15"/>
  <c r="L4" i="16" s="1"/>
  <c r="B2" i="15"/>
  <c r="L6" i="16" s="1"/>
  <c r="B3" i="14"/>
  <c r="K7" i="16" s="1"/>
  <c r="B4" i="14"/>
  <c r="K5" i="16" s="1"/>
  <c r="B5" i="14"/>
  <c r="K8" i="16" s="1"/>
  <c r="B6" i="14"/>
  <c r="K3" i="16" s="1"/>
  <c r="B7" i="14"/>
  <c r="K2" i="16" s="1"/>
  <c r="B8" i="14"/>
  <c r="K4" i="16" s="1"/>
  <c r="B2" i="14"/>
  <c r="K6" i="16" s="1"/>
  <c r="H3" i="13"/>
  <c r="H4" i="13"/>
  <c r="H5" i="13"/>
  <c r="H6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E5" i="13"/>
  <c r="E7" i="13"/>
  <c r="E10" i="13"/>
  <c r="E13" i="13"/>
  <c r="E15" i="13"/>
  <c r="D8" i="13"/>
  <c r="D19" i="13"/>
  <c r="D22" i="13"/>
  <c r="C4" i="13"/>
  <c r="C15" i="13"/>
  <c r="H2" i="13"/>
  <c r="G2" i="13"/>
  <c r="F2" i="13"/>
  <c r="B4" i="13"/>
  <c r="B9" i="13"/>
  <c r="B15" i="13"/>
  <c r="B20" i="13"/>
  <c r="EQ4" i="10"/>
  <c r="EQ5" i="10"/>
  <c r="EQ6" i="10"/>
  <c r="EQ7" i="10"/>
  <c r="EQ8" i="10"/>
  <c r="EQ9" i="10"/>
  <c r="EQ10" i="10"/>
  <c r="EQ11" i="10"/>
  <c r="EQ12" i="10"/>
  <c r="EQ13" i="10"/>
  <c r="EQ14" i="10"/>
  <c r="EQ15" i="10"/>
  <c r="EQ16" i="10"/>
  <c r="EQ17" i="10"/>
  <c r="EQ18" i="10"/>
  <c r="EQ19" i="10"/>
  <c r="EQ20" i="10"/>
  <c r="EQ21" i="10"/>
  <c r="EQ22" i="10"/>
  <c r="EQ23" i="10"/>
  <c r="EQ24" i="10"/>
  <c r="EQ25" i="10"/>
  <c r="EP4" i="10"/>
  <c r="EP5" i="10"/>
  <c r="EP6" i="10"/>
  <c r="EP7" i="10"/>
  <c r="EP8" i="10"/>
  <c r="EP9" i="10"/>
  <c r="EP10" i="10"/>
  <c r="EP11" i="10"/>
  <c r="EP12" i="10"/>
  <c r="EP13" i="10"/>
  <c r="EP14" i="10"/>
  <c r="EP15" i="10"/>
  <c r="EP16" i="10"/>
  <c r="EP17" i="10"/>
  <c r="EP18" i="10"/>
  <c r="EP19" i="10"/>
  <c r="EP20" i="10"/>
  <c r="EP21" i="10"/>
  <c r="EP22" i="10"/>
  <c r="EP23" i="10"/>
  <c r="EP24" i="10"/>
  <c r="EP25" i="10"/>
  <c r="EL4" i="10"/>
  <c r="EL5" i="10"/>
  <c r="EL6" i="10"/>
  <c r="EL7" i="10"/>
  <c r="EL8" i="10"/>
  <c r="EL9" i="10"/>
  <c r="EL10" i="10"/>
  <c r="EL11" i="10"/>
  <c r="EL12" i="10"/>
  <c r="EL13" i="10"/>
  <c r="EL14" i="10"/>
  <c r="EL15" i="10"/>
  <c r="EL16" i="10"/>
  <c r="EL17" i="10"/>
  <c r="EL18" i="10"/>
  <c r="EL19" i="10"/>
  <c r="EL20" i="10"/>
  <c r="EL21" i="10"/>
  <c r="EL22" i="10"/>
  <c r="EL23" i="10"/>
  <c r="EL24" i="10"/>
  <c r="EL25" i="10"/>
  <c r="EK4" i="10"/>
  <c r="EK5" i="10"/>
  <c r="EK6" i="10"/>
  <c r="EK7" i="10"/>
  <c r="EK8" i="10"/>
  <c r="EK9" i="10"/>
  <c r="EK10" i="10"/>
  <c r="EK11" i="10"/>
  <c r="EK12" i="10"/>
  <c r="EK13" i="10"/>
  <c r="EK14" i="10"/>
  <c r="EK15" i="10"/>
  <c r="EK16" i="10"/>
  <c r="EK17" i="10"/>
  <c r="EK18" i="10"/>
  <c r="EK19" i="10"/>
  <c r="EK20" i="10"/>
  <c r="EK21" i="10"/>
  <c r="EK22" i="10"/>
  <c r="EK23" i="10"/>
  <c r="EK24" i="10"/>
  <c r="EK25" i="10"/>
  <c r="EJ4" i="10"/>
  <c r="EJ5" i="10"/>
  <c r="EJ6" i="10"/>
  <c r="EJ7" i="10"/>
  <c r="EJ8" i="10"/>
  <c r="EJ9" i="10"/>
  <c r="EJ10" i="10"/>
  <c r="EJ11" i="10"/>
  <c r="EJ12" i="10"/>
  <c r="EJ13" i="10"/>
  <c r="EJ14" i="10"/>
  <c r="EJ15" i="10"/>
  <c r="EJ16" i="10"/>
  <c r="EJ17" i="10"/>
  <c r="EJ18" i="10"/>
  <c r="EJ19" i="10"/>
  <c r="EJ20" i="10"/>
  <c r="EJ21" i="10"/>
  <c r="EJ22" i="10"/>
  <c r="EJ23" i="10"/>
  <c r="EJ24" i="10"/>
  <c r="EJ25" i="10"/>
  <c r="EE4" i="10"/>
  <c r="EE5" i="10"/>
  <c r="EE6" i="10"/>
  <c r="EE7" i="10"/>
  <c r="EE8" i="10"/>
  <c r="EE9" i="10"/>
  <c r="EE10" i="10"/>
  <c r="EE11" i="10"/>
  <c r="EE12" i="10"/>
  <c r="EE13" i="10"/>
  <c r="EE14" i="10"/>
  <c r="EE15" i="10"/>
  <c r="EE16" i="10"/>
  <c r="EE17" i="10"/>
  <c r="EE18" i="10"/>
  <c r="EE19" i="10"/>
  <c r="EE20" i="10"/>
  <c r="EE21" i="10"/>
  <c r="EE22" i="10"/>
  <c r="EE23" i="10"/>
  <c r="EE24" i="10"/>
  <c r="EE25" i="10"/>
  <c r="ED4" i="10"/>
  <c r="ED5" i="10"/>
  <c r="ED6" i="10"/>
  <c r="ED7" i="10"/>
  <c r="ED8" i="10"/>
  <c r="ED9" i="10"/>
  <c r="ED10" i="10"/>
  <c r="ED11" i="10"/>
  <c r="ED12" i="10"/>
  <c r="ED13" i="10"/>
  <c r="ED14" i="10"/>
  <c r="ED15" i="10"/>
  <c r="ED16" i="10"/>
  <c r="ED17" i="10"/>
  <c r="ED18" i="10"/>
  <c r="ED19" i="10"/>
  <c r="ED20" i="10"/>
  <c r="ED21" i="10"/>
  <c r="ED22" i="10"/>
  <c r="ED23" i="10"/>
  <c r="ED24" i="10"/>
  <c r="ED25" i="10"/>
  <c r="EC4" i="10"/>
  <c r="EC5" i="10"/>
  <c r="EC6" i="10"/>
  <c r="EC7" i="10"/>
  <c r="EC8" i="10"/>
  <c r="EC9" i="10"/>
  <c r="EC10" i="10"/>
  <c r="EC11" i="10"/>
  <c r="EC12" i="10"/>
  <c r="EC13" i="10"/>
  <c r="EC14" i="10"/>
  <c r="EC15" i="10"/>
  <c r="EC16" i="10"/>
  <c r="EC17" i="10"/>
  <c r="EC18" i="10"/>
  <c r="EC19" i="10"/>
  <c r="EC20" i="10"/>
  <c r="EC21" i="10"/>
  <c r="EC22" i="10"/>
  <c r="EC23" i="10"/>
  <c r="EC24" i="10"/>
  <c r="EC25" i="10"/>
  <c r="DV4" i="10"/>
  <c r="DV5" i="10"/>
  <c r="DV6" i="10"/>
  <c r="DV7" i="10"/>
  <c r="DV8" i="10"/>
  <c r="DV9" i="10"/>
  <c r="DV10" i="10"/>
  <c r="DV11" i="10"/>
  <c r="DV12" i="10"/>
  <c r="DV13" i="10"/>
  <c r="DV14" i="10"/>
  <c r="DV15" i="10"/>
  <c r="DV16" i="10"/>
  <c r="DV17" i="10"/>
  <c r="DV18" i="10"/>
  <c r="DV19" i="10"/>
  <c r="DV20" i="10"/>
  <c r="DV21" i="10"/>
  <c r="DV22" i="10"/>
  <c r="DV23" i="10"/>
  <c r="DV24" i="10"/>
  <c r="DV25" i="10"/>
  <c r="DU4" i="10"/>
  <c r="DU5" i="10"/>
  <c r="DU6" i="10"/>
  <c r="DU7" i="10"/>
  <c r="DU8" i="10"/>
  <c r="DU9" i="10"/>
  <c r="DU10" i="10"/>
  <c r="DU11" i="10"/>
  <c r="DU12" i="10"/>
  <c r="DU13" i="10"/>
  <c r="DU14" i="10"/>
  <c r="DU15" i="10"/>
  <c r="DU16" i="10"/>
  <c r="DU17" i="10"/>
  <c r="DU18" i="10"/>
  <c r="DU19" i="10"/>
  <c r="DU20" i="10"/>
  <c r="DU21" i="10"/>
  <c r="DU22" i="10"/>
  <c r="DU23" i="10"/>
  <c r="DU24" i="10"/>
  <c r="DU25" i="10"/>
  <c r="DQ4" i="10"/>
  <c r="DQ5" i="10"/>
  <c r="DQ6" i="10"/>
  <c r="DQ7" i="10"/>
  <c r="DQ8" i="10"/>
  <c r="DQ9" i="10"/>
  <c r="DQ10" i="10"/>
  <c r="DQ11" i="10"/>
  <c r="DQ12" i="10"/>
  <c r="DQ13" i="10"/>
  <c r="DQ14" i="10"/>
  <c r="DQ15" i="10"/>
  <c r="DQ16" i="10"/>
  <c r="DQ17" i="10"/>
  <c r="DQ18" i="10"/>
  <c r="DQ19" i="10"/>
  <c r="DQ20" i="10"/>
  <c r="DQ21" i="10"/>
  <c r="DQ22" i="10"/>
  <c r="DQ23" i="10"/>
  <c r="DQ24" i="10"/>
  <c r="DQ25" i="10"/>
  <c r="DP4" i="10"/>
  <c r="DP5" i="10"/>
  <c r="DP6" i="10"/>
  <c r="DP7" i="10"/>
  <c r="DP8" i="10"/>
  <c r="DP9" i="10"/>
  <c r="DP10" i="10"/>
  <c r="DP11" i="10"/>
  <c r="DP12" i="10"/>
  <c r="DP13" i="10"/>
  <c r="DP14" i="10"/>
  <c r="DP15" i="10"/>
  <c r="DP16" i="10"/>
  <c r="DP17" i="10"/>
  <c r="DP18" i="10"/>
  <c r="DP19" i="10"/>
  <c r="DP20" i="10"/>
  <c r="DP21" i="10"/>
  <c r="DP22" i="10"/>
  <c r="DP23" i="10"/>
  <c r="DP24" i="10"/>
  <c r="DP25" i="10"/>
  <c r="DO4" i="10"/>
  <c r="DO5" i="10"/>
  <c r="DO6" i="10"/>
  <c r="DO7" i="10"/>
  <c r="DO8" i="10"/>
  <c r="DO9" i="10"/>
  <c r="DO10" i="10"/>
  <c r="DO11" i="10"/>
  <c r="DO12" i="10"/>
  <c r="DO13" i="10"/>
  <c r="DO14" i="10"/>
  <c r="DO15" i="10"/>
  <c r="DO16" i="10"/>
  <c r="DO17" i="10"/>
  <c r="DO18" i="10"/>
  <c r="DO19" i="10"/>
  <c r="DO20" i="10"/>
  <c r="DO21" i="10"/>
  <c r="DO22" i="10"/>
  <c r="DO23" i="10"/>
  <c r="DO24" i="10"/>
  <c r="DO25" i="10"/>
  <c r="DJ4" i="10"/>
  <c r="DJ5" i="10"/>
  <c r="DJ6" i="10"/>
  <c r="DJ7" i="10"/>
  <c r="DJ8" i="10"/>
  <c r="DJ9" i="10"/>
  <c r="DJ10" i="10"/>
  <c r="DJ11" i="10"/>
  <c r="DJ12" i="10"/>
  <c r="DJ13" i="10"/>
  <c r="DJ14" i="10"/>
  <c r="DJ15" i="10"/>
  <c r="DJ16" i="10"/>
  <c r="DJ17" i="10"/>
  <c r="DJ18" i="10"/>
  <c r="DJ19" i="10"/>
  <c r="DJ20" i="10"/>
  <c r="DJ21" i="10"/>
  <c r="DJ22" i="10"/>
  <c r="DJ23" i="10"/>
  <c r="DJ24" i="10"/>
  <c r="DJ25" i="10"/>
  <c r="DI4" i="10"/>
  <c r="DI5" i="10"/>
  <c r="DI6" i="10"/>
  <c r="DI7" i="10"/>
  <c r="DI8" i="10"/>
  <c r="DI9" i="10"/>
  <c r="DI10" i="10"/>
  <c r="DI11" i="10"/>
  <c r="DI12" i="10"/>
  <c r="DI13" i="10"/>
  <c r="DI14" i="10"/>
  <c r="DI15" i="10"/>
  <c r="DI16" i="10"/>
  <c r="DI17" i="10"/>
  <c r="DI18" i="10"/>
  <c r="DI19" i="10"/>
  <c r="DI20" i="10"/>
  <c r="DI21" i="10"/>
  <c r="DI22" i="10"/>
  <c r="DI23" i="10"/>
  <c r="DI24" i="10"/>
  <c r="DI25" i="10"/>
  <c r="DH4" i="10"/>
  <c r="DH5" i="10"/>
  <c r="DH6" i="10"/>
  <c r="DH7" i="10"/>
  <c r="DH8" i="10"/>
  <c r="DH9" i="10"/>
  <c r="DH10" i="10"/>
  <c r="DH11" i="10"/>
  <c r="DH12" i="10"/>
  <c r="DH13" i="10"/>
  <c r="DH14" i="10"/>
  <c r="DH15" i="10"/>
  <c r="DH16" i="10"/>
  <c r="DH17" i="10"/>
  <c r="DH18" i="10"/>
  <c r="DH19" i="10"/>
  <c r="DH20" i="10"/>
  <c r="DH21" i="10"/>
  <c r="DH22" i="10"/>
  <c r="DH23" i="10"/>
  <c r="DH24" i="10"/>
  <c r="DH25" i="10"/>
  <c r="DA4" i="10"/>
  <c r="DA5" i="10"/>
  <c r="DA6" i="10"/>
  <c r="DA7" i="10"/>
  <c r="DA8" i="10"/>
  <c r="DA9" i="10"/>
  <c r="DA10" i="10"/>
  <c r="DA11" i="10"/>
  <c r="DA12" i="10"/>
  <c r="DA13" i="10"/>
  <c r="DA14" i="10"/>
  <c r="DA15" i="10"/>
  <c r="DA16" i="10"/>
  <c r="DA17" i="10"/>
  <c r="DA18" i="10"/>
  <c r="DA19" i="10"/>
  <c r="DA20" i="10"/>
  <c r="DA21" i="10"/>
  <c r="DA22" i="10"/>
  <c r="DA23" i="10"/>
  <c r="DA24" i="10"/>
  <c r="DA25" i="10"/>
  <c r="CZ4" i="10"/>
  <c r="CZ5" i="10"/>
  <c r="CZ6" i="10"/>
  <c r="CZ7" i="10"/>
  <c r="CZ8" i="10"/>
  <c r="CZ9" i="10"/>
  <c r="CZ10" i="10"/>
  <c r="CZ11" i="10"/>
  <c r="CZ12" i="10"/>
  <c r="CZ13" i="10"/>
  <c r="CZ14" i="10"/>
  <c r="CZ15" i="10"/>
  <c r="CZ16" i="10"/>
  <c r="CZ17" i="10"/>
  <c r="CZ18" i="10"/>
  <c r="CZ19" i="10"/>
  <c r="CZ20" i="10"/>
  <c r="CZ21" i="10"/>
  <c r="CZ22" i="10"/>
  <c r="CZ23" i="10"/>
  <c r="CZ24" i="10"/>
  <c r="CZ25" i="10"/>
  <c r="CV4" i="10"/>
  <c r="CV5" i="10"/>
  <c r="CV6" i="10"/>
  <c r="CV7" i="10"/>
  <c r="CV8" i="10"/>
  <c r="CV9" i="10"/>
  <c r="CV10" i="10"/>
  <c r="CV11" i="10"/>
  <c r="CV12" i="10"/>
  <c r="CV13" i="10"/>
  <c r="CV14" i="10"/>
  <c r="CV15" i="10"/>
  <c r="CV16" i="10"/>
  <c r="CV17" i="10"/>
  <c r="CV18" i="10"/>
  <c r="CV19" i="10"/>
  <c r="CV20" i="10"/>
  <c r="CV21" i="10"/>
  <c r="CV22" i="10"/>
  <c r="CV23" i="10"/>
  <c r="CV24" i="10"/>
  <c r="CV25" i="10"/>
  <c r="CU4" i="10"/>
  <c r="CU5" i="10"/>
  <c r="CU6" i="10"/>
  <c r="CU7" i="10"/>
  <c r="CU8" i="10"/>
  <c r="CU9" i="10"/>
  <c r="CU10" i="10"/>
  <c r="CU11" i="10"/>
  <c r="CU12" i="10"/>
  <c r="CU13" i="10"/>
  <c r="CU14" i="10"/>
  <c r="CU15" i="10"/>
  <c r="CU16" i="10"/>
  <c r="CU17" i="10"/>
  <c r="CU18" i="10"/>
  <c r="CU19" i="10"/>
  <c r="CU20" i="10"/>
  <c r="CU21" i="10"/>
  <c r="CU22" i="10"/>
  <c r="CU23" i="10"/>
  <c r="CU24" i="10"/>
  <c r="CU25" i="10"/>
  <c r="CT4" i="10"/>
  <c r="CT5" i="10"/>
  <c r="CT6" i="10"/>
  <c r="CT7" i="10"/>
  <c r="CT8" i="10"/>
  <c r="CT9" i="10"/>
  <c r="CT10" i="10"/>
  <c r="CT11" i="10"/>
  <c r="CT12" i="10"/>
  <c r="CT13" i="10"/>
  <c r="CT14" i="10"/>
  <c r="CT15" i="10"/>
  <c r="CT16" i="10"/>
  <c r="CT17" i="10"/>
  <c r="CT18" i="10"/>
  <c r="CT19" i="10"/>
  <c r="CT20" i="10"/>
  <c r="CT21" i="10"/>
  <c r="CT22" i="10"/>
  <c r="CT23" i="10"/>
  <c r="CT24" i="10"/>
  <c r="CT25" i="10"/>
  <c r="CO4" i="10"/>
  <c r="CO5" i="10"/>
  <c r="CO6" i="10"/>
  <c r="CO7" i="10"/>
  <c r="CO8" i="10"/>
  <c r="CO9" i="10"/>
  <c r="CO10" i="10"/>
  <c r="CO11" i="10"/>
  <c r="CO12" i="10"/>
  <c r="CO13" i="10"/>
  <c r="CO14" i="10"/>
  <c r="CO15" i="10"/>
  <c r="CO16" i="10"/>
  <c r="CO17" i="10"/>
  <c r="CO18" i="10"/>
  <c r="CO19" i="10"/>
  <c r="CO20" i="10"/>
  <c r="CO21" i="10"/>
  <c r="CO22" i="10"/>
  <c r="CO23" i="10"/>
  <c r="CO24" i="10"/>
  <c r="CO25" i="10"/>
  <c r="CN4" i="10"/>
  <c r="CN5" i="10"/>
  <c r="CN6" i="10"/>
  <c r="CN7" i="10"/>
  <c r="CN8" i="10"/>
  <c r="CN9" i="10"/>
  <c r="CN10" i="10"/>
  <c r="CN11" i="10"/>
  <c r="CN12" i="10"/>
  <c r="CN13" i="10"/>
  <c r="CN14" i="10"/>
  <c r="CN15" i="10"/>
  <c r="CN16" i="10"/>
  <c r="CN17" i="10"/>
  <c r="CN18" i="10"/>
  <c r="CN19" i="10"/>
  <c r="CN20" i="10"/>
  <c r="CN21" i="10"/>
  <c r="CN22" i="10"/>
  <c r="CN23" i="10"/>
  <c r="CN24" i="10"/>
  <c r="CN25" i="10"/>
  <c r="CM4" i="10"/>
  <c r="CM5" i="10"/>
  <c r="CM6" i="10"/>
  <c r="CM7" i="10"/>
  <c r="CM8" i="10"/>
  <c r="CM9" i="10"/>
  <c r="CM10" i="10"/>
  <c r="CM11" i="10"/>
  <c r="CM12" i="10"/>
  <c r="CM13" i="10"/>
  <c r="CM14" i="10"/>
  <c r="CM15" i="10"/>
  <c r="CM16" i="10"/>
  <c r="CM17" i="10"/>
  <c r="CM18" i="10"/>
  <c r="CM19" i="10"/>
  <c r="CM20" i="10"/>
  <c r="CM21" i="10"/>
  <c r="CM22" i="10"/>
  <c r="CM23" i="10"/>
  <c r="CM24" i="10"/>
  <c r="CM25" i="10"/>
  <c r="CF5" i="10"/>
  <c r="CF6" i="10"/>
  <c r="CF7" i="10"/>
  <c r="CF8" i="10"/>
  <c r="CF9" i="10"/>
  <c r="CF10" i="10"/>
  <c r="CF11" i="10"/>
  <c r="CF12" i="10"/>
  <c r="CF13" i="10"/>
  <c r="CF14" i="10"/>
  <c r="CF15" i="10"/>
  <c r="CF17" i="10"/>
  <c r="CF18" i="10"/>
  <c r="CF19" i="10"/>
  <c r="CF20" i="10"/>
  <c r="CF22" i="10"/>
  <c r="CF25" i="10"/>
  <c r="CE4" i="10"/>
  <c r="CF4" i="10" s="1"/>
  <c r="CE5" i="10"/>
  <c r="CE6" i="10"/>
  <c r="CE7" i="10"/>
  <c r="CE8" i="10"/>
  <c r="CE9" i="10"/>
  <c r="CE10" i="10"/>
  <c r="CE11" i="10"/>
  <c r="CE12" i="10"/>
  <c r="CE13" i="10"/>
  <c r="CE14" i="10"/>
  <c r="CE15" i="10"/>
  <c r="CE16" i="10"/>
  <c r="CF16" i="10" s="1"/>
  <c r="CE17" i="10"/>
  <c r="CE18" i="10"/>
  <c r="CE19" i="10"/>
  <c r="CE20" i="10"/>
  <c r="CE21" i="10"/>
  <c r="CF21" i="10" s="1"/>
  <c r="CE22" i="10"/>
  <c r="CE23" i="10"/>
  <c r="CF23" i="10" s="1"/>
  <c r="CE24" i="10"/>
  <c r="CF24" i="10" s="1"/>
  <c r="CE25" i="10"/>
  <c r="CA4" i="10"/>
  <c r="CA5" i="10"/>
  <c r="CA6" i="10"/>
  <c r="CA7" i="10"/>
  <c r="CA8" i="10"/>
  <c r="CA9" i="10"/>
  <c r="CA11" i="10"/>
  <c r="CA12" i="10"/>
  <c r="CA13" i="10"/>
  <c r="CA15" i="10"/>
  <c r="CA16" i="10"/>
  <c r="CA17" i="10"/>
  <c r="CA18" i="10"/>
  <c r="CA20" i="10"/>
  <c r="CA21" i="10"/>
  <c r="CA22" i="10"/>
  <c r="CA23" i="10"/>
  <c r="CA24" i="10"/>
  <c r="CA25" i="10"/>
  <c r="BZ4" i="10"/>
  <c r="BZ5" i="10"/>
  <c r="BZ7" i="10"/>
  <c r="BZ8" i="10"/>
  <c r="BZ9" i="10"/>
  <c r="BZ10" i="10"/>
  <c r="CA10" i="10" s="1"/>
  <c r="CH10" i="10" s="1"/>
  <c r="E8" i="13" s="1"/>
  <c r="BZ12" i="10"/>
  <c r="BZ13" i="10"/>
  <c r="BZ15" i="10"/>
  <c r="BZ16" i="10"/>
  <c r="BZ17" i="10"/>
  <c r="BZ18" i="10"/>
  <c r="BZ20" i="10"/>
  <c r="BZ21" i="10"/>
  <c r="BZ22" i="10"/>
  <c r="BZ23" i="10"/>
  <c r="BZ25" i="10"/>
  <c r="BY4" i="10"/>
  <c r="BY5" i="10"/>
  <c r="BY6" i="10"/>
  <c r="BZ6" i="10" s="1"/>
  <c r="BY7" i="10"/>
  <c r="BY8" i="10"/>
  <c r="BY9" i="10"/>
  <c r="BY10" i="10"/>
  <c r="BY11" i="10"/>
  <c r="BZ11" i="10" s="1"/>
  <c r="BY12" i="10"/>
  <c r="BY13" i="10"/>
  <c r="BY14" i="10"/>
  <c r="BZ14" i="10" s="1"/>
  <c r="CA14" i="10" s="1"/>
  <c r="CH14" i="10" s="1"/>
  <c r="E12" i="13" s="1"/>
  <c r="BY15" i="10"/>
  <c r="BY16" i="10"/>
  <c r="BY17" i="10"/>
  <c r="BY18" i="10"/>
  <c r="BY19" i="10"/>
  <c r="BZ19" i="10" s="1"/>
  <c r="CA19" i="10" s="1"/>
  <c r="CH19" i="10" s="1"/>
  <c r="E17" i="13" s="1"/>
  <c r="BY20" i="10"/>
  <c r="BY21" i="10"/>
  <c r="BY22" i="10"/>
  <c r="BY23" i="10"/>
  <c r="BY24" i="10"/>
  <c r="BZ24" i="10" s="1"/>
  <c r="BY25" i="10"/>
  <c r="BT6" i="10"/>
  <c r="BT7" i="10"/>
  <c r="BT9" i="10"/>
  <c r="BT10" i="10"/>
  <c r="BT12" i="10"/>
  <c r="BT14" i="10"/>
  <c r="BT15" i="10"/>
  <c r="BT17" i="10"/>
  <c r="BT19" i="10"/>
  <c r="BT24" i="10"/>
  <c r="BS6" i="10"/>
  <c r="BS7" i="10"/>
  <c r="BS9" i="10"/>
  <c r="BS10" i="10"/>
  <c r="BS11" i="10"/>
  <c r="BT11" i="10" s="1"/>
  <c r="BS12" i="10"/>
  <c r="BS14" i="10"/>
  <c r="BS15" i="10"/>
  <c r="BS16" i="10"/>
  <c r="BT16" i="10" s="1"/>
  <c r="BS17" i="10"/>
  <c r="BS19" i="10"/>
  <c r="BS20" i="10"/>
  <c r="BT20" i="10" s="1"/>
  <c r="CH20" i="10" s="1"/>
  <c r="E18" i="13" s="1"/>
  <c r="BS21" i="10"/>
  <c r="BT21" i="10" s="1"/>
  <c r="BS22" i="10"/>
  <c r="BT22" i="10" s="1"/>
  <c r="CH22" i="10" s="1"/>
  <c r="E20" i="13" s="1"/>
  <c r="BS24" i="10"/>
  <c r="BS25" i="10"/>
  <c r="BT25" i="10" s="1"/>
  <c r="BR4" i="10"/>
  <c r="BS4" i="10" s="1"/>
  <c r="BT4" i="10" s="1"/>
  <c r="BR5" i="10"/>
  <c r="BS5" i="10" s="1"/>
  <c r="BT5" i="10" s="1"/>
  <c r="CH5" i="10" s="1"/>
  <c r="E3" i="13" s="1"/>
  <c r="BR6" i="10"/>
  <c r="BR7" i="10"/>
  <c r="BR8" i="10"/>
  <c r="BS8" i="10" s="1"/>
  <c r="BT8" i="10" s="1"/>
  <c r="BR9" i="10"/>
  <c r="BR10" i="10"/>
  <c r="BR11" i="10"/>
  <c r="BR12" i="10"/>
  <c r="BR13" i="10"/>
  <c r="BS13" i="10" s="1"/>
  <c r="BT13" i="10" s="1"/>
  <c r="CH13" i="10" s="1"/>
  <c r="E11" i="13" s="1"/>
  <c r="BR14" i="10"/>
  <c r="BR15" i="10"/>
  <c r="BR16" i="10"/>
  <c r="BR17" i="10"/>
  <c r="BR18" i="10"/>
  <c r="BS18" i="10" s="1"/>
  <c r="BR19" i="10"/>
  <c r="BR20" i="10"/>
  <c r="BR21" i="10"/>
  <c r="BR22" i="10"/>
  <c r="BR23" i="10"/>
  <c r="BS23" i="10" s="1"/>
  <c r="BT23" i="10" s="1"/>
  <c r="BR24" i="10"/>
  <c r="BR25" i="10"/>
  <c r="BK4" i="10"/>
  <c r="BK5" i="10"/>
  <c r="BK6" i="10"/>
  <c r="BK7" i="10"/>
  <c r="BK9" i="10"/>
  <c r="BK10" i="10"/>
  <c r="BK11" i="10"/>
  <c r="BK12" i="10"/>
  <c r="BK13" i="10"/>
  <c r="BK14" i="10"/>
  <c r="BK15" i="10"/>
  <c r="BK16" i="10"/>
  <c r="BK18" i="10"/>
  <c r="BK19" i="10"/>
  <c r="BK20" i="10"/>
  <c r="BK21" i="10"/>
  <c r="BK22" i="10"/>
  <c r="BK23" i="10"/>
  <c r="BK24" i="10"/>
  <c r="BK25" i="10"/>
  <c r="BJ4" i="10"/>
  <c r="BJ5" i="10"/>
  <c r="BJ6" i="10"/>
  <c r="BJ7" i="10"/>
  <c r="BJ8" i="10"/>
  <c r="BK8" i="10" s="1"/>
  <c r="BJ9" i="10"/>
  <c r="BJ10" i="10"/>
  <c r="BJ11" i="10"/>
  <c r="BJ12" i="10"/>
  <c r="BJ13" i="10"/>
  <c r="BJ14" i="10"/>
  <c r="BJ15" i="10"/>
  <c r="BJ16" i="10"/>
  <c r="BJ17" i="10"/>
  <c r="BK17" i="10" s="1"/>
  <c r="BM17" i="10" s="1"/>
  <c r="BJ18" i="10"/>
  <c r="BJ19" i="10"/>
  <c r="BJ20" i="10"/>
  <c r="BJ21" i="10"/>
  <c r="BJ22" i="10"/>
  <c r="BJ23" i="10"/>
  <c r="BJ24" i="10"/>
  <c r="BJ25" i="10"/>
  <c r="BF5" i="10"/>
  <c r="BF9" i="10"/>
  <c r="BF10" i="10"/>
  <c r="BF11" i="10"/>
  <c r="BF12" i="10"/>
  <c r="BF16" i="10"/>
  <c r="BF17" i="10"/>
  <c r="BF19" i="10"/>
  <c r="BF20" i="10"/>
  <c r="BF21" i="10"/>
  <c r="BF23" i="10"/>
  <c r="BF24" i="10"/>
  <c r="BE4" i="10"/>
  <c r="BF4" i="10" s="1"/>
  <c r="BE5" i="10"/>
  <c r="BE6" i="10"/>
  <c r="BF6" i="10" s="1"/>
  <c r="BM6" i="10" s="1"/>
  <c r="D4" i="13" s="1"/>
  <c r="BE9" i="10"/>
  <c r="BE10" i="10"/>
  <c r="BE11" i="10"/>
  <c r="BE12" i="10"/>
  <c r="BE14" i="10"/>
  <c r="BF14" i="10" s="1"/>
  <c r="BM14" i="10" s="1"/>
  <c r="D12" i="13" s="1"/>
  <c r="BE15" i="10"/>
  <c r="BF15" i="10" s="1"/>
  <c r="BE16" i="10"/>
  <c r="BE17" i="10"/>
  <c r="BE19" i="10"/>
  <c r="BE20" i="10"/>
  <c r="BE21" i="10"/>
  <c r="BE22" i="10"/>
  <c r="BF22" i="10" s="1"/>
  <c r="BE23" i="10"/>
  <c r="BE24" i="10"/>
  <c r="BE25" i="10"/>
  <c r="BF25" i="10" s="1"/>
  <c r="BM25" i="10" s="1"/>
  <c r="D23" i="13" s="1"/>
  <c r="BD4" i="10"/>
  <c r="BD5" i="10"/>
  <c r="BD6" i="10"/>
  <c r="BD7" i="10"/>
  <c r="BE7" i="10" s="1"/>
  <c r="BF7" i="10" s="1"/>
  <c r="BM7" i="10" s="1"/>
  <c r="D5" i="13" s="1"/>
  <c r="BD8" i="10"/>
  <c r="BE8" i="10" s="1"/>
  <c r="BF8" i="10" s="1"/>
  <c r="BD9" i="10"/>
  <c r="BD10" i="10"/>
  <c r="BD11" i="10"/>
  <c r="BD12" i="10"/>
  <c r="BD13" i="10"/>
  <c r="BE13" i="10" s="1"/>
  <c r="BF13" i="10" s="1"/>
  <c r="BD14" i="10"/>
  <c r="BD15" i="10"/>
  <c r="BD16" i="10"/>
  <c r="BD17" i="10"/>
  <c r="BD18" i="10"/>
  <c r="BE18" i="10" s="1"/>
  <c r="BF18" i="10" s="1"/>
  <c r="BD19" i="10"/>
  <c r="BD20" i="10"/>
  <c r="BD21" i="10"/>
  <c r="BD22" i="10"/>
  <c r="BD23" i="10"/>
  <c r="BD24" i="10"/>
  <c r="BD25" i="10"/>
  <c r="AY6" i="10"/>
  <c r="AY7" i="10"/>
  <c r="AY10" i="10"/>
  <c r="AY14" i="10"/>
  <c r="AY17" i="10"/>
  <c r="AY20" i="10"/>
  <c r="BM20" i="10" s="1"/>
  <c r="D18" i="13" s="1"/>
  <c r="AY21" i="10"/>
  <c r="AY24" i="10"/>
  <c r="AY25" i="10"/>
  <c r="AX4" i="10"/>
  <c r="AY4" i="10" s="1"/>
  <c r="AX5" i="10"/>
  <c r="AY5" i="10" s="1"/>
  <c r="BM5" i="10" s="1"/>
  <c r="D3" i="13" s="1"/>
  <c r="AX6" i="10"/>
  <c r="AX7" i="10"/>
  <c r="AX8" i="10"/>
  <c r="AY8" i="10" s="1"/>
  <c r="AX9" i="10"/>
  <c r="AY9" i="10" s="1"/>
  <c r="AX10" i="10"/>
  <c r="AX13" i="10"/>
  <c r="AY13" i="10" s="1"/>
  <c r="AX14" i="10"/>
  <c r="AX15" i="10"/>
  <c r="AY15" i="10" s="1"/>
  <c r="AX16" i="10"/>
  <c r="AY16" i="10" s="1"/>
  <c r="BM16" i="10" s="1"/>
  <c r="D14" i="13" s="1"/>
  <c r="AX17" i="10"/>
  <c r="AX20" i="10"/>
  <c r="AX21" i="10"/>
  <c r="AX22" i="10"/>
  <c r="AY22" i="10" s="1"/>
  <c r="AX23" i="10"/>
  <c r="AY23" i="10" s="1"/>
  <c r="BM23" i="10" s="1"/>
  <c r="D21" i="13" s="1"/>
  <c r="AX24" i="10"/>
  <c r="AX25" i="10"/>
  <c r="AW4" i="10"/>
  <c r="AW5" i="10"/>
  <c r="AW6" i="10"/>
  <c r="AW7" i="10"/>
  <c r="AW8" i="10"/>
  <c r="AW9" i="10"/>
  <c r="AW10" i="10"/>
  <c r="AW11" i="10"/>
  <c r="AX11" i="10" s="1"/>
  <c r="AY11" i="10" s="1"/>
  <c r="BM11" i="10" s="1"/>
  <c r="D9" i="13" s="1"/>
  <c r="AW12" i="10"/>
  <c r="AX12" i="10" s="1"/>
  <c r="AY12" i="10" s="1"/>
  <c r="AW13" i="10"/>
  <c r="AW14" i="10"/>
  <c r="AW15" i="10"/>
  <c r="AW16" i="10"/>
  <c r="AW17" i="10"/>
  <c r="AW18" i="10"/>
  <c r="AX18" i="10" s="1"/>
  <c r="AY18" i="10" s="1"/>
  <c r="AW19" i="10"/>
  <c r="AX19" i="10" s="1"/>
  <c r="AY19" i="10" s="1"/>
  <c r="AW20" i="10"/>
  <c r="AW21" i="10"/>
  <c r="AW22" i="10"/>
  <c r="AW23" i="10"/>
  <c r="AW24" i="10"/>
  <c r="AW25" i="10"/>
  <c r="AP4" i="10"/>
  <c r="AP5" i="10"/>
  <c r="AP6" i="10"/>
  <c r="AP7" i="10"/>
  <c r="AP10" i="10"/>
  <c r="AP13" i="10"/>
  <c r="AP14" i="10"/>
  <c r="AP15" i="10"/>
  <c r="AP16" i="10"/>
  <c r="AP17" i="10"/>
  <c r="AP18" i="10"/>
  <c r="AP19" i="10"/>
  <c r="AP20" i="10"/>
  <c r="AP21" i="10"/>
  <c r="AP22" i="10"/>
  <c r="AP23" i="10"/>
  <c r="AP24" i="10"/>
  <c r="AP25" i="10"/>
  <c r="AO4" i="10"/>
  <c r="AO5" i="10"/>
  <c r="AO6" i="10"/>
  <c r="AO7" i="10"/>
  <c r="AO8" i="10"/>
  <c r="AP8" i="10" s="1"/>
  <c r="AO9" i="10"/>
  <c r="AP9" i="10" s="1"/>
  <c r="AO10" i="10"/>
  <c r="AO11" i="10"/>
  <c r="AP11" i="10" s="1"/>
  <c r="AO12" i="10"/>
  <c r="AP12" i="10" s="1"/>
  <c r="C10" i="13" s="1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K4" i="10"/>
  <c r="AK6" i="10"/>
  <c r="AK7" i="10"/>
  <c r="AK9" i="10"/>
  <c r="AK11" i="10"/>
  <c r="AK12" i="10"/>
  <c r="AK13" i="10"/>
  <c r="AK16" i="10"/>
  <c r="AK17" i="10"/>
  <c r="AK18" i="10"/>
  <c r="AK20" i="10"/>
  <c r="AK21" i="10"/>
  <c r="AK22" i="10"/>
  <c r="AK23" i="10"/>
  <c r="AK24" i="10"/>
  <c r="C22" i="13" s="1"/>
  <c r="AJ4" i="10"/>
  <c r="AJ6" i="10"/>
  <c r="AJ8" i="10"/>
  <c r="AK8" i="10" s="1"/>
  <c r="AJ9" i="10"/>
  <c r="AJ11" i="10"/>
  <c r="AJ12" i="10"/>
  <c r="AJ16" i="10"/>
  <c r="AJ17" i="10"/>
  <c r="AJ18" i="10"/>
  <c r="AJ20" i="10"/>
  <c r="AJ21" i="10"/>
  <c r="AJ22" i="10"/>
  <c r="AJ23" i="10"/>
  <c r="AJ24" i="10"/>
  <c r="AI4" i="10"/>
  <c r="AI5" i="10"/>
  <c r="AJ5" i="10" s="1"/>
  <c r="AK5" i="10" s="1"/>
  <c r="AI6" i="10"/>
  <c r="AI7" i="10"/>
  <c r="AJ7" i="10" s="1"/>
  <c r="AI8" i="10"/>
  <c r="AI9" i="10"/>
  <c r="AI10" i="10"/>
  <c r="AJ10" i="10" s="1"/>
  <c r="AK10" i="10" s="1"/>
  <c r="C8" i="13" s="1"/>
  <c r="AI11" i="10"/>
  <c r="AI12" i="10"/>
  <c r="AI13" i="10"/>
  <c r="AJ13" i="10" s="1"/>
  <c r="AI14" i="10"/>
  <c r="AJ14" i="10" s="1"/>
  <c r="AK14" i="10" s="1"/>
  <c r="C12" i="13" s="1"/>
  <c r="AI15" i="10"/>
  <c r="AJ15" i="10" s="1"/>
  <c r="AK15" i="10" s="1"/>
  <c r="AI16" i="10"/>
  <c r="AI17" i="10"/>
  <c r="AI18" i="10"/>
  <c r="AI19" i="10"/>
  <c r="AJ19" i="10" s="1"/>
  <c r="AK19" i="10" s="1"/>
  <c r="AI20" i="10"/>
  <c r="AI21" i="10"/>
  <c r="AI22" i="10"/>
  <c r="AI23" i="10"/>
  <c r="AI24" i="10"/>
  <c r="AI25" i="10"/>
  <c r="AJ25" i="10" s="1"/>
  <c r="AK25" i="10" s="1"/>
  <c r="AD6" i="10"/>
  <c r="AD8" i="10"/>
  <c r="AD10" i="10"/>
  <c r="AD12" i="10"/>
  <c r="AD14" i="10"/>
  <c r="AD17" i="10"/>
  <c r="AD24" i="10"/>
  <c r="AB4" i="10"/>
  <c r="AC4" i="10" s="1"/>
  <c r="AD4" i="10" s="1"/>
  <c r="AB5" i="10"/>
  <c r="AB6" i="10"/>
  <c r="AB7" i="10"/>
  <c r="AC7" i="10" s="1"/>
  <c r="AD7" i="10" s="1"/>
  <c r="AB8" i="10"/>
  <c r="AB9" i="10"/>
  <c r="AC9" i="10" s="1"/>
  <c r="AD9" i="10" s="1"/>
  <c r="AB10" i="10"/>
  <c r="AB11" i="10"/>
  <c r="AC11" i="10" s="1"/>
  <c r="AD11" i="10" s="1"/>
  <c r="AB12" i="10"/>
  <c r="AB13" i="10"/>
  <c r="AB14" i="10"/>
  <c r="AB15" i="10"/>
  <c r="AC15" i="10" s="1"/>
  <c r="AD15" i="10" s="1"/>
  <c r="AB16" i="10"/>
  <c r="AC16" i="10" s="1"/>
  <c r="AD16" i="10" s="1"/>
  <c r="C14" i="13" s="1"/>
  <c r="AB17" i="10"/>
  <c r="AB18" i="10"/>
  <c r="AC18" i="10" s="1"/>
  <c r="AD18" i="10" s="1"/>
  <c r="C16" i="13" s="1"/>
  <c r="AB19" i="10"/>
  <c r="AB20" i="10"/>
  <c r="AC20" i="10" s="1"/>
  <c r="AD20" i="10" s="1"/>
  <c r="C18" i="13" s="1"/>
  <c r="AB21" i="10"/>
  <c r="AC21" i="10" s="1"/>
  <c r="AD21" i="10" s="1"/>
  <c r="C19" i="13" s="1"/>
  <c r="AB22" i="10"/>
  <c r="AC22" i="10" s="1"/>
  <c r="AD22" i="10" s="1"/>
  <c r="AB23" i="10"/>
  <c r="AC23" i="10" s="1"/>
  <c r="AD23" i="10" s="1"/>
  <c r="C21" i="13" s="1"/>
  <c r="AB24" i="10"/>
  <c r="AB25" i="10"/>
  <c r="AC5" i="10"/>
  <c r="AD5" i="10" s="1"/>
  <c r="AC6" i="10"/>
  <c r="AC8" i="10"/>
  <c r="AC10" i="10"/>
  <c r="AC12" i="10"/>
  <c r="AC13" i="10"/>
  <c r="AD13" i="10" s="1"/>
  <c r="AC14" i="10"/>
  <c r="AC17" i="10"/>
  <c r="AC19" i="10"/>
  <c r="AD19" i="10" s="1"/>
  <c r="AC24" i="10"/>
  <c r="AC25" i="10"/>
  <c r="AD25" i="10" s="1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P4" i="10"/>
  <c r="P6" i="10"/>
  <c r="P9" i="10"/>
  <c r="P11" i="10"/>
  <c r="P12" i="10"/>
  <c r="P17" i="10"/>
  <c r="P18" i="10"/>
  <c r="P20" i="10"/>
  <c r="P21" i="10"/>
  <c r="P22" i="10"/>
  <c r="P23" i="10"/>
  <c r="N4" i="10"/>
  <c r="N5" i="10"/>
  <c r="N6" i="10"/>
  <c r="O6" i="10" s="1"/>
  <c r="N7" i="10"/>
  <c r="N8" i="10"/>
  <c r="N9" i="10"/>
  <c r="N10" i="10"/>
  <c r="N11" i="10"/>
  <c r="N12" i="10"/>
  <c r="N13" i="10"/>
  <c r="N14" i="10"/>
  <c r="N15" i="10"/>
  <c r="N16" i="10"/>
  <c r="N17" i="10"/>
  <c r="N18" i="10"/>
  <c r="O18" i="10" s="1"/>
  <c r="N19" i="10"/>
  <c r="N20" i="10"/>
  <c r="N21" i="10"/>
  <c r="N22" i="10"/>
  <c r="N23" i="10"/>
  <c r="N24" i="10"/>
  <c r="N25" i="10"/>
  <c r="I6" i="10"/>
  <c r="I7" i="10"/>
  <c r="I8" i="10"/>
  <c r="I10" i="10"/>
  <c r="I11" i="10"/>
  <c r="I12" i="10"/>
  <c r="I14" i="10"/>
  <c r="I15" i="10"/>
  <c r="I17" i="10"/>
  <c r="I22" i="10"/>
  <c r="I24" i="10"/>
  <c r="I25" i="10"/>
  <c r="H4" i="10"/>
  <c r="I4" i="10" s="1"/>
  <c r="H5" i="10"/>
  <c r="I5" i="10" s="1"/>
  <c r="H6" i="10"/>
  <c r="H7" i="10"/>
  <c r="H8" i="10"/>
  <c r="H9" i="10"/>
  <c r="I9" i="10" s="1"/>
  <c r="H10" i="10"/>
  <c r="H11" i="10"/>
  <c r="H12" i="10"/>
  <c r="H13" i="10"/>
  <c r="I13" i="10" s="1"/>
  <c r="H14" i="10"/>
  <c r="H15" i="10"/>
  <c r="H17" i="10"/>
  <c r="H18" i="10"/>
  <c r="I18" i="10" s="1"/>
  <c r="H19" i="10"/>
  <c r="I19" i="10" s="1"/>
  <c r="H22" i="10"/>
  <c r="H23" i="10"/>
  <c r="I23" i="10" s="1"/>
  <c r="H24" i="10"/>
  <c r="H25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H16" i="10" s="1"/>
  <c r="I16" i="10" s="1"/>
  <c r="G17" i="10"/>
  <c r="G18" i="10"/>
  <c r="G19" i="10"/>
  <c r="G20" i="10"/>
  <c r="H20" i="10" s="1"/>
  <c r="I20" i="10" s="1"/>
  <c r="G21" i="10"/>
  <c r="H21" i="10" s="1"/>
  <c r="I21" i="10" s="1"/>
  <c r="G22" i="10"/>
  <c r="G23" i="10"/>
  <c r="G24" i="10"/>
  <c r="G25" i="10"/>
  <c r="CH21" i="10" l="1"/>
  <c r="E19" i="13" s="1"/>
  <c r="CH24" i="10"/>
  <c r="E22" i="13" s="1"/>
  <c r="CH4" i="10"/>
  <c r="E2" i="13" s="1"/>
  <c r="CH8" i="10"/>
  <c r="E6" i="13" s="1"/>
  <c r="BT18" i="10"/>
  <c r="CH18" i="10" s="1"/>
  <c r="E16" i="13" s="1"/>
  <c r="CH16" i="10"/>
  <c r="E14" i="13" s="1"/>
  <c r="CH11" i="10"/>
  <c r="E9" i="13" s="1"/>
  <c r="CH25" i="10"/>
  <c r="E23" i="13" s="1"/>
  <c r="CH6" i="10"/>
  <c r="E4" i="13" s="1"/>
  <c r="H4" i="12" s="1"/>
  <c r="CH23" i="10"/>
  <c r="E21" i="13" s="1"/>
  <c r="B17" i="10"/>
  <c r="D15" i="13"/>
  <c r="BM22" i="10"/>
  <c r="D20" i="13" s="1"/>
  <c r="BM8" i="10"/>
  <c r="D6" i="13" s="1"/>
  <c r="BM4" i="10"/>
  <c r="D2" i="13" s="1"/>
  <c r="BM9" i="10"/>
  <c r="D7" i="13" s="1"/>
  <c r="BM15" i="10"/>
  <c r="D13" i="13" s="1"/>
  <c r="BM19" i="10"/>
  <c r="D17" i="13" s="1"/>
  <c r="BM13" i="10"/>
  <c r="D11" i="13" s="1"/>
  <c r="BM12" i="10"/>
  <c r="D10" i="13" s="1"/>
  <c r="BM18" i="10"/>
  <c r="D16" i="13" s="1"/>
  <c r="AR9" i="10"/>
  <c r="C7" i="13" s="1"/>
  <c r="AR15" i="10"/>
  <c r="C13" i="13" s="1"/>
  <c r="AR7" i="10"/>
  <c r="C5" i="13" s="1"/>
  <c r="H15" i="12"/>
  <c r="F15" i="12"/>
  <c r="G15" i="12" s="1"/>
  <c r="J3" i="16"/>
  <c r="C3" i="13"/>
  <c r="C23" i="13"/>
  <c r="C9" i="13"/>
  <c r="H9" i="12" s="1"/>
  <c r="B11" i="10"/>
  <c r="C6" i="13"/>
  <c r="C2" i="13"/>
  <c r="C11" i="13"/>
  <c r="C17" i="13"/>
  <c r="B22" i="10"/>
  <c r="C20" i="13"/>
  <c r="H20" i="12" s="1"/>
  <c r="O5" i="10"/>
  <c r="P5" i="10" s="1"/>
  <c r="O15" i="10"/>
  <c r="P15" i="10" s="1"/>
  <c r="O21" i="10"/>
  <c r="O17" i="10"/>
  <c r="O9" i="10"/>
  <c r="O25" i="10"/>
  <c r="P25" i="10" s="1"/>
  <c r="O16" i="10"/>
  <c r="P16" i="10" s="1"/>
  <c r="O4" i="10"/>
  <c r="O24" i="10"/>
  <c r="P24" i="10" s="1"/>
  <c r="O11" i="10"/>
  <c r="O12" i="10"/>
  <c r="O23" i="10"/>
  <c r="O22" i="10"/>
  <c r="O10" i="10"/>
  <c r="P10" i="10" s="1"/>
  <c r="O14" i="10"/>
  <c r="P14" i="10" s="1"/>
  <c r="O13" i="10"/>
  <c r="P13" i="10" s="1"/>
  <c r="O8" i="10"/>
  <c r="P8" i="10" s="1"/>
  <c r="O19" i="10"/>
  <c r="P19" i="10" s="1"/>
  <c r="O7" i="10"/>
  <c r="P7" i="10" s="1"/>
  <c r="O20" i="10"/>
  <c r="B6" i="10" l="1"/>
  <c r="F9" i="12"/>
  <c r="G9" i="12" s="1"/>
  <c r="J4" i="16"/>
  <c r="F20" i="12"/>
  <c r="G20" i="12" s="1"/>
  <c r="G4" i="16"/>
  <c r="B25" i="10"/>
  <c r="B23" i="13"/>
  <c r="H23" i="12" s="1"/>
  <c r="B3" i="13"/>
  <c r="H3" i="12" s="1"/>
  <c r="B5" i="10"/>
  <c r="B10" i="13"/>
  <c r="H10" i="12" s="1"/>
  <c r="B12" i="10"/>
  <c r="B19" i="10"/>
  <c r="B17" i="13"/>
  <c r="H17" i="12" s="1"/>
  <c r="B18" i="10"/>
  <c r="B16" i="13"/>
  <c r="H16" i="12" s="1"/>
  <c r="B13" i="10"/>
  <c r="B11" i="13"/>
  <c r="H11" i="12" s="1"/>
  <c r="B23" i="10"/>
  <c r="B21" i="13"/>
  <c r="H21" i="12" s="1"/>
  <c r="B12" i="13"/>
  <c r="H12" i="12" s="1"/>
  <c r="B14" i="10"/>
  <c r="B8" i="13"/>
  <c r="H8" i="12" s="1"/>
  <c r="B10" i="10"/>
  <c r="B6" i="13"/>
  <c r="H6" i="12" s="1"/>
  <c r="B8" i="10"/>
  <c r="B22" i="13"/>
  <c r="H22" i="12" s="1"/>
  <c r="B24" i="10"/>
  <c r="B18" i="13"/>
  <c r="H18" i="12" s="1"/>
  <c r="B20" i="10"/>
  <c r="B19" i="13"/>
  <c r="H19" i="12" s="1"/>
  <c r="B21" i="10"/>
  <c r="B4" i="10"/>
  <c r="B2" i="13"/>
  <c r="H2" i="12" s="1"/>
  <c r="B15" i="10"/>
  <c r="B13" i="13"/>
  <c r="H13" i="12" s="1"/>
  <c r="B5" i="13"/>
  <c r="H5" i="12" s="1"/>
  <c r="B7" i="10"/>
  <c r="B9" i="10"/>
  <c r="B7" i="13"/>
  <c r="H7" i="12" s="1"/>
  <c r="B16" i="10"/>
  <c r="B14" i="13"/>
  <c r="H14" i="12" s="1"/>
  <c r="F4" i="12" l="1"/>
  <c r="G4" i="12" s="1"/>
  <c r="I6" i="16"/>
  <c r="H7" i="16"/>
  <c r="H5" i="16"/>
  <c r="F5" i="12"/>
  <c r="G5" i="12" s="1"/>
  <c r="H4" i="16"/>
  <c r="F13" i="12"/>
  <c r="G13" i="12" s="1"/>
  <c r="F7" i="12"/>
  <c r="G7" i="12" s="1"/>
  <c r="G8" i="16"/>
  <c r="G3" i="16"/>
  <c r="F23" i="12"/>
  <c r="G23" i="12" s="1"/>
  <c r="I3" i="16"/>
  <c r="F14" i="12"/>
  <c r="G14" i="12" s="1"/>
  <c r="G2" i="16"/>
  <c r="G5" i="16"/>
  <c r="F3" i="12"/>
  <c r="G3" i="12" s="1"/>
  <c r="J8" i="16"/>
  <c r="I7" i="16"/>
  <c r="F10" i="12"/>
  <c r="G10" i="12" s="1"/>
  <c r="J7" i="16"/>
  <c r="F17" i="12"/>
  <c r="G17" i="12" s="1"/>
  <c r="H3" i="16"/>
  <c r="J2" i="16"/>
  <c r="F16" i="12"/>
  <c r="G16" i="12" s="1"/>
  <c r="J5" i="16"/>
  <c r="I8" i="16"/>
  <c r="F11" i="12"/>
  <c r="G11" i="12" s="1"/>
  <c r="I4" i="16"/>
  <c r="J6" i="16"/>
  <c r="F21" i="12"/>
  <c r="G21" i="12" s="1"/>
  <c r="F12" i="12"/>
  <c r="G12" i="12" s="1"/>
  <c r="H2" i="16"/>
  <c r="F8" i="12"/>
  <c r="G8" i="12" s="1"/>
  <c r="H6" i="16"/>
  <c r="I5" i="16"/>
  <c r="F6" i="12"/>
  <c r="G6" i="12" s="1"/>
  <c r="F22" i="12"/>
  <c r="G22" i="12" s="1"/>
  <c r="H8" i="16"/>
  <c r="G6" i="16"/>
  <c r="F18" i="12"/>
  <c r="G18" i="12" s="1"/>
  <c r="F19" i="12"/>
  <c r="G19" i="12" s="1"/>
  <c r="G7" i="16"/>
  <c r="I2" i="16"/>
  <c r="F2" i="12"/>
  <c r="G2" i="12" s="1"/>
  <c r="D4" i="16" l="1"/>
  <c r="D8" i="16"/>
  <c r="D3" i="16"/>
  <c r="D7" i="16"/>
  <c r="D6" i="16"/>
  <c r="D5" i="16"/>
  <c r="D2" i="16"/>
  <c r="F6" i="16" l="1"/>
  <c r="F4" i="16"/>
  <c r="F8" i="16"/>
  <c r="A2" i="16"/>
  <c r="B35" i="10" s="1"/>
  <c r="A6" i="16"/>
  <c r="B30" i="10" s="1"/>
  <c r="F2" i="16"/>
  <c r="F7" i="16"/>
  <c r="A7" i="16"/>
  <c r="B7" i="16" s="1"/>
  <c r="A5" i="16"/>
  <c r="B5" i="16" s="1"/>
  <c r="A3" i="16"/>
  <c r="B3" i="16" s="1"/>
  <c r="A4" i="16"/>
  <c r="F3" i="16"/>
  <c r="F5" i="16"/>
  <c r="A8" i="16"/>
  <c r="B8" i="16" s="1"/>
  <c r="B2" i="16" l="1"/>
  <c r="B6" i="16"/>
  <c r="E2" i="16" a="1"/>
  <c r="E2" i="16" s="1"/>
  <c r="B31" i="10"/>
  <c r="E3" i="16" a="1"/>
  <c r="E3" i="16" s="1"/>
  <c r="B32" i="10"/>
  <c r="B33" i="10"/>
  <c r="E6" i="16" a="1"/>
  <c r="E6" i="16" s="1"/>
  <c r="B4" i="16"/>
  <c r="E5" i="16" a="1"/>
  <c r="E5" i="16" s="1"/>
  <c r="B36" i="10"/>
  <c r="B34" i="10"/>
  <c r="E4" i="16" a="1"/>
  <c r="E4" i="16" s="1"/>
  <c r="E8" i="16" a="1"/>
  <c r="E8" i="16" s="1"/>
  <c r="E7" i="16" a="1"/>
  <c r="E7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<sst xmlns="http://schemas.openxmlformats.org/spreadsheetml/2006/main" count="1123" uniqueCount="340">
  <si>
    <t>NAME</t>
  </si>
  <si>
    <t>BATTER</t>
  </si>
  <si>
    <t>BOWLER</t>
  </si>
  <si>
    <t>ALLROUNDER</t>
  </si>
  <si>
    <t>ADHESH</t>
  </si>
  <si>
    <t>JASPRIT BUMRAH</t>
  </si>
  <si>
    <t>JAIAKASH</t>
  </si>
  <si>
    <t>PIERRS</t>
  </si>
  <si>
    <t>SANTHOSH</t>
  </si>
  <si>
    <t>SANTO</t>
  </si>
  <si>
    <t>SURIYA</t>
  </si>
  <si>
    <t>VICKY</t>
  </si>
  <si>
    <t>MATCH 1</t>
  </si>
  <si>
    <t>MATCH 2</t>
  </si>
  <si>
    <t>MATCH 3</t>
  </si>
  <si>
    <t>MATCH 4</t>
  </si>
  <si>
    <t>MATCH 5</t>
  </si>
  <si>
    <t xml:space="preserve">    1 Run -&gt; 1 pt</t>
  </si>
  <si>
    <t xml:space="preserve">    50+ -&gt; 100</t>
  </si>
  <si>
    <t xml:space="preserve">    Single digit -&gt; -10</t>
  </si>
  <si>
    <t xml:space="preserve">    Duck out -&gt; -25</t>
  </si>
  <si>
    <t xml:space="preserve">    1 Wkt -&gt; 50 pts</t>
  </si>
  <si>
    <t xml:space="preserve">    3+ -&gt; 100</t>
  </si>
  <si>
    <t xml:space="preserve">    Wicketless -&gt; -25</t>
  </si>
  <si>
    <t xml:space="preserve">    PoM -&gt; 100 pts</t>
  </si>
  <si>
    <t>CATEGORY</t>
  </si>
  <si>
    <t>PLAYER NAME</t>
  </si>
  <si>
    <t>POINTS TALLY</t>
  </si>
  <si>
    <t>SHUBMAN GILL</t>
  </si>
  <si>
    <t>TEAM</t>
  </si>
  <si>
    <t>ICC RANK</t>
  </si>
  <si>
    <t>IND</t>
  </si>
  <si>
    <t>ARSHDEEP SINGH</t>
  </si>
  <si>
    <t>HARSHIT RANA</t>
  </si>
  <si>
    <t>KULDEEP YADAV</t>
  </si>
  <si>
    <t>GRAND TOTAL</t>
  </si>
  <si>
    <t>BATTING</t>
  </si>
  <si>
    <t>BOWLING</t>
  </si>
  <si>
    <t>FIELDING</t>
  </si>
  <si>
    <t>4s</t>
  </si>
  <si>
    <t>6s</t>
  </si>
  <si>
    <t>BONUS 1</t>
  </si>
  <si>
    <t>SUB TOTAL 1</t>
  </si>
  <si>
    <t>OVERS</t>
  </si>
  <si>
    <t>MAIDENS</t>
  </si>
  <si>
    <t>BONUS 2</t>
  </si>
  <si>
    <t>SUB TOTAL 2</t>
  </si>
  <si>
    <t>RUNOUTS</t>
  </si>
  <si>
    <t>STUMPINGS</t>
  </si>
  <si>
    <t>BONUS 3</t>
  </si>
  <si>
    <t>SUB TOTAL 3</t>
  </si>
  <si>
    <t>FINISHER</t>
  </si>
  <si>
    <t>CAPTAIN</t>
  </si>
  <si>
    <t>VICE-CAPTAIN</t>
  </si>
  <si>
    <t>TOTAL CREDITS</t>
  </si>
  <si>
    <t>NONE</t>
  </si>
  <si>
    <t>DUNITH WELLALAGE</t>
  </si>
  <si>
    <t>TOWHID HRIDOY</t>
  </si>
  <si>
    <t>SURYAKUMAR YADAV</t>
  </si>
  <si>
    <t>FAZALHAQ FAROOQI</t>
  </si>
  <si>
    <t>CHARITH ASALANKA</t>
  </si>
  <si>
    <t>MOHAMMAD HARIS</t>
  </si>
  <si>
    <t>HARDIK PANDYA</t>
  </si>
  <si>
    <t>FAKHAR ZAMAN</t>
  </si>
  <si>
    <t>RASHID KHAN</t>
  </si>
  <si>
    <t>KUSAL MENDIS</t>
  </si>
  <si>
    <t>IBRAHIM ZADRAN</t>
  </si>
  <si>
    <t>SHAHEEN AFRIDI</t>
  </si>
  <si>
    <t>WANINDU HASARANGA</t>
  </si>
  <si>
    <t>RINKU SINGH</t>
  </si>
  <si>
    <t>PATHUM NISSANKA</t>
  </si>
  <si>
    <t>MUSTAFIZUR RAHMAN</t>
  </si>
  <si>
    <t>ABHISHEK SHARMA</t>
  </si>
  <si>
    <t>SALMAN ALI AGHA</t>
  </si>
  <si>
    <t>TILAK VARMA</t>
  </si>
  <si>
    <t>NOOR AHMAD</t>
  </si>
  <si>
    <t>MOHAMMAD NAWAZ</t>
  </si>
  <si>
    <t>KAMINDU MENDIS</t>
  </si>
  <si>
    <t>GROUP A - TEAM 1</t>
  </si>
  <si>
    <t>GROUP A - TEAM 2</t>
  </si>
  <si>
    <t>GROUP B - TEAM 1</t>
  </si>
  <si>
    <t>GROUP B - TEAM 2</t>
  </si>
  <si>
    <t>WINNER</t>
  </si>
  <si>
    <t>RUNNER-UP</t>
  </si>
  <si>
    <t>INDIA</t>
  </si>
  <si>
    <t>PAKISTAN</t>
  </si>
  <si>
    <t>AFGHANISTAN</t>
  </si>
  <si>
    <t>BANGLADESH</t>
  </si>
  <si>
    <t>SRI LANKA</t>
  </si>
  <si>
    <t>P.NO</t>
  </si>
  <si>
    <t>PLAYER</t>
  </si>
  <si>
    <t>CREDITS SCORE</t>
  </si>
  <si>
    <t>AAMIR KALEEM</t>
  </si>
  <si>
    <t>OMAN</t>
  </si>
  <si>
    <t>ALISHAN SHARAFU</t>
  </si>
  <si>
    <t>UAE</t>
  </si>
  <si>
    <t>AXAR PATEL</t>
  </si>
  <si>
    <t>AZMATULLAH OMARZAI</t>
  </si>
  <si>
    <t>AFG</t>
  </si>
  <si>
    <t>CHAMIKA KARUNARATNE</t>
  </si>
  <si>
    <t>SL</t>
  </si>
  <si>
    <t>DASUN SHANAKA</t>
  </si>
  <si>
    <t>DHRUV PARASHAR</t>
  </si>
  <si>
    <t>FAHEEM ASHRAF</t>
  </si>
  <si>
    <t>PAK</t>
  </si>
  <si>
    <t>FAISAL SHAH</t>
  </si>
  <si>
    <t>GULBADIN NAIB</t>
  </si>
  <si>
    <t>HARSHIT KAUSHIK</t>
  </si>
  <si>
    <t>HASSNAIN ALI SHAH</t>
  </si>
  <si>
    <t>HUSSAIN TALAT</t>
  </si>
  <si>
    <t>KARAN SONAVALE</t>
  </si>
  <si>
    <t>KARIM JANAT</t>
  </si>
  <si>
    <t>KINCHIT SHAH</t>
  </si>
  <si>
    <t>HK</t>
  </si>
  <si>
    <t>MOHAMMAD AIZAZ KHAN</t>
  </si>
  <si>
    <t>MOHAMMAD NABI</t>
  </si>
  <si>
    <t>MOHAMMED NADEEM</t>
  </si>
  <si>
    <t>NADEEM KHAN</t>
  </si>
  <si>
    <t>NIAZAKAT KHAN MOHAMMAD</t>
  </si>
  <si>
    <t>SAGHIR KHAN</t>
  </si>
  <si>
    <t>SHAIF UDDIN</t>
  </si>
  <si>
    <t>BAN</t>
  </si>
  <si>
    <t>SHAK MAHEDI HASAN</t>
  </si>
  <si>
    <t>SHAMIM HOSSAIN</t>
  </si>
  <si>
    <t>SHARAFUDDIN ASHRAF</t>
  </si>
  <si>
    <t>SHIVAM DUBE</t>
  </si>
  <si>
    <t>YASIM MURTAZA</t>
  </si>
  <si>
    <t>ZIKRIYA ISLAM</t>
  </si>
  <si>
    <t>ANAS KHAN</t>
  </si>
  <si>
    <t>ANSHUMAN RATH</t>
  </si>
  <si>
    <t>ARYANSH SHARMA</t>
  </si>
  <si>
    <t>ASHISH ODEDERA</t>
  </si>
  <si>
    <t>ASIF KHAN</t>
  </si>
  <si>
    <t>BABAR HAYAT</t>
  </si>
  <si>
    <t>DARWISH RASOOLI</t>
  </si>
  <si>
    <t>ETHAN D’SOUZA</t>
  </si>
  <si>
    <t>HAMMAD MIRZA</t>
  </si>
  <si>
    <t>HASAN NAWAZ</t>
  </si>
  <si>
    <t>JAKER ALI ANIK</t>
  </si>
  <si>
    <t>JATINDER SINGH</t>
  </si>
  <si>
    <t>JITESH SHARMA</t>
  </si>
  <si>
    <t>KALHAN MARC CHALLU</t>
  </si>
  <si>
    <t>KAMIL MISHARA</t>
  </si>
  <si>
    <t>KHUSHDIL SHAH</t>
  </si>
  <si>
    <t>KUSAL PERERA</t>
  </si>
  <si>
    <t>LITTON DAS</t>
  </si>
  <si>
    <t>MARTIN COETZEE</t>
  </si>
  <si>
    <t>MOHAMMAD ISHAQ</t>
  </si>
  <si>
    <t>MUHAMMAD WASEEM</t>
  </si>
  <si>
    <t>MUHAMMAD ZOHAIB</t>
  </si>
  <si>
    <t>NUWANIDU FERNANDO</t>
  </si>
  <si>
    <t>PARVEZ HOSSAIN EMON</t>
  </si>
  <si>
    <t>QUAZI NURUL HASAN SOHAN</t>
  </si>
  <si>
    <t>RAHMANULLAH GURBAZ</t>
  </si>
  <si>
    <t>RAHUL CHOPRA</t>
  </si>
  <si>
    <t>SAHIBZADA FARHAN</t>
  </si>
  <si>
    <t>SAIF HASSAN</t>
  </si>
  <si>
    <t>SAIM AYUB</t>
  </si>
  <si>
    <t>SANJU SAMSON</t>
  </si>
  <si>
    <t>SEDIQULLAH ATAL</t>
  </si>
  <si>
    <t>SHAHID WASIF</t>
  </si>
  <si>
    <t>TANZID HASAN</t>
  </si>
  <si>
    <t>VINAYAK SHUKLA</t>
  </si>
  <si>
    <t>ZEESHAN ALI</t>
  </si>
  <si>
    <t>ABRAR AHMED</t>
  </si>
  <si>
    <t>ADIL MEHMOOD</t>
  </si>
  <si>
    <t>ALI HASSAN</t>
  </si>
  <si>
    <t>ALLAH GHAZANFAR</t>
  </si>
  <si>
    <t>ARYAN BISHT</t>
  </si>
  <si>
    <t>ATEEQ UL REHMAN IQBAL</t>
  </si>
  <si>
    <t>AYUSH ASHISH SHUKLA</t>
  </si>
  <si>
    <t>BINURA FERNANDO</t>
  </si>
  <si>
    <t>DUSHMANTHA CHAMEERA</t>
  </si>
  <si>
    <t>EHSAN KHAN</t>
  </si>
  <si>
    <t>FARID MALIK</t>
  </si>
  <si>
    <t>GHAZANFAR MOHAMMAD</t>
  </si>
  <si>
    <t>HAIDER ALI</t>
  </si>
  <si>
    <t>HARIS RAUF</t>
  </si>
  <si>
    <t>HAROON MOHAMMAD ARSHAD</t>
  </si>
  <si>
    <t>HASAN ALI</t>
  </si>
  <si>
    <t>JUNAID SIDDIQUE</t>
  </si>
  <si>
    <t>MAHEESH THEEKSHANA</t>
  </si>
  <si>
    <t>MATHEESHA PATHIRANA</t>
  </si>
  <si>
    <t>MATIULLAH KHAN</t>
  </si>
  <si>
    <t>MOHAMMAD WAHEED</t>
  </si>
  <si>
    <t>MOHAMMAD WASEEM JR</t>
  </si>
  <si>
    <t>MUHAMMAD FAROOQ</t>
  </si>
  <si>
    <t>MUHAMMAD JAWADULLAH</t>
  </si>
  <si>
    <t>MUHAMMED IMRAN</t>
  </si>
  <si>
    <t>MUJEEB UR RAHMAN</t>
  </si>
  <si>
    <t>NASRULLA RANA</t>
  </si>
  <si>
    <t>NASUM AHMED</t>
  </si>
  <si>
    <t>NAVEEN-UL-HAQ</t>
  </si>
  <si>
    <t>NUWAN THUSHARA</t>
  </si>
  <si>
    <t>RISHAD HOSSAIN</t>
  </si>
  <si>
    <t>ROHID KHAN</t>
  </si>
  <si>
    <t>SALMAN MIRZA</t>
  </si>
  <si>
    <t>SAMAY SHRIVASTAVA</t>
  </si>
  <si>
    <t>SHAKEEL AHMAD</t>
  </si>
  <si>
    <t>SHORIFUL ISLAM</t>
  </si>
  <si>
    <t>SIMRANJEET SINGH</t>
  </si>
  <si>
    <t>SUFYAN MEHMOOD</t>
  </si>
  <si>
    <t>SUFYAN MOQIM</t>
  </si>
  <si>
    <t>SUFYAN YOUSUF</t>
  </si>
  <si>
    <t>TANZIM HASAN SAKIB</t>
  </si>
  <si>
    <t>TASKIN AHMED</t>
  </si>
  <si>
    <t>VARUN CHAKARAVARTHY</t>
  </si>
  <si>
    <t>For an Innings*</t>
  </si>
  <si>
    <t xml:space="preserve">    100+ -&gt; 200</t>
  </si>
  <si>
    <t xml:space="preserve">    SR(200+) -&gt; 100 pts</t>
  </si>
  <si>
    <t xml:space="preserve">      *Min. 10 balls must be faced</t>
  </si>
  <si>
    <t xml:space="preserve">    Not Out -&gt; 25</t>
  </si>
  <si>
    <t xml:space="preserve">    Maiden -&gt; 50</t>
  </si>
  <si>
    <t xml:space="preserve">      *Min. 2 overs must be bowled</t>
  </si>
  <si>
    <t xml:space="preserve">    ER(10.0+) -&gt; -25</t>
  </si>
  <si>
    <t xml:space="preserve">    200 pts for 0 run difference</t>
  </si>
  <si>
    <t xml:space="preserve">      *If no one could get points</t>
  </si>
  <si>
    <t>MATCH NO.</t>
  </si>
  <si>
    <t>BALLS FACED</t>
  </si>
  <si>
    <t>RUNS SCORED</t>
  </si>
  <si>
    <t>STRIKE RATE</t>
  </si>
  <si>
    <t>RUNS GIVEN</t>
  </si>
  <si>
    <t>WICKETS TAKEN</t>
  </si>
  <si>
    <t>ECONOMIC RATE</t>
  </si>
  <si>
    <t>POM BONUS</t>
  </si>
  <si>
    <t>CATCHES TAKEN</t>
  </si>
  <si>
    <t>MATCH 6</t>
  </si>
  <si>
    <t>THE FINALE</t>
  </si>
  <si>
    <t>ONFIELD CATEGORY</t>
  </si>
  <si>
    <t>AVERAGE</t>
  </si>
  <si>
    <t>MATCHES PLAYED</t>
  </si>
  <si>
    <t>HIGHEST</t>
  </si>
  <si>
    <t>MATCH 7</t>
  </si>
  <si>
    <t>THE FINAL</t>
  </si>
  <si>
    <t xml:space="preserve">    25+ -&gt; 50</t>
  </si>
  <si>
    <t xml:space="preserve">    5+ -&gt; 150</t>
  </si>
  <si>
    <t xml:space="preserve">    ER(5.0 &amp; below) -&gt; 100</t>
  </si>
  <si>
    <t xml:space="preserve">    1 Dir/InDir RunOut -&gt; 50 pts</t>
  </si>
  <si>
    <t xml:space="preserve">    3+ Catches -&gt; 50 pts</t>
  </si>
  <si>
    <t xml:space="preserve">    1 Catch -&gt; 25 pts</t>
  </si>
  <si>
    <t xml:space="preserve">    PoT -&gt; 500 pts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</si>
  <si>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</si>
  <si>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</si>
  <si>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</si>
  <si>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</si>
  <si>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</si>
  <si>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</si>
  <si>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</si>
  <si>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</si>
  <si>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</si>
  <si>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</si>
  <si>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</si>
  <si>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</si>
  <si>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TOTAL POINTS</t>
  </si>
  <si>
    <t>POINTS 1</t>
  </si>
  <si>
    <t>POINTS 2</t>
  </si>
  <si>
    <t>POINTS 3</t>
  </si>
  <si>
    <t>POINTS 4</t>
  </si>
  <si>
    <t>POINTS 5</t>
  </si>
  <si>
    <t>POINTS 6</t>
  </si>
  <si>
    <t>POINTS 7</t>
  </si>
  <si>
    <t>POINTS 8</t>
  </si>
  <si>
    <t>POINTS 9</t>
  </si>
  <si>
    <t>POINTS 10</t>
  </si>
  <si>
    <t>POINTS 11</t>
  </si>
  <si>
    <t>POINTS 12</t>
  </si>
  <si>
    <t>POINTS 13</t>
  </si>
  <si>
    <t>POINTS 14</t>
  </si>
  <si>
    <t>POINTS 15</t>
  </si>
  <si>
    <t>POINTS 16</t>
  </si>
  <si>
    <t>POINTS 17</t>
  </si>
  <si>
    <t>POINTS 18</t>
  </si>
  <si>
    <t>POINTS 19</t>
  </si>
  <si>
    <t>RANK</t>
  </si>
  <si>
    <t>PROGRESS</t>
  </si>
  <si>
    <t>LEAD OVER NEXT ONE</t>
  </si>
  <si>
    <t>GAP TO TOP</t>
  </si>
  <si>
    <t>EXTRAS</t>
  </si>
  <si>
    <t>WINNING TEAM PRED.</t>
  </si>
  <si>
    <t>TARGET PRED.</t>
  </si>
  <si>
    <t>CURRENT RANK</t>
  </si>
  <si>
    <t>PREVIOUS RANK</t>
  </si>
  <si>
    <t xml:space="preserve">    25 pts(min. pts) for the closest Target</t>
  </si>
  <si>
    <t xml:space="preserve">    50 pts for 6-10 runs difference</t>
  </si>
  <si>
    <t xml:space="preserve">    100 pts for 2-5 runs difference</t>
  </si>
  <si>
    <t xml:space="preserve">    150 pts for 1 run difference</t>
  </si>
  <si>
    <t xml:space="preserve">    25 pts for Win</t>
  </si>
  <si>
    <t xml:space="preserve">    -10 pts for Loss</t>
  </si>
  <si>
    <t>TALLY</t>
  </si>
  <si>
    <t>POINTS SYSTEM</t>
  </si>
  <si>
    <t>2) BOWLING (Wkts -&gt; Pts):</t>
  </si>
  <si>
    <t>1) BATTING (Score -&gt; Pts):</t>
  </si>
  <si>
    <t>3) FIELDING</t>
  </si>
  <si>
    <t>7*</t>
  </si>
  <si>
    <t>20*</t>
  </si>
  <si>
    <t>2*</t>
  </si>
  <si>
    <t>10*</t>
  </si>
  <si>
    <t>33*</t>
  </si>
  <si>
    <t>47*</t>
  </si>
  <si>
    <t>6) Award for Your Players:</t>
  </si>
  <si>
    <t>7) Target -&gt;</t>
  </si>
  <si>
    <t>7) Winning Team -&gt;</t>
  </si>
  <si>
    <t>8) Predictions -&gt;</t>
  </si>
  <si>
    <t xml:space="preserve">    100% Precision -&gt; 100 pts</t>
  </si>
  <si>
    <t xml:space="preserve">    75% Precision -&gt; 50 pts</t>
  </si>
  <si>
    <t xml:space="preserve">    Each team Qualify to SUPER 4 and FINAL -&gt; 100 pts</t>
  </si>
  <si>
    <t>HEADLINES</t>
  </si>
  <si>
    <t>AS OF NOW, IT'S A MID-TABLE DOGFIGHT - EVERY POINT COUNTS!...</t>
  </si>
  <si>
    <t>SONG LINES:</t>
  </si>
  <si>
    <t>-----------------</t>
  </si>
  <si>
    <t>29*</t>
  </si>
  <si>
    <t>6*</t>
  </si>
  <si>
    <t>26*</t>
  </si>
  <si>
    <t>17*</t>
  </si>
  <si>
    <t>30*</t>
  </si>
  <si>
    <t>SUPER 4s PRED.</t>
  </si>
  <si>
    <t>NO CHANGE IN STANDINGS OVER A WEEK</t>
  </si>
  <si>
    <t>Everybody listen listen listen</t>
  </si>
  <si>
    <t>Make way for the king</t>
  </si>
  <si>
    <t>Just watch the way</t>
  </si>
  <si>
    <t>He is gonna swing… alright</t>
  </si>
  <si>
    <t>Endhan ellai thaandum kaatrivan</t>
  </si>
  <si>
    <t>Kaattai erikkum neruppivan</t>
  </si>
  <si>
    <t>Kai pattal kothikkum neer ivan</t>
  </si>
  <si>
    <t>He is on a mission</t>
  </si>
  <si>
    <t>You can never stop him</t>
  </si>
  <si>
    <t>He is a human tornado</t>
  </si>
  <si>
    <t>Everybody listen</t>
  </si>
  <si>
    <t>He has got the right decision</t>
  </si>
  <si>
    <t>You cannot mess with him</t>
  </si>
  <si>
    <t>Not even with his shadow</t>
  </si>
  <si>
    <t>He is durai singam</t>
  </si>
  <si>
    <t>Nilamum vanangum</t>
  </si>
  <si>
    <t>Hey..singam singam</t>
  </si>
  <si>
    <t>Ayim boothangal yaavum</t>
  </si>
  <si>
    <t>Evanul adangum</t>
  </si>
  <si>
    <t>Hei vinnai theendum kathiravan</t>
  </si>
  <si>
    <t>Ivan nadanthal pothum</t>
  </si>
  <si>
    <t>Singam singam</t>
  </si>
  <si>
    <t>SURIYA TAKING OVER THE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</si>
</sst>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3" fillId="4" borderId="1" xfId="0" applyFont="1" applyFill="1" applyBorder="1"/>
    <xf numFmtId="0" fontId="4" fillId="3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quotePrefix="1"/>
    <xf numFmtId="0" fontId="5" fillId="0" borderId="0" xfId="0" applyFont="1"/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184">
    <dxf>
      <font>
        <color rgb="FF9C0006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alignment horizontal="center"/>
    </dxf>
    <dxf>
      <numFmt numFmtId="0" formatCode="General"/>
      <alignment horizontal="center"/>
    </dxf>
    <dxf>
      <fill>
        <patternFill patternType="solid">
          <fgColor indexed="64"/>
          <bgColor theme="6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D6C92"/>
      <color rgb="FFC7B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92C30-632C-49E3-B7A4-F863F89E0A6F}" name="Table8" displayName="Table8" ref="A1:N8" totalsRowShown="0" headerRowDxfId="183" dataDxfId="182">
  <autoFilter ref="A1:N8" xr:uid="{3CF92C30-632C-49E3-B7A4-F863F89E0A6F}"/>
  <sortState xmlns:xlrd2="http://schemas.microsoft.com/office/spreadsheetml/2017/richdata2" ref="A2:M8">
    <sortCondition ref="A1:A8"/>
  </sortState>
  <tableColumns count="14">
    <tableColumn id="1" xr3:uid="{BB851843-99B6-4FEB-844F-ED25E3C4F0CB}" name="RANK" dataDxfId="181">
      <calculatedColumnFormula>_xlfn.RANK.EQ(Table8[[#This Row],[TALLY]], Table8[TALLY], 0) + COUNTIFS(Table8[TALLY], Table8[[#This Row],[TALLY]], Table8[NAME], "&lt;" &amp; Table8[[#This Row],[NAME]])</calculatedColumnFormula>
    </tableColumn>
    <tableColumn id="2" xr3:uid="{9EF46F55-E154-48E8-BC97-D2271F1395A5}" name="PROGRESS" dataDxfId="180">
      <calculatedColumnFormula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calculatedColumnFormula>
    </tableColumn>
    <tableColumn id="3" xr3:uid="{8FC01F22-D448-490D-A2FA-63E2C0783548}" name="NAME" dataDxfId="179"/>
    <tableColumn id="4" xr3:uid="{A95197E2-463C-4DED-A8D4-4DB816B57DEF}" name="TALLY" dataDxfId="178">
      <calculatedColumnFormula>SUM(Table8[[#This Row],[BATTER]:[EXTRAS]])</calculatedColumnFormula>
    </tableColumn>
    <tableColumn id="5" xr3:uid="{EA6134DA-45EF-4BC1-AA0D-D281E9D1E0BE}" name="LEAD OVER NEXT ONE" dataDxfId="177">
      <calculatedColumnFormula array="1">IF(Table8[[#This Row],[RANK]]&lt;MAX(Table8[RANK]),Table8[[#This Row],[TALLY]] - INDEX(Table8[TALLY], Table8[[#This Row],[RANK]] + 1), "")</calculatedColumnFormula>
    </tableColumn>
    <tableColumn id="6" xr3:uid="{65C0C57D-61F2-48FA-85AC-3385C0D7F9EF}" name="GAP TO TOP" dataDxfId="176">
      <calculatedColumnFormula>IF(MAX(Table8[TALLY])-Table8[[#This Row],[TALLY]]=0,"",MAX(Table8[TALLY])-Table8[[#This Row],[TALLY]])</calculatedColumnFormula>
    </tableColumn>
    <tableColumn id="7" xr3:uid="{ED4765C3-3213-4F4D-88AC-9CF0DF89CBC9}" name="BATTER" dataDxfId="175">
      <calculatedColumnFormula>_xlfn.XLOOKUP(_xlfn.XLOOKUP(Table8[[#This Row],[NAME]],'TEAM PICK AND PREDICTIONS'!$A$2:$A$8,'TEAM PICK AND PREDICTIONS'!$B$2:$B$8,"NA"),Table0[PLAYER NAME],Table0[POINTS TALLY],0)*2</calculatedColumnFormula>
    </tableColumn>
    <tableColumn id="8" xr3:uid="{B0A40474-4C3E-466D-B8C2-E52EADCE47C0}" name="BOWLER" dataDxfId="174">
      <calculatedColumnFormula>_xlfn.XLOOKUP(_xlfn.XLOOKUP(Table8[[#This Row],[NAME]],'TEAM PICK AND PREDICTIONS'!$A$2:$A$8,'TEAM PICK AND PREDICTIONS'!$C$2:$C$8,"NA"),Table0[PLAYER NAME],Table0[POINTS TALLY],0)</calculatedColumnFormula>
    </tableColumn>
    <tableColumn id="9" xr3:uid="{010EE4EB-6134-4F56-8241-0C882F71372A}" name="ALLROUNDER" dataDxfId="173">
      <calculatedColumnFormula>_xlfn.XLOOKUP(_xlfn.XLOOKUP(Table8[[#This Row],[NAME]],'TEAM PICK AND PREDICTIONS'!$A$2:$A$8,'TEAM PICK AND PREDICTIONS'!$D$2:$D$8,"NA"),Table0[PLAYER NAME],Table0[POINTS TALLY],0)*1.5</calculatedColumnFormula>
    </tableColumn>
    <tableColumn id="10" xr3:uid="{6DAE14E3-B959-4F30-90AB-149C8F28A868}" name="FINISHER" dataDxfId="172">
      <calculatedColumnFormula>_xlfn.XLOOKUP(_xlfn.XLOOKUP(Table8[[#This Row],[NAME]],'TEAM PICK AND PREDICTIONS'!$A$2:$A$8,'TEAM PICK AND PREDICTIONS'!$E$2:$E$8,"NA"),Table0[PLAYER NAME],Table0[POINTS TALLY],0)</calculatedColumnFormula>
    </tableColumn>
    <tableColumn id="11" xr3:uid="{4EFF7505-066A-40E6-B656-DEFD0956E5CC}" name="WINNING TEAM PRED." dataDxfId="171">
      <calculatedColumnFormula>_xlfn.XLOOKUP(Table8[[#This Row],[NAME]],'WINNING TEAM PREDICTIONS'!$A$2:$A$8,'WINNING TEAM PREDICTIONS'!$B$2:$B$8,"NA")</calculatedColumnFormula>
    </tableColumn>
    <tableColumn id="12" xr3:uid="{E84DB788-C1FB-47B2-A19A-F2AD0DC405B7}" name="TARGET PRED." dataDxfId="170">
      <calculatedColumnFormula>_xlfn.XLOOKUP(Table8[[#This Row],[NAME]],'TARGET PREDICTIONS'!$A$2:$A$8,'TARGET PREDICTIONS'!$B$2:$B$8,"NA")</calculatedColumnFormula>
    </tableColumn>
    <tableColumn id="13" xr3:uid="{7CE6D44D-FAE1-48B7-AA27-15DC4FD8CD3E}" name="SUPER 4s PRED." dataDxfId="169"/>
    <tableColumn id="14" xr3:uid="{8FA33169-13D3-4DC8-92A2-0864FB132636}" name="EXTRAS" dataDxfId="168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D370F-2731-4F54-B8D6-BC66D4B37A02}" name="Table1" displayName="Table1" ref="C3:W25" totalsRowShown="0" headerRowDxfId="167" dataDxfId="166">
  <tableColumns count="21">
    <tableColumn id="2" xr3:uid="{C8624866-08D7-426E-A18C-3961C7F228AB}" name="RUNS SCORED" dataDxfId="165"/>
    <tableColumn id="3" xr3:uid="{E0038D5D-0A5A-4EC9-8097-BEE05991717D}" name="BALLS FACED" dataDxfId="164"/>
    <tableColumn id="4" xr3:uid="{1983F26B-F968-4D08-91A3-292D2D4530A2}" name="4s" dataDxfId="163"/>
    <tableColumn id="5" xr3:uid="{841DAB19-2646-4C5F-AECF-7CE4E38291B8}" name="6s" dataDxfId="162"/>
    <tableColumn id="6" xr3:uid="{5A7D0C58-1D2B-4BBE-9A28-16D97A7CAE24}" name="STRIKE RATE" dataDxfId="161">
      <calculatedColumnFormula>IFERROR(_xlfn.NUMBERVALUE(SUBSTITUTE(Table1[[#This Row],[RUNS SCORED]],"*",""))/Table1[[#This Row],[BALLS FACED]]*100,0)</calculatedColumnFormula>
    </tableColumn>
    <tableColumn id="7" xr3:uid="{1506A782-7FBD-4ECB-9A8F-59BD75E3513D}" name="BONUS 1" dataDxfId="160">
      <calculatedColumnFormula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F3D9C685-5D82-4B97-9C91-DCE16E2C5A9C}" name="SUB TOTAL 1" dataDxfId="159">
      <calculatedColumnFormula>IF(Table1[[#This Row],[RUNS SCORED]]="", 0, VALUE(SUBSTITUTE(Table1[[#This Row],[RUNS SCORED]],"*","")) + Table1[[#This Row],[BONUS 1]])</calculatedColumnFormula>
    </tableColumn>
    <tableColumn id="9" xr3:uid="{2E62EFC8-3271-4356-9815-7B1767D7D3CC}" name="OVERS" dataDxfId="158"/>
    <tableColumn id="10" xr3:uid="{CF7C418C-60DD-413D-B1F6-BF9D7BF7FFC7}" name="MAIDENS" dataDxfId="157"/>
    <tableColumn id="11" xr3:uid="{18A901FA-4C33-4D63-A6E0-0DDA30DA8C51}" name="RUNS GIVEN" dataDxfId="156"/>
    <tableColumn id="12" xr3:uid="{C46DD252-63AD-460D-8B54-2029550C866B}" name="WICKETS TAKEN" dataDxfId="155"/>
    <tableColumn id="13" xr3:uid="{6DE2A3AC-0305-4184-8D81-652CF669A667}" name="ECONOMIC RATE" dataDxfId="154">
      <calculatedColumnFormula>IFERROR(Table1[[#This Row],[RUNS GIVEN]]/Table1[[#This Row],[OVERS]],0)</calculatedColumnFormula>
    </tableColumn>
    <tableColumn id="14" xr3:uid="{EB8D2C04-4C95-4B67-B343-E2A913CE2407}" name="BONUS 2" dataDxfId="153">
      <calculatedColumnFormula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BF288A01-1381-48E6-9040-B9F8EE046B78}" name="SUB TOTAL 2" dataDxfId="152">
      <calculatedColumnFormula>IF(Table1[[#This Row],[WICKETS TAKEN]]="", 0, IF(Table1[[#This Row],[WICKETS TAKEN]] = 0, -25,
        Table1[[#This Row],[WICKETS TAKEN]] * 50)+Table1[[#This Row],[BONUS 2]])</calculatedColumnFormula>
    </tableColumn>
    <tableColumn id="16" xr3:uid="{321F2C7D-960C-412C-81C9-790565D601F6}" name="CATCHES TAKEN" dataDxfId="151"/>
    <tableColumn id="17" xr3:uid="{55640299-E4AA-4ACB-BA02-045163AA5A63}" name="RUNOUTS" dataDxfId="150"/>
    <tableColumn id="18" xr3:uid="{43DBC54E-698F-43D0-B506-22E15C3E62C6}" name="STUMPINGS" dataDxfId="149"/>
    <tableColumn id="19" xr3:uid="{0263686A-B767-4EE5-97FF-A56AA9023F53}" name="BONUS 3" dataDxfId="148">
      <calculatedColumnFormula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71BAA11E-D998-4B3B-A3DA-1F387BED40D1}" name="SUB TOTAL 3" dataDxfId="147">
      <calculatedColumnFormula>IF(AND(Table1[[#This Row],[CATCHES TAKEN]]="",Table1[[#This Row],[RUNOUTS]]="",Table1[[#This Row],[STUMPINGS]]=""), 0, Table1[[#This Row],[BONUS 3]])</calculatedColumnFormula>
    </tableColumn>
    <tableColumn id="21" xr3:uid="{EE7C36F1-11B0-4847-8804-2118BAC82468}" name="POM BONUS" dataDxfId="146"/>
    <tableColumn id="22" xr3:uid="{A13E3CC6-114F-42BD-98DF-58137E6102C2}" name="GRAND TOTAL" dataDxfId="145">
      <calculatedColumnFormula>SUM(Table1[[#This Row],[SUB TOTAL 1]],Table1[[#This Row],[SUB TOTAL 2]],Table1[[#This Row],[SUB TOTAL 3]],Table1[[#This Row],[POM BONUS]])</calculatedColumnFormula>
    </tableColumn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D6455-ED45-4573-B7DA-DDC0D45F16D7}" name="Table0" displayName="Table0" ref="A3:B25" totalsRowShown="0" headerRowDxfId="144">
  <tableColumns count="2">
    <tableColumn id="1" xr3:uid="{340FA97E-2428-4EE1-A7B2-B7CDF4E7C4BC}" name="PLAYER NAME"/>
    <tableColumn id="2" xr3:uid="{068A4A62-8675-4FAD-90A2-1592BF652BBF}" name="POINTS TALLY" dataDxfId="143">
      <calculatedColumnFormula>SUM(Table1[[#This Row],[GRAND TOTAL]],Table2[[#This Row],[GRAND TOTAL]],Table3[[#This Row],[GRAND TOTAL]],Table4[[#This Row],[GRAND TOTAL]],Table5[[#This Row],[GRAND TOTAL]],Table6[[#This Row],[GRAND TOTAL]],Table7[[#This Row],[GRAND TOTAL]])</calculatedColumnFormula>
    </tableColumn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E147B-EE50-4F33-B794-A56738C356A1}" name="Table2" displayName="Table2" ref="X3:AR25" totalsRowShown="0" headerRowDxfId="142" dataDxfId="141">
  <tableColumns count="21">
    <tableColumn id="2" xr3:uid="{66D88268-285C-45A5-82CC-C8803BD992FA}" name="RUNS SCORED" dataDxfId="140"/>
    <tableColumn id="3" xr3:uid="{EFB8CE24-8D84-4937-9A6F-C78520760380}" name="BALLS FACED" dataDxfId="139"/>
    <tableColumn id="4" xr3:uid="{5869C4AA-77BB-464A-A865-3DB6BEB2B9C0}" name="4s" dataDxfId="138"/>
    <tableColumn id="5" xr3:uid="{568B3742-8625-412F-8E2C-659E68A7F1A3}" name="6s" dataDxfId="137"/>
    <tableColumn id="6" xr3:uid="{22CC5A68-D004-400A-B6DF-8549DE959180}" name="STRIKE RATE" dataDxfId="136">
      <calculatedColumnFormula>IFERROR(_xlfn.NUMBERVALUE(SUBSTITUTE(Table2[[#This Row],[RUNS SCORED]],"*",""))/Table2[[#This Row],[BALLS FACED]]*100,0)</calculatedColumnFormula>
    </tableColumn>
    <tableColumn id="7" xr3:uid="{C9136477-8E69-4BF5-8C08-0B2B030DA2C1}" name="BONUS 1" dataDxfId="135">
      <calculatedColumnFormula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45CB85DA-66D6-46DF-A692-F3A49945770F}" name="SUB TOTAL 1" dataDxfId="134">
      <calculatedColumnFormula>IF(Table2[[#This Row],[RUNS SCORED]]="", 0, VALUE(SUBSTITUTE(Table2[[#This Row],[RUNS SCORED]],"*","")) + Table2[[#This Row],[BONUS 1]])</calculatedColumnFormula>
    </tableColumn>
    <tableColumn id="9" xr3:uid="{EAAE21CD-0F8F-4AA0-8C53-17D9051C3BB5}" name="OVERS" dataDxfId="133"/>
    <tableColumn id="10" xr3:uid="{D2756459-6153-43D1-8E7A-F60FB1EC30A4}" name="MAIDENS" dataDxfId="132"/>
    <tableColumn id="11" xr3:uid="{F4BF2509-3595-47FE-BB34-1332F552E26F}" name="RUNS GIVEN" dataDxfId="131"/>
    <tableColumn id="12" xr3:uid="{654B5832-A450-423A-8FD7-0001754504F5}" name="WICKETS TAKEN" dataDxfId="130"/>
    <tableColumn id="13" xr3:uid="{D59AEAD7-3986-4EFC-BF6B-5ECAE010E4CD}" name="ECONOMIC RATE" dataDxfId="129">
      <calculatedColumnFormula>IFERROR(Table2[[#This Row],[RUNS GIVEN]]/Table2[[#This Row],[OVERS]],0)</calculatedColumnFormula>
    </tableColumn>
    <tableColumn id="14" xr3:uid="{052BEA4F-5E67-4036-95F1-4BAB098787FC}" name="BONUS 2" dataDxfId="128">
      <calculatedColumnFormula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A039322-156A-49A4-92AF-7B3337BC5897}" name="SUB TOTAL 2" dataDxfId="127">
      <calculatedColumnFormula>IF(Table2[[#This Row],[WICKETS TAKEN]]="", 0, IF(Table2[[#This Row],[WICKETS TAKEN]] = 0, -25,
        Table2[[#This Row],[WICKETS TAKEN]] * 50)+Table2[[#This Row],[BONUS 2]])</calculatedColumnFormula>
    </tableColumn>
    <tableColumn id="16" xr3:uid="{377842DB-59CB-4D9B-B945-B1A07349B53E}" name="CATCHES TAKEN" dataDxfId="126"/>
    <tableColumn id="17" xr3:uid="{68B8909E-3B86-4A33-858F-4263662A156D}" name="RUNOUTS" dataDxfId="125"/>
    <tableColumn id="18" xr3:uid="{DBF5F4E7-2397-473C-AFDA-F1D8700ADD4D}" name="STUMPINGS" dataDxfId="124"/>
    <tableColumn id="19" xr3:uid="{88201B39-C8BA-41DB-B159-A2FBDB9C601E}" name="BONUS 3" dataDxfId="123">
      <calculatedColumnFormula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ACEF1AD2-F9A7-4CF0-AF0A-BDE7102A3760}" name="SUB TOTAL 3" dataDxfId="122">
      <calculatedColumnFormula>IF(AND(Table2[[#This Row],[CATCHES TAKEN]]="",Table2[[#This Row],[RUNOUTS]]="",Table2[[#This Row],[STUMPINGS]]=""), 0, Table2[[#This Row],[BONUS 3]])</calculatedColumnFormula>
    </tableColumn>
    <tableColumn id="21" xr3:uid="{6CFAED47-A81A-445A-B0EE-8AC9A2B7BEAC}" name="POM BONUS" dataDxfId="121"/>
    <tableColumn id="22" xr3:uid="{EF5A70A9-9F1E-41D1-B500-AB41D70D0D1D}" name="GRAND TOTAL" dataDxfId="120">
      <calculatedColumnFormula>SUM(Table2[[#This Row],[SUB TOTAL 1]],Table2[[#This Row],[SUB TOTAL 2]],Table2[[#This Row],[SUB TOTAL 3]],Table2[[#This Row],[POM BONUS]])</calculatedColumnFormula>
    </tableColumn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35C29-23F0-4D6E-A063-C334D99B9A9F}" name="Table3" displayName="Table3" ref="AS3:BM25" totalsRowShown="0" headerRowDxfId="119" dataDxfId="118">
  <tableColumns count="21">
    <tableColumn id="2" xr3:uid="{56F16C71-2F5E-42CC-967E-F88BF9B7F168}" name="RUNS SCORED" dataDxfId="117"/>
    <tableColumn id="3" xr3:uid="{5DDF349B-88E7-411C-95FE-8D03DD73B68C}" name="BALLS FACED" dataDxfId="116"/>
    <tableColumn id="4" xr3:uid="{34043AD5-75F8-4E6A-BA8D-8D21A2C3C40D}" name="4s" dataDxfId="115"/>
    <tableColumn id="5" xr3:uid="{ED47AB65-2621-4A4C-A980-9A5B19B11ED4}" name="6s" dataDxfId="114"/>
    <tableColumn id="6" xr3:uid="{7E76EA96-8349-4C1A-8BDA-68F3CEFBF104}" name="STRIKE RATE" dataDxfId="113">
      <calculatedColumnFormula>IFERROR(_xlfn.NUMBERVALUE(SUBSTITUTE(Table3[[#This Row],[RUNS SCORED]],"*",""))/Table3[[#This Row],[BALLS FACED]]*100,0)</calculatedColumnFormula>
    </tableColumn>
    <tableColumn id="7" xr3:uid="{3EE73BFE-2263-4494-9ADC-CD8BA31E8CAF}" name="BONUS 1" dataDxfId="112">
      <calculatedColumnFormula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E63C0C78-375B-46CD-AE97-7E658D21AA15}" name="SUB TOTAL 1" dataDxfId="111">
      <calculatedColumnFormula>IF(Table3[[#This Row],[RUNS SCORED]]="", 0, VALUE(SUBSTITUTE(Table3[[#This Row],[RUNS SCORED]],"*","")) + Table3[[#This Row],[BONUS 1]])</calculatedColumnFormula>
    </tableColumn>
    <tableColumn id="9" xr3:uid="{BE8D5911-5193-4785-BE94-F7DD225AF9ED}" name="OVERS" dataDxfId="110"/>
    <tableColumn id="10" xr3:uid="{CFA160DD-0E33-44A2-80F9-CBC6D95052E7}" name="MAIDENS" dataDxfId="109"/>
    <tableColumn id="11" xr3:uid="{34B01453-F4A2-49CF-B61A-EBA1DE47BAD0}" name="RUNS GIVEN" dataDxfId="108"/>
    <tableColumn id="12" xr3:uid="{D06112D7-C775-41FB-AA3D-7E1AFC9BCF19}" name="WICKETS TAKEN" dataDxfId="107"/>
    <tableColumn id="13" xr3:uid="{104DE865-BC26-471A-8E2B-0533E76B297A}" name="ECONOMIC RATE" dataDxfId="106">
      <calculatedColumnFormula>IFERROR(Table3[[#This Row],[RUNS GIVEN]]/Table3[[#This Row],[OVERS]],0)</calculatedColumnFormula>
    </tableColumn>
    <tableColumn id="14" xr3:uid="{4416AEF1-D481-4F0C-B03D-D2B0428A2663}" name="BONUS 2" dataDxfId="105">
      <calculatedColumnFormula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8880EF5C-11D5-4A41-8C06-788A70EB95C7}" name="SUB TOTAL 2" dataDxfId="104">
      <calculatedColumnFormula>IF(Table3[[#This Row],[WICKETS TAKEN]]="", 0, IF(Table3[[#This Row],[WICKETS TAKEN]] = 0, -25,
        Table3[[#This Row],[WICKETS TAKEN]] * 50)+Table3[[#This Row],[BONUS 2]])</calculatedColumnFormula>
    </tableColumn>
    <tableColumn id="16" xr3:uid="{D5A89A87-B81E-4B05-80FA-A24E5DE618C6}" name="CATCHES TAKEN" dataDxfId="103"/>
    <tableColumn id="17" xr3:uid="{E2AC7C05-2815-4674-96DB-562BA5AD0A08}" name="RUNOUTS" dataDxfId="102"/>
    <tableColumn id="18" xr3:uid="{776B08DD-F537-41CE-9038-E2A58C941C46}" name="STUMPINGS" dataDxfId="101"/>
    <tableColumn id="19" xr3:uid="{3B5B9F5C-9F5D-41A1-8876-ED0E22998870}" name="BONUS 3" dataDxfId="100">
      <calculatedColumnFormula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4A782678-5EE8-4020-A4EB-8B8AD467511F}" name="SUB TOTAL 3" dataDxfId="99">
      <calculatedColumnFormula>IF(AND(Table3[[#This Row],[CATCHES TAKEN]]="",Table3[[#This Row],[RUNOUTS]]="",Table3[[#This Row],[STUMPINGS]]=""), 0, Table3[[#This Row],[BONUS 3]])</calculatedColumnFormula>
    </tableColumn>
    <tableColumn id="21" xr3:uid="{EBCFF7F3-AFFB-42D2-B9F8-9975CE66761A}" name="POM BONUS" dataDxfId="98"/>
    <tableColumn id="22" xr3:uid="{4F611149-9575-42CC-880F-5F5CAF38C8E4}" name="GRAND TOTAL" dataDxfId="97">
      <calculatedColumnFormula>SUM(Table3[[#This Row],[SUB TOTAL 1]],Table3[[#This Row],[SUB TOTAL 2]],Table3[[#This Row],[SUB TOTAL 3]],Table3[[#This Row],[POM BONUS]])</calculatedColumnFormula>
    </tableColumn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F641A7-692E-497F-9602-82A883EE8158}" name="Table4" displayName="Table4" ref="BN3:CH25" totalsRowShown="0" headerRowDxfId="96" dataDxfId="95">
  <tableColumns count="21">
    <tableColumn id="2" xr3:uid="{D7943FDE-FF42-40CA-9B89-BB5079C8C05C}" name="RUNS SCORED" dataDxfId="94"/>
    <tableColumn id="3" xr3:uid="{0EE1E86B-060A-470B-AB8A-A31C8C9041E1}" name="BALLS FACED" dataDxfId="93"/>
    <tableColumn id="4" xr3:uid="{04145743-13DC-417B-AE7C-43ED4935CB62}" name="4s" dataDxfId="92"/>
    <tableColumn id="5" xr3:uid="{F79630B4-5246-48BA-993A-70C7DAAE6C4E}" name="6s" dataDxfId="91"/>
    <tableColumn id="6" xr3:uid="{CF85053F-0C70-4E6D-A581-DBA9885CE01E}" name="STRIKE RATE" dataDxfId="90">
      <calculatedColumnFormula>IFERROR(_xlfn.NUMBERVALUE(SUBSTITUTE(Table4[[#This Row],[RUNS SCORED]],"*",""))/Table4[[#This Row],[BALLS FACED]]*100,0)</calculatedColumnFormula>
    </tableColumn>
    <tableColumn id="7" xr3:uid="{846634D7-3B72-4C30-9323-9A1D8E013BBD}" name="BONUS 1" dataDxfId="89">
      <calculatedColumnFormula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9E9C343B-42F4-49AD-9562-43EF22815BEE}" name="SUB TOTAL 1" dataDxfId="88">
      <calculatedColumnFormula>IF(Table4[[#This Row],[RUNS SCORED]]="", 0, VALUE(SUBSTITUTE(Table4[[#This Row],[RUNS SCORED]],"*","")) + Table4[[#This Row],[BONUS 1]])</calculatedColumnFormula>
    </tableColumn>
    <tableColumn id="9" xr3:uid="{14617091-FCC6-472B-BA8A-851446232D56}" name="OVERS" dataDxfId="87"/>
    <tableColumn id="10" xr3:uid="{615730DF-437F-4A60-B392-6A8925A4D906}" name="MAIDENS" dataDxfId="86"/>
    <tableColumn id="11" xr3:uid="{84FF7653-812F-4A44-AAFA-56C78220659E}" name="RUNS GIVEN" dataDxfId="85"/>
    <tableColumn id="12" xr3:uid="{A77445CB-087F-440B-8676-16EAC6DFBF26}" name="WICKETS TAKEN" dataDxfId="84"/>
    <tableColumn id="13" xr3:uid="{101B5C70-78F6-42E5-887A-30683963962B}" name="ECONOMIC RATE" dataDxfId="83">
      <calculatedColumnFormula>IFERROR(Table4[[#This Row],[RUNS GIVEN]]/Table4[[#This Row],[OVERS]],0)</calculatedColumnFormula>
    </tableColumn>
    <tableColumn id="14" xr3:uid="{F7A97E06-9DC4-4A9B-86E2-DA3D413FE66B}" name="BONUS 2" dataDxfId="82">
      <calculatedColumnFormula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7683B3CD-41DD-4E02-BF14-C3170F3E5172}" name="SUB TOTAL 2" dataDxfId="81">
      <calculatedColumnFormula>IF(Table4[[#This Row],[WICKETS TAKEN]]="", 0, IF(Table4[[#This Row],[WICKETS TAKEN]] = 0, -25,
        Table4[[#This Row],[WICKETS TAKEN]] * 50)+Table4[[#This Row],[BONUS 2]])</calculatedColumnFormula>
    </tableColumn>
    <tableColumn id="16" xr3:uid="{3F9AD527-95EF-4B95-9D27-41A9B7D31DE3}" name="CATCHES TAKEN" dataDxfId="80"/>
    <tableColumn id="17" xr3:uid="{578DD65F-9774-4286-BCC4-3758F4515BA1}" name="RUNOUTS" dataDxfId="79"/>
    <tableColumn id="18" xr3:uid="{4FF66C71-5F02-47FD-9EDA-CE1F2668DA32}" name="STUMPINGS" dataDxfId="78"/>
    <tableColumn id="19" xr3:uid="{0645B3B3-3DE9-4715-970E-08C6463654F7}" name="BONUS 3" dataDxfId="77">
      <calculatedColumnFormula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3AA00CB4-2787-4806-8C2D-0CC14FE97CA9}" name="SUB TOTAL 3" dataDxfId="76">
      <calculatedColumnFormula>IF(AND(Table4[[#This Row],[CATCHES TAKEN]]="",Table4[[#This Row],[RUNOUTS]]="",Table4[[#This Row],[STUMPINGS]]=""), 0, Table4[[#This Row],[BONUS 3]])</calculatedColumnFormula>
    </tableColumn>
    <tableColumn id="21" xr3:uid="{EEDCAACE-6341-4EF6-BEC9-91C3D8C2CE43}" name="POM BONUS" dataDxfId="75"/>
    <tableColumn id="22" xr3:uid="{EEF82301-5B3C-4756-95ED-850455FDD600}" name="GRAND TOTAL" dataDxfId="74">
      <calculatedColumnFormula>SUM(Table4[[#This Row],[SUB TOTAL 1]],Table4[[#This Row],[SUB TOTAL 2]],Table4[[#This Row],[SUB TOTAL 3]],Table4[[#This Row],[POM BONUS]])</calculatedColumnFormula>
    </tableColumn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EE538B-2CC4-4EFC-BEC5-EF690402B71E}" name="Table5" displayName="Table5" ref="CI3:DC25" totalsRowShown="0" headerRowDxfId="73" dataDxfId="72">
  <tableColumns count="21">
    <tableColumn id="2" xr3:uid="{222E5B85-61F8-47BB-B98A-C92BE3D14A59}" name="RUNS SCORED" dataDxfId="71"/>
    <tableColumn id="3" xr3:uid="{E5CB6F75-7CE9-4443-AD31-C758855DE0D8}" name="BALLS FACED" dataDxfId="70"/>
    <tableColumn id="4" xr3:uid="{9685B081-CCCA-433D-A13F-D29409491FC9}" name="4s" dataDxfId="69"/>
    <tableColumn id="5" xr3:uid="{3B0882EC-4E18-445E-AB83-EAB42EBEF280}" name="6s" dataDxfId="68"/>
    <tableColumn id="6" xr3:uid="{51CD576C-A47B-4170-9504-142360791174}" name="STRIKE RATE" dataDxfId="67">
      <calculatedColumnFormula>IFERROR(_xlfn.NUMBERVALUE(SUBSTITUTE(Table5[[#This Row],[RUNS SCORED]],"*",""))/Table5[[#This Row],[BALLS FACED]]*100,0)</calculatedColumnFormula>
    </tableColumn>
    <tableColumn id="7" xr3:uid="{3D853FF5-0771-420E-86D1-846F6911A113}" name="BONUS 1" dataDxfId="66">
      <calculatedColumnFormula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01909E6-0499-495E-A59A-F1321CBB9E3F}" name="SUB TOTAL 1" dataDxfId="65">
      <calculatedColumnFormula>IF(Table5[[#This Row],[RUNS SCORED]]="", 0, VALUE(SUBSTITUTE(Table5[[#This Row],[RUNS SCORED]],"*","")) + Table5[[#This Row],[BONUS 1]])</calculatedColumnFormula>
    </tableColumn>
    <tableColumn id="9" xr3:uid="{89F9D59B-75E0-4CE9-A6F0-A342A0E7CEDB}" name="OVERS" dataDxfId="64"/>
    <tableColumn id="10" xr3:uid="{C5FEC86D-088D-42EC-92FE-082475E2A17B}" name="MAIDENS" dataDxfId="63"/>
    <tableColumn id="11" xr3:uid="{4A304CA5-A9A1-4234-93FD-BE29885121C1}" name="RUNS GIVEN" dataDxfId="62"/>
    <tableColumn id="12" xr3:uid="{619D997B-E38E-40D4-9BD1-EEA1376FA5BA}" name="WICKETS TAKEN" dataDxfId="61"/>
    <tableColumn id="13" xr3:uid="{1988BDA3-D51F-4F44-939A-D49D31030A84}" name="ECONOMIC RATE" dataDxfId="60">
      <calculatedColumnFormula>IFERROR(Table5[[#This Row],[RUNS GIVEN]]/Table5[[#This Row],[OVERS]],0)</calculatedColumnFormula>
    </tableColumn>
    <tableColumn id="14" xr3:uid="{B2E77D70-A704-445B-8219-1A8C353513B1}" name="BONUS 2" dataDxfId="59">
      <calculatedColumnFormula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F5408BD-4A20-425D-B1E0-C6738D9F7EC5}" name="SUB TOTAL 2" dataDxfId="58">
      <calculatedColumnFormula>IF(Table5[[#This Row],[WICKETS TAKEN]]="", 0, IF(Table5[[#This Row],[WICKETS TAKEN]] = 0, -25,
        Table5[[#This Row],[WICKETS TAKEN]] * 50)+Table5[[#This Row],[BONUS 2]])</calculatedColumnFormula>
    </tableColumn>
    <tableColumn id="16" xr3:uid="{DF0EF12A-DE21-4526-ACBF-6C138B3FE81A}" name="CATCHES TAKEN" dataDxfId="57"/>
    <tableColumn id="17" xr3:uid="{00CB6412-8624-4DF3-873C-ACD999524ACC}" name="RUNOUTS" dataDxfId="56"/>
    <tableColumn id="18" xr3:uid="{E0EC86A1-797B-4F97-B456-9057F93036E8}" name="STUMPINGS" dataDxfId="55"/>
    <tableColumn id="19" xr3:uid="{DC2776C4-F36D-4D05-A93C-2763FC2BB08A}" name="BONUS 3" dataDxfId="54">
      <calculatedColumnFormula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6095B6FF-D9E0-4D6F-8765-211BBCF28EE5}" name="SUB TOTAL 3" dataDxfId="53">
      <calculatedColumnFormula>IF(AND(Table5[[#This Row],[CATCHES TAKEN]]="",Table5[[#This Row],[RUNOUTS]]="",Table5[[#This Row],[STUMPINGS]]=""), 0, Table5[[#This Row],[BONUS 3]])</calculatedColumnFormula>
    </tableColumn>
    <tableColumn id="21" xr3:uid="{0D6DDD7F-9C28-44E0-9A19-F2DAB725C7AF}" name="POM BONUS" dataDxfId="52"/>
    <tableColumn id="22" xr3:uid="{B665D851-60CB-4671-A523-0B5EF20FF0EF}" name="GRAND TOTAL" dataDxfId="51">
      <calculatedColumnFormula>SUM(Table5[[#This Row],[SUB TOTAL 1]],Table5[[#This Row],[SUB TOTAL 2]],Table5[[#This Row],[SUB TOTAL 3]],Table5[[#This Row],[POM BONUS]])</calculatedColumnFormula>
    </tableColumn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EDB51D-2ADD-4E88-A204-1623F3690BAE}" name="Table6" displayName="Table6" ref="DD3:DX25" totalsRowShown="0" headerRowDxfId="50" dataDxfId="49">
  <tableColumns count="21">
    <tableColumn id="2" xr3:uid="{6A0F65AF-C011-447A-8013-9912E280E7EF}" name="RUNS SCORED" dataDxfId="48"/>
    <tableColumn id="3" xr3:uid="{0C3D3381-DB3A-4668-AA28-7ED187040E51}" name="BALLS FACED" dataDxfId="47"/>
    <tableColumn id="4" xr3:uid="{6832854A-2CD6-4569-B922-62139D5F925F}" name="4s" dataDxfId="46"/>
    <tableColumn id="5" xr3:uid="{61B40399-ABDD-43C6-AD23-9D1F91574D53}" name="6s" dataDxfId="45"/>
    <tableColumn id="6" xr3:uid="{744115DD-543A-413B-8404-B17CD4E50B3D}" name="STRIKE RATE" dataDxfId="44">
      <calculatedColumnFormula>IFERROR(_xlfn.NUMBERVALUE(SUBSTITUTE(Table6[[#This Row],[RUNS SCORED]],"*",""))/Table6[[#This Row],[BALLS FACED]]*100,0)</calculatedColumnFormula>
    </tableColumn>
    <tableColumn id="7" xr3:uid="{EA39C124-3483-4932-8D17-A93561DDF0E3}" name="BONUS 1" dataDxfId="43">
      <calculatedColumnFormula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855E32C1-3192-40F0-A8AE-8B59F6092488}" name="SUB TOTAL 1" dataDxfId="42">
      <calculatedColumnFormula>IF(Table6[[#This Row],[RUNS SCORED]]="", 0, VALUE(SUBSTITUTE(Table6[[#This Row],[RUNS SCORED]],"*","")) + Table6[[#This Row],[BONUS 1]])</calculatedColumnFormula>
    </tableColumn>
    <tableColumn id="9" xr3:uid="{4C0344C8-E67C-4271-9EFB-F78173BEBDA8}" name="OVERS" dataDxfId="41"/>
    <tableColumn id="10" xr3:uid="{967D6EEF-B80E-43C5-B94B-800AA1D3A7D3}" name="MAIDENS" dataDxfId="40"/>
    <tableColumn id="11" xr3:uid="{91EE8474-41D8-4FF7-9AB0-FEED98F6253C}" name="RUNS GIVEN" dataDxfId="39"/>
    <tableColumn id="12" xr3:uid="{E750DFF4-A132-4F63-8479-5D1650081677}" name="WICKETS TAKEN" dataDxfId="38"/>
    <tableColumn id="13" xr3:uid="{242F5414-8464-4992-BBBC-2BB1566D299E}" name="ECONOMIC RATE" dataDxfId="37">
      <calculatedColumnFormula>IFERROR(Table6[[#This Row],[RUNS GIVEN]]/Table6[[#This Row],[OVERS]],0)</calculatedColumnFormula>
    </tableColumn>
    <tableColumn id="14" xr3:uid="{2B7FF0AC-BC02-42C2-909A-570C1A9F8B15}" name="BONUS 2" dataDxfId="36">
      <calculatedColumnFormula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2FFE831C-85AB-4079-BE3E-0BC4BE3D22C7}" name="SUB TOTAL 2" dataDxfId="35">
      <calculatedColumnFormula>IF(Table6[[#This Row],[WICKETS TAKEN]]="", 0, IF(Table6[[#This Row],[WICKETS TAKEN]] = 0, -25,
        Table6[[#This Row],[WICKETS TAKEN]] * 50)+Table6[[#This Row],[BONUS 2]])</calculatedColumnFormula>
    </tableColumn>
    <tableColumn id="16" xr3:uid="{480D9A7A-EF18-493B-AC96-A9B0246EC47C}" name="CATCHES TAKEN" dataDxfId="34"/>
    <tableColumn id="17" xr3:uid="{0A8DCA03-8B0B-486C-93B6-A5FD705C2FB3}" name="RUNOUTS" dataDxfId="33"/>
    <tableColumn id="18" xr3:uid="{55D3FB5A-F0B3-4806-B1F6-FBF08552C7FF}" name="STUMPINGS" dataDxfId="32"/>
    <tableColumn id="19" xr3:uid="{E69E126D-4038-467C-B76D-14EBEEE5A561}" name="BONUS 3" dataDxfId="31">
      <calculatedColumnFormula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83191F7F-5094-46D0-8142-0A90640996CF}" name="SUB TOTAL 3" dataDxfId="30">
      <calculatedColumnFormula>IF(AND(Table6[[#This Row],[CATCHES TAKEN]]="",Table6[[#This Row],[RUNOUTS]]="",Table6[[#This Row],[STUMPINGS]]=""), 0, Table6[[#This Row],[BONUS 3]])</calculatedColumnFormula>
    </tableColumn>
    <tableColumn id="21" xr3:uid="{1D5DE066-E4F8-4706-8181-9E5531048B82}" name="POM BONUS" dataDxfId="29"/>
    <tableColumn id="22" xr3:uid="{01C0053E-0C5F-46FF-B4D5-B724B5DB3736}" name="GRAND TOTAL" dataDxfId="28">
      <calculatedColumnFormula>SUM(Table6[[#This Row],[SUB TOTAL 1]],Table6[[#This Row],[SUB TOTAL 2]],Table6[[#This Row],[SUB TOTAL 3]],Table6[[#This Row],[POM BONUS]])</calculatedColumnFormula>
    </tableColumn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41F5C2-434D-4369-A6B4-2E10231084A6}" name="Table7" displayName="Table7" ref="DY3:ES25" totalsRowShown="0" headerRowDxfId="27" dataDxfId="26">
  <tableColumns count="21">
    <tableColumn id="2" xr3:uid="{E1CD65FD-62DA-4F68-B9B1-E09567D5827A}" name="RUNS SCORED" dataDxfId="25"/>
    <tableColumn id="3" xr3:uid="{764DCA6C-4D07-4DDB-A3F2-A318D13A2D04}" name="BALLS FACED" dataDxfId="24"/>
    <tableColumn id="4" xr3:uid="{5C24ADDF-BEB7-4079-B82C-EA78240E06AB}" name="4s" dataDxfId="23"/>
    <tableColumn id="5" xr3:uid="{7E160B04-E19B-4521-A329-928F5230C029}" name="6s" dataDxfId="22"/>
    <tableColumn id="6" xr3:uid="{6988EC11-4F53-4DFA-9A54-D58EC3E572D6}" name="STRIKE RATE" dataDxfId="21">
      <calculatedColumnFormula>IFERROR(_xlfn.NUMBERVALUE(SUBSTITUTE(Table7[[#This Row],[RUNS SCORED]],"*",""))/Table7[[#This Row],[BALLS FACED]]*100,0)</calculatedColumnFormula>
    </tableColumn>
    <tableColumn id="7" xr3:uid="{DDBEEF76-DBE5-4894-863E-02E087AF4384}" name="BONUS 1" dataDxfId="20">
      <calculatedColumnFormula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1125646-B202-4F6A-8C2E-6B582D1975FC}" name="SUB TOTAL 1" dataDxfId="19">
      <calculatedColumnFormula>IF(Table7[[#This Row],[RUNS SCORED]]="", 0, VALUE(SUBSTITUTE(Table7[[#This Row],[RUNS SCORED]],"*","")) + Table7[[#This Row],[BONUS 1]])</calculatedColumnFormula>
    </tableColumn>
    <tableColumn id="9" xr3:uid="{FE497A4A-B40E-44CB-BF55-D1A9D33D0434}" name="OVERS" dataDxfId="18"/>
    <tableColumn id="10" xr3:uid="{A27C5B42-7FA7-4DD2-8AD4-E5272A70CB0A}" name="MAIDENS" dataDxfId="17"/>
    <tableColumn id="11" xr3:uid="{CE73FF67-D028-4134-B4D4-A0B5567EFCCF}" name="RUNS GIVEN" dataDxfId="16"/>
    <tableColumn id="12" xr3:uid="{4D091AC9-A132-4B8F-AA12-8A41AE7A3DBB}" name="WICKETS TAKEN" dataDxfId="15"/>
    <tableColumn id="13" xr3:uid="{9E80D1B9-4BB0-407D-BDF9-6F8079B0A0AF}" name="ECONOMIC RATE" dataDxfId="14">
      <calculatedColumnFormula>IFERROR(Table7[[#This Row],[RUNS GIVEN]]/Table7[[#This Row],[OVERS]],0)</calculatedColumnFormula>
    </tableColumn>
    <tableColumn id="14" xr3:uid="{BAD75C2C-DBE6-47BF-9A1D-8035C3A4E318}" name="BONUS 2" dataDxfId="13">
      <calculatedColumnFormula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1F30B127-C521-4557-8F2E-A22E9A7539E4}" name="SUB TOTAL 2" dataDxfId="12">
      <calculatedColumnFormula>IF(Table7[[#This Row],[WICKETS TAKEN]]="", 0, IF(Table7[[#This Row],[WICKETS TAKEN]] = 0, -25,
        Table7[[#This Row],[WICKETS TAKEN]] * 50)+Table7[[#This Row],[BONUS 2]])</calculatedColumnFormula>
    </tableColumn>
    <tableColumn id="16" xr3:uid="{8DD0C9E1-3A82-47A8-A2DB-FAFEF73B2D20}" name="CATCHES TAKEN" dataDxfId="11"/>
    <tableColumn id="17" xr3:uid="{43F73D1D-D0E6-40A5-9A1D-7F492C76E604}" name="RUNOUTS" dataDxfId="10"/>
    <tableColumn id="18" xr3:uid="{8C83D7E7-5EC9-4855-9F91-FB72B594A86A}" name="STUMPINGS" dataDxfId="9"/>
    <tableColumn id="19" xr3:uid="{7654FC38-F25A-4C9A-A1FE-2480515E2AD0}" name="BONUS 3" dataDxfId="8">
      <calculatedColumnFormula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C799FB8F-7ACD-4FFA-8D37-A3385EA8D9C1}" name="SUB TOTAL 3" dataDxfId="7">
      <calculatedColumnFormula>IF(AND(Table7[[#This Row],[CATCHES TAKEN]]="",Table7[[#This Row],[RUNOUTS]]="",Table7[[#This Row],[STUMPINGS]]=""), 0, Table7[[#This Row],[BONUS 3]])</calculatedColumnFormula>
    </tableColumn>
    <tableColumn id="21" xr3:uid="{B92383D9-B46E-4818-A722-EF9F31E883D4}" name="POM BONUS" dataDxfId="6"/>
    <tableColumn id="22" xr3:uid="{EE6E09D4-CAC6-46A8-8FE8-B25F940EC444}" name="GRAND TOTAL" dataDxfId="5">
      <calculatedColumnFormula>SUM(Table7[[#This Row],[SUB TOTAL 1]],Table7[[#This Row],[SUB TOTAL 2]],Table7[[#This Row],[SUB TOTAL 3]],Table7[[#This Row],[POM BONUS]])</calculatedColumnFormula>
    </tableColumn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1646EA-45DF-4538-B226-4FCC25997011}" name="Table411" displayName="Table411" ref="A29:C36" totalsRowShown="0" headerRowDxfId="4">
  <autoFilter ref="A29:C36" xr:uid="{261646EA-45DF-4538-B226-4FCC25997011}"/>
  <tableColumns count="3">
    <tableColumn id="1" xr3:uid="{1161EBB7-7177-4E89-BDB6-A80895CBAFB3}" name="NAME"/>
    <tableColumn id="5" xr3:uid="{02EE9B2F-6A65-49B5-AD10-6671034E39CB}" name="CURRENT RANK" dataDxfId="3">
      <calculatedColumnFormula>_xlfn.XLOOKUP(Table411[[#This Row],[NAME]],Table8[NAME],Table8[RANK],"NA")</calculatedColumnFormula>
    </tableColumn>
    <tableColumn id="3" xr3:uid="{3A2F1E75-13BA-4832-8506-AB99E534EE55}" name="PREVIOUS RANK" dataDxfId="2"/>
  </tableColumns>
  <tableStyleInfo name="TableStyleMedium2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50FE05-FBDF-40CB-8B10-AD1253E48FF4}" name="Table11" displayName="Table11" ref="A1:F136" totalsRowShown="0">
  <autoFilter ref="A1:F136" xr:uid="{4650FE05-FBDF-40CB-8B10-AD1253E48FF4}"/>
  <tableColumns count="6">
    <tableColumn id="1" xr3:uid="{85A5750B-FC99-4AD0-8301-F1FC6416B0AF}" name="P.NO"/>
    <tableColumn id="2" xr3:uid="{AE452503-07CF-4E5E-97CD-56B9075D74FB}" name="PLAYER"/>
    <tableColumn id="3" xr3:uid="{4063F256-2D83-4E3A-96F2-E00F6366B00C}" name="CREDITS SCORE"/>
    <tableColumn id="4" xr3:uid="{D49345B8-6C12-4006-9F4D-F9A53E564CEB}" name="CATEGORY"/>
    <tableColumn id="5" xr3:uid="{478DE2DA-5CBB-4F38-A59C-3F6C49EAD2F3}" name="TEAM"/>
    <tableColumn id="6" xr3:uid="{7DA677DA-1DD6-4B3C-B19A-CA4D50087D12}" name="ICC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C555-AAB1-4662-AD8B-F1E78EC90636}">
  <dimension ref="A1:N8"/>
  <sheetViews>
    <sheetView showGridLines="0" workbookViewId="0">
      <selection activeCell="D8" sqref="D8"/>
    </sheetView>
  </sheetViews>
  <sheetFormatPr defaultRowHeight="14.4" x14ac:dyDescent="0.3"/>
  <cols>
    <col min="1" max="1" width="10" bestFit="1" customWidth="1"/>
    <col min="2" max="2" width="18.88671875" bestFit="1" customWidth="1"/>
    <col min="3" max="3" width="22.109375" bestFit="1" customWidth="1"/>
    <col min="4" max="4" width="20.5546875" bestFit="1" customWidth="1"/>
    <col min="5" max="5" width="17.5546875" bestFit="1" customWidth="1"/>
    <col min="6" max="7" width="18.88671875" bestFit="1" customWidth="1"/>
    <col min="8" max="8" width="13.77734375" bestFit="1" customWidth="1"/>
    <col min="9" max="12" width="16.44140625" bestFit="1" customWidth="1"/>
    <col min="13" max="13" width="8.109375" bestFit="1" customWidth="1"/>
    <col min="14" max="14" width="1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  <c r="H1" t="s">
        <v>54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 t="s">
        <v>4</v>
      </c>
      <c r="B2" t="s">
        <v>28</v>
      </c>
      <c r="C2" t="s">
        <v>5</v>
      </c>
      <c r="D2" t="s">
        <v>56</v>
      </c>
      <c r="E2" t="s">
        <v>57</v>
      </c>
      <c r="F2" t="s">
        <v>28</v>
      </c>
      <c r="G2" t="s">
        <v>5</v>
      </c>
      <c r="H2">
        <v>36</v>
      </c>
      <c r="I2" t="s">
        <v>84</v>
      </c>
      <c r="J2" t="s">
        <v>85</v>
      </c>
      <c r="K2" s="10" t="s">
        <v>86</v>
      </c>
      <c r="L2" t="s">
        <v>87</v>
      </c>
      <c r="M2" t="s">
        <v>84</v>
      </c>
      <c r="N2" t="s">
        <v>86</v>
      </c>
    </row>
    <row r="3" spans="1:14" x14ac:dyDescent="0.3">
      <c r="A3" t="s">
        <v>6</v>
      </c>
      <c r="B3" t="s">
        <v>58</v>
      </c>
      <c r="C3" s="10" t="s">
        <v>59</v>
      </c>
      <c r="D3" t="s">
        <v>60</v>
      </c>
      <c r="E3" t="s">
        <v>61</v>
      </c>
      <c r="F3" t="s">
        <v>58</v>
      </c>
      <c r="G3" t="s">
        <v>60</v>
      </c>
      <c r="H3">
        <v>33.5</v>
      </c>
      <c r="I3" t="s">
        <v>84</v>
      </c>
      <c r="J3" t="s">
        <v>85</v>
      </c>
      <c r="K3" t="s">
        <v>88</v>
      </c>
      <c r="L3" s="10" t="s">
        <v>86</v>
      </c>
      <c r="M3" t="s">
        <v>84</v>
      </c>
      <c r="N3" t="s">
        <v>86</v>
      </c>
    </row>
    <row r="4" spans="1:14" x14ac:dyDescent="0.3">
      <c r="A4" t="s">
        <v>7</v>
      </c>
      <c r="B4" t="s">
        <v>70</v>
      </c>
      <c r="C4" s="10" t="s">
        <v>59</v>
      </c>
      <c r="D4" t="s">
        <v>62</v>
      </c>
      <c r="E4" t="s">
        <v>73</v>
      </c>
      <c r="F4" t="s">
        <v>62</v>
      </c>
      <c r="G4" t="s">
        <v>70</v>
      </c>
      <c r="H4">
        <v>36</v>
      </c>
      <c r="I4" t="s">
        <v>84</v>
      </c>
      <c r="J4" t="s">
        <v>85</v>
      </c>
      <c r="K4" t="s">
        <v>88</v>
      </c>
      <c r="L4" s="10" t="s">
        <v>86</v>
      </c>
      <c r="M4" t="s">
        <v>84</v>
      </c>
      <c r="N4" t="s">
        <v>88</v>
      </c>
    </row>
    <row r="5" spans="1:14" x14ac:dyDescent="0.3">
      <c r="A5" t="s">
        <v>8</v>
      </c>
      <c r="B5" s="10" t="s">
        <v>66</v>
      </c>
      <c r="C5" t="s">
        <v>206</v>
      </c>
      <c r="D5" t="s">
        <v>76</v>
      </c>
      <c r="E5" t="s">
        <v>60</v>
      </c>
      <c r="F5" s="10" t="s">
        <v>66</v>
      </c>
      <c r="G5" t="s">
        <v>76</v>
      </c>
      <c r="H5">
        <v>33.5</v>
      </c>
      <c r="I5" t="s">
        <v>84</v>
      </c>
      <c r="J5" t="s">
        <v>85</v>
      </c>
      <c r="K5" t="s">
        <v>88</v>
      </c>
      <c r="L5" s="10" t="s">
        <v>86</v>
      </c>
      <c r="M5" t="s">
        <v>84</v>
      </c>
      <c r="N5" t="s">
        <v>88</v>
      </c>
    </row>
    <row r="6" spans="1:14" x14ac:dyDescent="0.3">
      <c r="A6" t="s">
        <v>9</v>
      </c>
      <c r="B6" s="10" t="s">
        <v>66</v>
      </c>
      <c r="C6" t="s">
        <v>67</v>
      </c>
      <c r="D6" t="s">
        <v>68</v>
      </c>
      <c r="E6" t="s">
        <v>69</v>
      </c>
      <c r="F6" s="10" t="s">
        <v>66</v>
      </c>
      <c r="G6" t="s">
        <v>67</v>
      </c>
      <c r="H6">
        <v>35</v>
      </c>
      <c r="I6" t="s">
        <v>84</v>
      </c>
      <c r="J6" t="s">
        <v>85</v>
      </c>
      <c r="K6" t="s">
        <v>88</v>
      </c>
      <c r="L6" s="10" t="s">
        <v>86</v>
      </c>
      <c r="M6" t="s">
        <v>84</v>
      </c>
      <c r="N6" t="s">
        <v>88</v>
      </c>
    </row>
    <row r="7" spans="1:14" x14ac:dyDescent="0.3">
      <c r="A7" t="s">
        <v>10</v>
      </c>
      <c r="B7" t="s">
        <v>70</v>
      </c>
      <c r="C7" t="s">
        <v>71</v>
      </c>
      <c r="D7" t="s">
        <v>72</v>
      </c>
      <c r="E7" t="s">
        <v>73</v>
      </c>
      <c r="F7" t="s">
        <v>72</v>
      </c>
      <c r="G7" t="s">
        <v>70</v>
      </c>
      <c r="H7">
        <v>36</v>
      </c>
      <c r="I7" t="s">
        <v>84</v>
      </c>
      <c r="J7" t="s">
        <v>85</v>
      </c>
      <c r="K7" t="s">
        <v>88</v>
      </c>
      <c r="L7" t="s">
        <v>87</v>
      </c>
      <c r="M7" t="s">
        <v>84</v>
      </c>
      <c r="N7" t="s">
        <v>88</v>
      </c>
    </row>
    <row r="8" spans="1:14" x14ac:dyDescent="0.3">
      <c r="A8" t="s">
        <v>11</v>
      </c>
      <c r="B8" t="s">
        <v>74</v>
      </c>
      <c r="C8" s="10" t="s">
        <v>75</v>
      </c>
      <c r="D8" t="s">
        <v>76</v>
      </c>
      <c r="E8" t="s">
        <v>77</v>
      </c>
      <c r="F8" t="s">
        <v>74</v>
      </c>
      <c r="G8" t="s">
        <v>76</v>
      </c>
      <c r="H8">
        <v>36</v>
      </c>
      <c r="I8" t="s">
        <v>84</v>
      </c>
      <c r="J8" t="s">
        <v>85</v>
      </c>
      <c r="K8" t="s">
        <v>88</v>
      </c>
      <c r="L8" s="10" t="s">
        <v>86</v>
      </c>
      <c r="M8" t="s">
        <v>84</v>
      </c>
      <c r="N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BB39-5568-403A-868B-2517563C0B1A}">
  <dimension ref="A1:N28"/>
  <sheetViews>
    <sheetView showGridLines="0" workbookViewId="0">
      <selection activeCell="M2" sqref="M2"/>
    </sheetView>
  </sheetViews>
  <sheetFormatPr defaultRowHeight="14.4" x14ac:dyDescent="0.3"/>
  <cols>
    <col min="1" max="1" width="10.21875" bestFit="1" customWidth="1"/>
    <col min="2" max="2" width="14.33203125" bestFit="1" customWidth="1"/>
    <col min="3" max="3" width="10.77734375" bestFit="1" customWidth="1"/>
    <col min="4" max="4" width="10.88671875" bestFit="1" customWidth="1"/>
    <col min="5" max="5" width="24.109375" bestFit="1" customWidth="1"/>
    <col min="6" max="6" width="15.6640625" bestFit="1" customWidth="1"/>
    <col min="7" max="7" width="11.88671875" bestFit="1" customWidth="1"/>
    <col min="8" max="8" width="12.6640625" bestFit="1" customWidth="1"/>
    <col min="9" max="9" width="16.88671875" bestFit="1" customWidth="1"/>
    <col min="10" max="10" width="13.109375" bestFit="1" customWidth="1"/>
    <col min="11" max="11" width="24.6640625" bestFit="1" customWidth="1"/>
    <col min="12" max="12" width="17.5546875" bestFit="1" customWidth="1"/>
    <col min="13" max="13" width="18" bestFit="1" customWidth="1"/>
  </cols>
  <sheetData>
    <row r="1" spans="1:14" x14ac:dyDescent="0.3">
      <c r="A1" s="2" t="s">
        <v>273</v>
      </c>
      <c r="B1" s="2" t="s">
        <v>274</v>
      </c>
      <c r="C1" s="2" t="s">
        <v>0</v>
      </c>
      <c r="D1" s="2" t="s">
        <v>288</v>
      </c>
      <c r="E1" s="2" t="s">
        <v>275</v>
      </c>
      <c r="F1" s="2" t="s">
        <v>276</v>
      </c>
      <c r="G1" s="2" t="s">
        <v>1</v>
      </c>
      <c r="H1" s="2" t="s">
        <v>2</v>
      </c>
      <c r="I1" s="2" t="s">
        <v>3</v>
      </c>
      <c r="J1" s="2" t="s">
        <v>51</v>
      </c>
      <c r="K1" s="2" t="s">
        <v>278</v>
      </c>
      <c r="L1" s="2" t="s">
        <v>279</v>
      </c>
      <c r="M1" s="2" t="s">
        <v>315</v>
      </c>
      <c r="N1" s="2" t="s">
        <v>277</v>
      </c>
    </row>
    <row r="2" spans="1:14" x14ac:dyDescent="0.3">
      <c r="A2" s="1">
        <f>_xlfn.RANK.EQ(Table8[[#This Row],[TALLY]], Table8[TALLY], 0) + COUNTIFS(Table8[TALLY], Table8[[#This Row],[TALLY]], Table8[NAME], "&lt;" &amp; Table8[[#This Row],[NAME]])</f>
        <v>1</v>
      </c>
      <c r="B2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2" s="1" t="s">
        <v>10</v>
      </c>
      <c r="D2" s="1">
        <f>SUM(Table8[[#This Row],[BATTER]:[EXTRAS]])</f>
        <v>3987.5</v>
      </c>
      <c r="E2" s="1" cm="1">
        <f t="array" ref="E2">IF(Table8[[#This Row],[RANK]]&lt;MAX(Table8[RANK]),Table8[[#This Row],[TALLY]] - INDEX(Table8[TALLY], Table8[[#This Row],[RANK]] + 1), "")</f>
        <v>1795</v>
      </c>
      <c r="F2" s="1" t="str">
        <f>IF(MAX(Table8[TALLY])-Table8[[#This Row],[TALLY]]=0,"",MAX(Table8[TALLY])-Table8[[#This Row],[TALLY]])</f>
        <v/>
      </c>
      <c r="G2" s="1">
        <f>_xlfn.XLOOKUP(_xlfn.XLOOKUP(Table8[[#This Row],[NAME]],'TEAM PICK AND PREDICTIONS'!$A$2:$A$8,'TEAM PICK AND PREDICTIONS'!$B$2:$B$8,"NA"),Table0[PLAYER NAME],Table0[POINTS TALLY],0)*1.5</f>
        <v>691.5</v>
      </c>
      <c r="H2" s="1">
        <f>_xlfn.XLOOKUP(_xlfn.XLOOKUP(Table8[[#This Row],[NAME]],'TEAM PICK AND PREDICTIONS'!$A$2:$A$8,'TEAM PICK AND PREDICTIONS'!$C$2:$C$8,"NA"),Table0[PLAYER NAME],Table0[POINTS TALLY],0)</f>
        <v>650</v>
      </c>
      <c r="I2" s="1">
        <f>_xlfn.XLOOKUP(_xlfn.XLOOKUP(Table8[[#This Row],[NAME]],'TEAM PICK AND PREDICTIONS'!$A$2:$A$8,'TEAM PICK AND PREDICTIONS'!$D$2:$D$8,"NA"),Table0[PLAYER NAME],Table0[POINTS TALLY],0)*2</f>
        <v>1646</v>
      </c>
      <c r="J2" s="1">
        <f>_xlfn.XLOOKUP(_xlfn.XLOOKUP(Table8[[#This Row],[NAME]],'TEAM PICK AND PREDICTIONS'!$A$2:$A$8,'TEAM PICK AND PREDICTIONS'!$E$2:$E$8,"NA"),Table0[PLAYER NAME],Table0[POINTS TALLY],0)</f>
        <v>105</v>
      </c>
      <c r="K2" s="1">
        <f>_xlfn.XLOOKUP(Table8[[#This Row],[NAME]],'WINNING TEAM PREDICTIONS'!$A$2:$A$8,'WINNING TEAM PREDICTIONS'!$B$2:$B$8,"NA")</f>
        <v>270</v>
      </c>
      <c r="L2" s="1">
        <f>_xlfn.XLOOKUP(Table8[[#This Row],[NAME]],'TARGET PREDICTIONS'!$A$2:$A$8,'TARGET PREDICTIONS'!$B$2:$B$8,"NA")</f>
        <v>225</v>
      </c>
      <c r="M2" s="1">
        <v>400</v>
      </c>
      <c r="N2" s="1"/>
    </row>
    <row r="3" spans="1:14" x14ac:dyDescent="0.3">
      <c r="A3" s="1">
        <f>_xlfn.RANK.EQ(Table8[[#This Row],[TALLY]], Table8[TALLY], 0) + COUNTIFS(Table8[TALLY], Table8[[#This Row],[TALLY]], Table8[NAME], "&lt;" &amp; Table8[[#This Row],[NAME]])</f>
        <v>2</v>
      </c>
      <c r="B3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3" s="1" t="s">
        <v>9</v>
      </c>
      <c r="D3" s="1">
        <f>SUM(Table8[[#This Row],[BATTER]:[EXTRAS]])</f>
        <v>2192.5</v>
      </c>
      <c r="E3" s="1" cm="1">
        <f t="array" ref="E3">IF(Table8[[#This Row],[RANK]]&lt;MAX(Table8[RANK]),Table8[[#This Row],[TALLY]] - INDEX(Table8[TALLY], Table8[[#This Row],[RANK]] + 1), "")</f>
        <v>152.5</v>
      </c>
      <c r="F3" s="1">
        <f>IF(MAX(Table8[TALLY])-Table8[[#This Row],[TALLY]]=0,"",MAX(Table8[TALLY])-Table8[[#This Row],[TALLY]])</f>
        <v>1795</v>
      </c>
      <c r="G3" s="1">
        <f>_xlfn.XLOOKUP(_xlfn.XLOOKUP(Table8[[#This Row],[NAME]],'TEAM PICK AND PREDICTIONS'!$A$2:$A$8,'TEAM PICK AND PREDICTIONS'!$B$2:$B$8,"NA"),Table0[PLAYER NAME],Table0[POINTS TALLY],0)*2</f>
        <v>120</v>
      </c>
      <c r="H3" s="1">
        <f>_xlfn.XLOOKUP(_xlfn.XLOOKUP(Table8[[#This Row],[NAME]],'TEAM PICK AND PREDICTIONS'!$A$2:$A$8,'TEAM PICK AND PREDICTIONS'!$C$2:$C$8,"NA"),Table0[PLAYER NAME],Table0[POINTS TALLY],0)</f>
        <v>754</v>
      </c>
      <c r="I3" s="1">
        <f>_xlfn.XLOOKUP(_xlfn.XLOOKUP(Table8[[#This Row],[NAME]],'TEAM PICK AND PREDICTIONS'!$A$2:$A$8,'TEAM PICK AND PREDICTIONS'!$D$2:$D$8,"NA"),Table0[PLAYER NAME],Table0[POINTS TALLY],0)*1.5</f>
        <v>543</v>
      </c>
      <c r="J3" s="1">
        <f>_xlfn.XLOOKUP(_xlfn.XLOOKUP(Table8[[#This Row],[NAME]],'TEAM PICK AND PREDICTIONS'!$A$2:$A$8,'TEAM PICK AND PREDICTIONS'!$E$2:$E$8,"NA"),Table0[PLAYER NAME],Table0[POINTS TALLY],0)</f>
        <v>50</v>
      </c>
      <c r="K3" s="1">
        <f>_xlfn.XLOOKUP(Table8[[#This Row],[NAME]],'WINNING TEAM PREDICTIONS'!$A$2:$A$8,'WINNING TEAM PREDICTIONS'!$B$2:$B$8,"NA")</f>
        <v>177</v>
      </c>
      <c r="L3" s="1">
        <f>_xlfn.XLOOKUP(Table8[[#This Row],[NAME]],'TARGET PREDICTIONS'!$A$2:$A$8,'TARGET PREDICTIONS'!$B$2:$B$8,"NA")</f>
        <v>348.5</v>
      </c>
      <c r="M3" s="1">
        <v>150</v>
      </c>
      <c r="N3" s="1">
        <v>50</v>
      </c>
    </row>
    <row r="4" spans="1:14" x14ac:dyDescent="0.3">
      <c r="A4" s="1">
        <f>_xlfn.RANK.EQ(Table8[[#This Row],[TALLY]], Table8[TALLY], 0) + COUNTIFS(Table8[TALLY], Table8[[#This Row],[TALLY]], Table8[NAME], "&lt;" &amp; Table8[[#This Row],[NAME]])</f>
        <v>3</v>
      </c>
      <c r="B4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4" s="1" t="s">
        <v>11</v>
      </c>
      <c r="D4" s="1">
        <f>SUM(Table8[[#This Row],[BATTER]:[EXTRAS]])</f>
        <v>2040</v>
      </c>
      <c r="E4" s="1" cm="1">
        <f t="array" ref="E4">IF(Table8[[#This Row],[RANK]]&lt;MAX(Table8[RANK]),Table8[[#This Row],[TALLY]] - INDEX(Table8[TALLY], Table8[[#This Row],[RANK]] + 1), "")</f>
        <v>350.5</v>
      </c>
      <c r="F4" s="1">
        <f>IF(MAX(Table8[TALLY])-Table8[[#This Row],[TALLY]]=0,"",MAX(Table8[TALLY])-Table8[[#This Row],[TALLY]])</f>
        <v>1947.5</v>
      </c>
      <c r="G4" s="1">
        <f>_xlfn.XLOOKUP(_xlfn.XLOOKUP(Table8[[#This Row],[NAME]],'TEAM PICK AND PREDICTIONS'!$A$2:$A$8,'TEAM PICK AND PREDICTIONS'!$B$2:$B$8,"NA"),Table0[PLAYER NAME],Table0[POINTS TALLY],0)*2</f>
        <v>530</v>
      </c>
      <c r="H4" s="1">
        <f>_xlfn.XLOOKUP(_xlfn.XLOOKUP(Table8[[#This Row],[NAME]],'TEAM PICK AND PREDICTIONS'!$A$2:$A$8,'TEAM PICK AND PREDICTIONS'!$C$2:$C$8,"NA"),Table0[PLAYER NAME],Table0[POINTS TALLY],0)</f>
        <v>310</v>
      </c>
      <c r="I4" s="1">
        <f>_xlfn.XLOOKUP(_xlfn.XLOOKUP(Table8[[#This Row],[NAME]],'TEAM PICK AND PREDICTIONS'!$A$2:$A$8,'TEAM PICK AND PREDICTIONS'!$D$2:$D$8,"NA"),Table0[PLAYER NAME],Table0[POINTS TALLY],0)*1.5</f>
        <v>51</v>
      </c>
      <c r="J4" s="1">
        <f>_xlfn.XLOOKUP(_xlfn.XLOOKUP(Table8[[#This Row],[NAME]],'TEAM PICK AND PREDICTIONS'!$A$2:$A$8,'TEAM PICK AND PREDICTIONS'!$E$2:$E$8,"NA"),Table0[PLAYER NAME],Table0[POINTS TALLY],0)</f>
        <v>187</v>
      </c>
      <c r="K4" s="1">
        <f>_xlfn.XLOOKUP(Table8[[#This Row],[NAME]],'WINNING TEAM PREDICTIONS'!$A$2:$A$8,'WINNING TEAM PREDICTIONS'!$B$2:$B$8,"NA")</f>
        <v>190</v>
      </c>
      <c r="L4" s="1">
        <f>_xlfn.XLOOKUP(Table8[[#This Row],[NAME]],'TARGET PREDICTIONS'!$A$2:$A$8,'TARGET PREDICTIONS'!$B$2:$B$8,"NA")</f>
        <v>472</v>
      </c>
      <c r="M4" s="1">
        <v>300</v>
      </c>
      <c r="N4" s="1"/>
    </row>
    <row r="5" spans="1:14" x14ac:dyDescent="0.3">
      <c r="A5" s="1">
        <f>_xlfn.RANK.EQ(Table8[[#This Row],[TALLY]], Table8[TALLY], 0) + COUNTIFS(Table8[TALLY], Table8[[#This Row],[TALLY]], Table8[NAME], "&lt;" &amp; Table8[[#This Row],[NAME]])</f>
        <v>4</v>
      </c>
      <c r="B5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5" s="1" t="s">
        <v>7</v>
      </c>
      <c r="D5" s="1">
        <f>SUM(Table8[[#This Row],[BATTER]:[EXTRAS]])</f>
        <v>1689.5</v>
      </c>
      <c r="E5" s="1" cm="1">
        <f t="array" ref="E5">IF(Table8[[#This Row],[RANK]]&lt;MAX(Table8[RANK]),Table8[[#This Row],[TALLY]] - INDEX(Table8[TALLY], Table8[[#This Row],[RANK]] + 1), "")</f>
        <v>216.5</v>
      </c>
      <c r="F5" s="1">
        <f>IF(MAX(Table8[TALLY])-Table8[[#This Row],[TALLY]]=0,"",MAX(Table8[TALLY])-Table8[[#This Row],[TALLY]])</f>
        <v>2298</v>
      </c>
      <c r="G5" s="1">
        <f>_xlfn.XLOOKUP(_xlfn.XLOOKUP(Table8[[#This Row],[NAME]],'TEAM PICK AND PREDICTIONS'!$A$2:$A$8,'TEAM PICK AND PREDICTIONS'!$B$2:$B$8,"NA"),Table0[PLAYER NAME],Table0[POINTS TALLY],0)*1.5</f>
        <v>691.5</v>
      </c>
      <c r="H5" s="1">
        <f>_xlfn.XLOOKUP(_xlfn.XLOOKUP(Table8[[#This Row],[NAME]],'TEAM PICK AND PREDICTIONS'!$A$2:$A$8,'TEAM PICK AND PREDICTIONS'!$C$2:$C$8,"NA"),Table0[PLAYER NAME],Table0[POINTS TALLY],0)</f>
        <v>67</v>
      </c>
      <c r="I5" s="1">
        <f>_xlfn.XLOOKUP(_xlfn.XLOOKUP(Table8[[#This Row],[NAME]],'TEAM PICK AND PREDICTIONS'!$A$2:$A$8,'TEAM PICK AND PREDICTIONS'!$D$2:$D$8,"NA"),Table0[PLAYER NAME],Table0[POINTS TALLY],0)*2</f>
        <v>376</v>
      </c>
      <c r="J5" s="1">
        <f>_xlfn.XLOOKUP(_xlfn.XLOOKUP(Table8[[#This Row],[NAME]],'TEAM PICK AND PREDICTIONS'!$A$2:$A$8,'TEAM PICK AND PREDICTIONS'!$E$2:$E$8,"NA"),Table0[PLAYER NAME],Table0[POINTS TALLY],0)</f>
        <v>105</v>
      </c>
      <c r="K5" s="1">
        <f>_xlfn.XLOOKUP(Table8[[#This Row],[NAME]],'WINNING TEAM PREDICTIONS'!$A$2:$A$8,'WINNING TEAM PREDICTIONS'!$B$2:$B$8,"NA")</f>
        <v>50</v>
      </c>
      <c r="L5" s="1">
        <f>_xlfn.XLOOKUP(Table8[[#This Row],[NAME]],'TARGET PREDICTIONS'!$A$2:$A$8,'TARGET PREDICTIONS'!$B$2:$B$8,"NA")</f>
        <v>100</v>
      </c>
      <c r="M5" s="1">
        <v>300</v>
      </c>
      <c r="N5" s="1"/>
    </row>
    <row r="6" spans="1:14" x14ac:dyDescent="0.3">
      <c r="A6" s="1">
        <f>_xlfn.RANK.EQ(Table8[[#This Row],[TALLY]], Table8[TALLY], 0) + COUNTIFS(Table8[TALLY], Table8[[#This Row],[TALLY]], Table8[NAME], "&lt;" &amp; Table8[[#This Row],[NAME]])</f>
        <v>5</v>
      </c>
      <c r="B6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6" s="1" t="s">
        <v>4</v>
      </c>
      <c r="D6" s="1">
        <f>SUM(Table8[[#This Row],[BATTER]:[EXTRAS]])</f>
        <v>1473</v>
      </c>
      <c r="E6" s="1" cm="1">
        <f t="array" ref="E6">IF(Table8[[#This Row],[RANK]]&lt;MAX(Table8[RANK]),Table8[[#This Row],[TALLY]] - INDEX(Table8[TALLY], Table8[[#This Row],[RANK]] + 1), "")</f>
        <v>355.5</v>
      </c>
      <c r="F6" s="1">
        <f>IF(MAX(Table8[TALLY])-Table8[[#This Row],[TALLY]]=0,"",MAX(Table8[TALLY])-Table8[[#This Row],[TALLY]])</f>
        <v>2514.5</v>
      </c>
      <c r="G6" s="1">
        <f>_xlfn.XLOOKUP(_xlfn.XLOOKUP(Table8[[#This Row],[NAME]],'TEAM PICK AND PREDICTIONS'!$A$2:$A$8,'TEAM PICK AND PREDICTIONS'!$B$2:$B$8,"NA"),Table0[PLAYER NAME],Table0[POINTS TALLY],0)*2</f>
        <v>344</v>
      </c>
      <c r="H6" s="1">
        <f>_xlfn.XLOOKUP(_xlfn.XLOOKUP(Table8[[#This Row],[NAME]],'TEAM PICK AND PREDICTIONS'!$A$2:$A$8,'TEAM PICK AND PREDICTIONS'!$C$2:$C$8,"NA"),Table0[PLAYER NAME],Table0[POINTS TALLY],0)*2</f>
        <v>250</v>
      </c>
      <c r="I6" s="1">
        <f>_xlfn.XLOOKUP(_xlfn.XLOOKUP(Table8[[#This Row],[NAME]],'TEAM PICK AND PREDICTIONS'!$A$2:$A$8,'TEAM PICK AND PREDICTIONS'!$D$2:$D$8,"NA"),Table0[PLAYER NAME],Table0[POINTS TALLY],0)</f>
        <v>25</v>
      </c>
      <c r="J6" s="1">
        <f>_xlfn.XLOOKUP(_xlfn.XLOOKUP(Table8[[#This Row],[NAME]],'TEAM PICK AND PREDICTIONS'!$A$2:$A$8,'TEAM PICK AND PREDICTIONS'!$E$2:$E$8,"NA"),Table0[PLAYER NAME],Table0[POINTS TALLY],0)</f>
        <v>367</v>
      </c>
      <c r="K6" s="1">
        <f>_xlfn.XLOOKUP(Table8[[#This Row],[NAME]],'WINNING TEAM PREDICTIONS'!$A$2:$A$8,'WINNING TEAM PREDICTIONS'!$B$2:$B$8,"NA")</f>
        <v>140</v>
      </c>
      <c r="L6" s="1">
        <f>_xlfn.XLOOKUP(Table8[[#This Row],[NAME]],'TARGET PREDICTIONS'!$A$2:$A$8,'TARGET PREDICTIONS'!$B$2:$B$8,"NA")</f>
        <v>47</v>
      </c>
      <c r="M6" s="1">
        <v>300</v>
      </c>
      <c r="N6" s="1"/>
    </row>
    <row r="7" spans="1:14" x14ac:dyDescent="0.3">
      <c r="A7" s="1">
        <f>_xlfn.RANK.EQ(Table8[[#This Row],[TALLY]], Table8[TALLY], 0) + COUNTIFS(Table8[TALLY], Table8[[#This Row],[TALLY]], Table8[NAME], "&lt;" &amp; Table8[[#This Row],[NAME]])</f>
        <v>6</v>
      </c>
      <c r="B7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7" s="1" t="s">
        <v>6</v>
      </c>
      <c r="D7" s="1">
        <f>SUM(Table8[[#This Row],[BATTER]:[EXTRAS]])</f>
        <v>1117.5</v>
      </c>
      <c r="E7" s="1" cm="1">
        <f t="array" ref="E7">IF(Table8[[#This Row],[RANK]]&lt;MAX(Table8[RANK]),Table8[[#This Row],[TALLY]] - INDEX(Table8[TALLY], Table8[[#This Row],[RANK]] + 1), "")</f>
        <v>131.5</v>
      </c>
      <c r="F7" s="1">
        <f>IF(MAX(Table8[TALLY])-Table8[[#This Row],[TALLY]]=0,"",MAX(Table8[TALLY])-Table8[[#This Row],[TALLY]])</f>
        <v>2870</v>
      </c>
      <c r="G7" s="1">
        <f>_xlfn.XLOOKUP(_xlfn.XLOOKUP(Table8[[#This Row],[NAME]],'TEAM PICK AND PREDICTIONS'!$A$2:$A$8,'TEAM PICK AND PREDICTIONS'!$B$2:$B$8,"NA"),Table0[PLAYER NAME],Table0[POINTS TALLY],0)*2</f>
        <v>438</v>
      </c>
      <c r="H7" s="1">
        <f>_xlfn.XLOOKUP(_xlfn.XLOOKUP(Table8[[#This Row],[NAME]],'TEAM PICK AND PREDICTIONS'!$A$2:$A$8,'TEAM PICK AND PREDICTIONS'!$C$2:$C$8,"NA"),Table0[PLAYER NAME],Table0[POINTS TALLY],0)</f>
        <v>67</v>
      </c>
      <c r="I7" s="1">
        <f>_xlfn.XLOOKUP(_xlfn.XLOOKUP(Table8[[#This Row],[NAME]],'TEAM PICK AND PREDICTIONS'!$A$2:$A$8,'TEAM PICK AND PREDICTIONS'!$D$2:$D$8,"NA"),Table0[PLAYER NAME],Table0[POINTS TALLY],0)*1.5</f>
        <v>22.5</v>
      </c>
      <c r="J7" s="1">
        <f>_xlfn.XLOOKUP(_xlfn.XLOOKUP(Table8[[#This Row],[NAME]],'TEAM PICK AND PREDICTIONS'!$A$2:$A$8,'TEAM PICK AND PREDICTIONS'!$E$2:$E$8,"NA"),Table0[PLAYER NAME],Table0[POINTS TALLY],0)</f>
        <v>118</v>
      </c>
      <c r="K7" s="1">
        <f>_xlfn.XLOOKUP(Table8[[#This Row],[NAME]],'WINNING TEAM PREDICTIONS'!$A$2:$A$8,'WINNING TEAM PREDICTIONS'!$B$2:$B$8,"NA")</f>
        <v>122</v>
      </c>
      <c r="L7" s="1">
        <f>_xlfn.XLOOKUP(Table8[[#This Row],[NAME]],'TARGET PREDICTIONS'!$A$2:$A$8,'TARGET PREDICTIONS'!$B$2:$B$8,"NA")</f>
        <v>50</v>
      </c>
      <c r="M7" s="1">
        <v>300</v>
      </c>
      <c r="N7" s="1"/>
    </row>
    <row r="8" spans="1:14" x14ac:dyDescent="0.3">
      <c r="A8" s="1">
        <f>_xlfn.RANK.EQ(Table8[[#This Row],[TALLY]], Table8[TALLY], 0) + COUNTIFS(Table8[TALLY], Table8[[#This Row],[TALLY]], Table8[NAME], "&lt;" &amp; Table8[[#This Row],[NAME]])</f>
        <v>7</v>
      </c>
      <c r="B8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8" s="1" t="s">
        <v>8</v>
      </c>
      <c r="D8" s="1">
        <f>SUM(Table8[[#This Row],[BATTER]:[EXTRAS]])</f>
        <v>986</v>
      </c>
      <c r="E8" s="1" t="str" cm="1">
        <f t="array" ref="E8">IF(Table8[[#This Row],[RANK]]&lt;MAX(Table8[RANK]),Table8[[#This Row],[TALLY]] - INDEX(Table8[TALLY], Table8[[#This Row],[RANK]] + 1), "")</f>
        <v/>
      </c>
      <c r="F8" s="1">
        <f>IF(MAX(Table8[TALLY])-Table8[[#This Row],[TALLY]]=0,"",MAX(Table8[TALLY])-Table8[[#This Row],[TALLY]])</f>
        <v>3001.5</v>
      </c>
      <c r="G8" s="1">
        <f>_xlfn.XLOOKUP(_xlfn.XLOOKUP(Table8[[#This Row],[NAME]],'TEAM PICK AND PREDICTIONS'!$A$2:$A$8,'TEAM PICK AND PREDICTIONS'!$B$2:$B$8,"NA"),Table0[PLAYER NAME],Table0[POINTS TALLY],0)*2</f>
        <v>120</v>
      </c>
      <c r="H8" s="1">
        <f>_xlfn.XLOOKUP(_xlfn.XLOOKUP(Table8[[#This Row],[NAME]],'TEAM PICK AND PREDICTIONS'!$A$2:$A$8,'TEAM PICK AND PREDICTIONS'!$C$2:$C$8,"NA"),Table0[PLAYER NAME],Table0[POINTS TALLY],0)</f>
        <v>200</v>
      </c>
      <c r="I8" s="1">
        <f>_xlfn.XLOOKUP(_xlfn.XLOOKUP(Table8[[#This Row],[NAME]],'TEAM PICK AND PREDICTIONS'!$A$2:$A$8,'TEAM PICK AND PREDICTIONS'!$D$2:$D$8,"NA"),Table0[PLAYER NAME],Table0[POINTS TALLY],0)*1.5</f>
        <v>51</v>
      </c>
      <c r="J8" s="1">
        <f>_xlfn.XLOOKUP(_xlfn.XLOOKUP(Table8[[#This Row],[NAME]],'TEAM PICK AND PREDICTIONS'!$A$2:$A$8,'TEAM PICK AND PREDICTIONS'!$E$2:$E$8,"NA"),Table0[PLAYER NAME],Table0[POINTS TALLY],0)</f>
        <v>15</v>
      </c>
      <c r="K8" s="1">
        <f>_xlfn.XLOOKUP(Table8[[#This Row],[NAME]],'WINNING TEAM PREDICTIONS'!$A$2:$A$8,'WINNING TEAM PREDICTIONS'!$B$2:$B$8,"NA")</f>
        <v>75</v>
      </c>
      <c r="L8" s="1">
        <f>_xlfn.XLOOKUP(Table8[[#This Row],[NAME]],'TARGET PREDICTIONS'!$A$2:$A$8,'TARGET PREDICTIONS'!$B$2:$B$8,"NA")</f>
        <v>225</v>
      </c>
      <c r="M8" s="1">
        <v>300</v>
      </c>
      <c r="N8" s="1"/>
    </row>
    <row r="10" spans="1:14" x14ac:dyDescent="0.3">
      <c r="A10" s="9"/>
    </row>
    <row r="28" spans="1:1" x14ac:dyDescent="0.3">
      <c r="A28" s="9"/>
    </row>
  </sheetData>
  <conditionalFormatting sqref="B2:B8">
    <cfRule type="cellIs" dxfId="1" priority="1" operator="equal">
      <formula>"🔼"</formula>
    </cfRule>
    <cfRule type="cellIs" dxfId="0" priority="2" operator="equal">
      <formula>"🔽"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F9BA-33AC-47EF-BCC1-974F9AB745ED}">
  <dimension ref="A1:A3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306</v>
      </c>
    </row>
    <row r="3" spans="1:1" x14ac:dyDescent="0.3">
      <c r="A3" t="s">
        <v>339</v>
      </c>
    </row>
    <row r="4" spans="1:1" x14ac:dyDescent="0.3">
      <c r="A4" t="s">
        <v>316</v>
      </c>
    </row>
    <row r="5" spans="1:1" x14ac:dyDescent="0.3">
      <c r="A5" t="s">
        <v>307</v>
      </c>
    </row>
    <row r="6" spans="1:1" x14ac:dyDescent="0.3">
      <c r="A6" s="9" t="s">
        <v>309</v>
      </c>
    </row>
    <row r="7" spans="1:1" x14ac:dyDescent="0.3">
      <c r="A7" t="s">
        <v>308</v>
      </c>
    </row>
    <row r="8" spans="1:1" x14ac:dyDescent="0.3">
      <c r="A8" s="9" t="s">
        <v>309</v>
      </c>
    </row>
    <row r="9" spans="1:1" x14ac:dyDescent="0.3">
      <c r="A9" t="s">
        <v>317</v>
      </c>
    </row>
    <row r="10" spans="1:1" x14ac:dyDescent="0.3">
      <c r="A10" t="s">
        <v>318</v>
      </c>
    </row>
    <row r="11" spans="1:1" x14ac:dyDescent="0.3">
      <c r="A11" t="s">
        <v>317</v>
      </c>
    </row>
    <row r="12" spans="1:1" x14ac:dyDescent="0.3">
      <c r="A12" t="s">
        <v>319</v>
      </c>
    </row>
    <row r="13" spans="1:1" x14ac:dyDescent="0.3">
      <c r="A13" t="s">
        <v>320</v>
      </c>
    </row>
    <row r="14" spans="1:1" x14ac:dyDescent="0.3">
      <c r="A14" t="s">
        <v>336</v>
      </c>
    </row>
    <row r="15" spans="1:1" x14ac:dyDescent="0.3">
      <c r="A15" t="s">
        <v>321</v>
      </c>
    </row>
    <row r="16" spans="1:1" x14ac:dyDescent="0.3">
      <c r="A16" t="s">
        <v>322</v>
      </c>
    </row>
    <row r="17" spans="1:1" x14ac:dyDescent="0.3">
      <c r="A17" t="s">
        <v>323</v>
      </c>
    </row>
    <row r="18" spans="1:1" x14ac:dyDescent="0.3">
      <c r="A18" t="s">
        <v>327</v>
      </c>
    </row>
    <row r="19" spans="1:1" x14ac:dyDescent="0.3">
      <c r="A19" t="s">
        <v>324</v>
      </c>
    </row>
    <row r="20" spans="1:1" x14ac:dyDescent="0.3">
      <c r="A20" t="s">
        <v>325</v>
      </c>
    </row>
    <row r="21" spans="1:1" x14ac:dyDescent="0.3">
      <c r="A21" t="s">
        <v>326</v>
      </c>
    </row>
    <row r="22" spans="1:1" x14ac:dyDescent="0.3">
      <c r="A22" t="s">
        <v>327</v>
      </c>
    </row>
    <row r="23" spans="1:1" x14ac:dyDescent="0.3">
      <c r="A23" t="s">
        <v>328</v>
      </c>
    </row>
    <row r="24" spans="1:1" x14ac:dyDescent="0.3">
      <c r="A24" t="s">
        <v>329</v>
      </c>
    </row>
    <row r="25" spans="1:1" x14ac:dyDescent="0.3">
      <c r="A25" t="s">
        <v>330</v>
      </c>
    </row>
    <row r="26" spans="1:1" x14ac:dyDescent="0.3">
      <c r="A26" t="s">
        <v>338</v>
      </c>
    </row>
    <row r="27" spans="1:1" x14ac:dyDescent="0.3">
      <c r="A27" t="s">
        <v>331</v>
      </c>
    </row>
    <row r="28" spans="1:1" x14ac:dyDescent="0.3">
      <c r="A28" t="s">
        <v>337</v>
      </c>
    </row>
    <row r="29" spans="1:1" x14ac:dyDescent="0.3">
      <c r="A29" t="s">
        <v>332</v>
      </c>
    </row>
    <row r="30" spans="1:1" x14ac:dyDescent="0.3">
      <c r="A30" t="s">
        <v>333</v>
      </c>
    </row>
    <row r="31" spans="1:1" x14ac:dyDescent="0.3">
      <c r="A31" t="s">
        <v>331</v>
      </c>
    </row>
    <row r="32" spans="1:1" x14ac:dyDescent="0.3">
      <c r="A32" t="s">
        <v>334</v>
      </c>
    </row>
    <row r="33" spans="1:1" x14ac:dyDescent="0.3">
      <c r="A33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15E5-8A54-47AB-86C1-7FE2E6AE4AD6}">
  <dimension ref="A1:ES40"/>
  <sheetViews>
    <sheetView showGridLines="0" tabSelected="1" zoomScale="90" zoomScaleNormal="90" workbookViewId="0">
      <pane xSplit="1" topLeftCell="CB1" activePane="topRight" state="frozen"/>
      <selection pane="topRight" activeCell="CG5" sqref="CG5"/>
    </sheetView>
  </sheetViews>
  <sheetFormatPr defaultRowHeight="14.4" x14ac:dyDescent="0.3"/>
  <cols>
    <col min="1" max="1" width="20.5546875" bestFit="1" customWidth="1"/>
    <col min="2" max="2" width="17.77734375" bestFit="1" customWidth="1"/>
    <col min="3" max="3" width="13.109375" bestFit="1" customWidth="1"/>
    <col min="4" max="4" width="12" bestFit="1" customWidth="1"/>
    <col min="5" max="6" width="2.77734375" bestFit="1" customWidth="1"/>
    <col min="7" max="7" width="11.5546875" bestFit="1" customWidth="1"/>
    <col min="8" max="8" width="8.5546875" bestFit="1" customWidth="1"/>
    <col min="9" max="9" width="11.77734375" bestFit="1" customWidth="1"/>
    <col min="10" max="10" width="6.6640625" bestFit="1" customWidth="1"/>
    <col min="11" max="11" width="9.109375" bestFit="1" customWidth="1"/>
    <col min="12" max="12" width="11.5546875" bestFit="1" customWidth="1"/>
    <col min="13" max="13" width="14.77734375" bestFit="1" customWidth="1"/>
    <col min="14" max="14" width="15.44140625" bestFit="1" customWidth="1"/>
    <col min="15" max="15" width="8.5546875" bestFit="1" customWidth="1"/>
    <col min="16" max="16" width="11.77734375" bestFit="1" customWidth="1"/>
    <col min="17" max="17" width="14.88671875" bestFit="1" customWidth="1"/>
    <col min="18" max="18" width="9.44140625" bestFit="1" customWidth="1"/>
    <col min="19" max="19" width="11.33203125" customWidth="1"/>
    <col min="20" max="20" width="8.5546875" bestFit="1" customWidth="1"/>
    <col min="21" max="22" width="11.77734375" bestFit="1" customWidth="1"/>
    <col min="23" max="24" width="13.109375" bestFit="1" customWidth="1"/>
    <col min="25" max="25" width="12" bestFit="1" customWidth="1"/>
    <col min="26" max="27" width="2.77734375" bestFit="1" customWidth="1"/>
    <col min="28" max="28" width="11.5546875" bestFit="1" customWidth="1"/>
    <col min="29" max="29" width="8.5546875" bestFit="1" customWidth="1"/>
    <col min="30" max="30" width="11.77734375" bestFit="1" customWidth="1"/>
    <col min="31" max="31" width="6.6640625" bestFit="1" customWidth="1"/>
    <col min="32" max="32" width="9.109375" bestFit="1" customWidth="1"/>
    <col min="33" max="33" width="11.5546875" bestFit="1" customWidth="1"/>
    <col min="34" max="34" width="14.77734375" bestFit="1" customWidth="1"/>
    <col min="35" max="35" width="15.44140625" bestFit="1" customWidth="1"/>
    <col min="36" max="36" width="8.5546875" bestFit="1" customWidth="1"/>
    <col min="37" max="37" width="11.77734375" bestFit="1" customWidth="1"/>
    <col min="38" max="38" width="14.88671875" bestFit="1" customWidth="1"/>
    <col min="39" max="39" width="9.44140625" bestFit="1" customWidth="1"/>
    <col min="40" max="40" width="11.33203125" bestFit="1" customWidth="1"/>
    <col min="41" max="41" width="8.5546875" bestFit="1" customWidth="1"/>
    <col min="42" max="43" width="11.77734375" bestFit="1" customWidth="1"/>
    <col min="44" max="45" width="13.109375" bestFit="1" customWidth="1"/>
    <col min="46" max="46" width="12" bestFit="1" customWidth="1"/>
    <col min="47" max="48" width="2.77734375" bestFit="1" customWidth="1"/>
    <col min="49" max="49" width="11.5546875" bestFit="1" customWidth="1"/>
    <col min="50" max="50" width="8.5546875" bestFit="1" customWidth="1"/>
    <col min="51" max="51" width="11.77734375" bestFit="1" customWidth="1"/>
    <col min="52" max="52" width="6.6640625" bestFit="1" customWidth="1"/>
    <col min="53" max="53" width="9.109375" bestFit="1" customWidth="1"/>
    <col min="54" max="54" width="11.5546875" bestFit="1" customWidth="1"/>
    <col min="55" max="55" width="14.77734375" bestFit="1" customWidth="1"/>
    <col min="56" max="56" width="15.44140625" bestFit="1" customWidth="1"/>
    <col min="57" max="57" width="8.5546875" bestFit="1" customWidth="1"/>
    <col min="58" max="58" width="11.77734375" bestFit="1" customWidth="1"/>
    <col min="59" max="59" width="14.88671875" bestFit="1" customWidth="1"/>
    <col min="60" max="60" width="9.44140625" bestFit="1" customWidth="1"/>
    <col min="61" max="61" width="11.33203125" bestFit="1" customWidth="1"/>
    <col min="62" max="62" width="8.5546875" bestFit="1" customWidth="1"/>
    <col min="63" max="64" width="11.77734375" bestFit="1" customWidth="1"/>
    <col min="65" max="66" width="13.109375" bestFit="1" customWidth="1"/>
    <col min="67" max="67" width="12" bestFit="1" customWidth="1"/>
    <col min="68" max="69" width="2.77734375" bestFit="1" customWidth="1"/>
    <col min="70" max="70" width="11.5546875" bestFit="1" customWidth="1"/>
    <col min="71" max="71" width="8.5546875" bestFit="1" customWidth="1"/>
    <col min="72" max="72" width="11.77734375" bestFit="1" customWidth="1"/>
    <col min="73" max="73" width="6.6640625" bestFit="1" customWidth="1"/>
    <col min="74" max="74" width="9.109375" bestFit="1" customWidth="1"/>
    <col min="75" max="75" width="11.5546875" bestFit="1" customWidth="1"/>
    <col min="76" max="76" width="14.77734375" bestFit="1" customWidth="1"/>
    <col min="77" max="77" width="15.44140625" bestFit="1" customWidth="1"/>
    <col min="78" max="78" width="8.5546875" bestFit="1" customWidth="1"/>
    <col min="79" max="79" width="11.77734375" bestFit="1" customWidth="1"/>
    <col min="80" max="80" width="14.88671875" bestFit="1" customWidth="1"/>
    <col min="81" max="81" width="9.44140625" bestFit="1" customWidth="1"/>
    <col min="82" max="82" width="11.33203125" bestFit="1" customWidth="1"/>
    <col min="83" max="83" width="8.5546875" bestFit="1" customWidth="1"/>
    <col min="84" max="85" width="11.77734375" bestFit="1" customWidth="1"/>
    <col min="86" max="87" width="13.109375" bestFit="1" customWidth="1"/>
    <col min="88" max="88" width="12" bestFit="1" customWidth="1"/>
    <col min="89" max="90" width="2.77734375" bestFit="1" customWidth="1"/>
    <col min="91" max="91" width="11.5546875" bestFit="1" customWidth="1"/>
    <col min="92" max="92" width="8.5546875" bestFit="1" customWidth="1"/>
    <col min="93" max="93" width="11.77734375" bestFit="1" customWidth="1"/>
    <col min="94" max="94" width="6.6640625" bestFit="1" customWidth="1"/>
    <col min="95" max="95" width="9.109375" bestFit="1" customWidth="1"/>
    <col min="96" max="96" width="11.5546875" bestFit="1" customWidth="1"/>
    <col min="97" max="97" width="14.77734375" bestFit="1" customWidth="1"/>
    <col min="98" max="98" width="15.44140625" bestFit="1" customWidth="1"/>
    <col min="99" max="99" width="8.5546875" bestFit="1" customWidth="1"/>
    <col min="100" max="100" width="11.77734375" bestFit="1" customWidth="1"/>
    <col min="101" max="101" width="14.88671875" bestFit="1" customWidth="1"/>
    <col min="102" max="102" width="9.44140625" bestFit="1" customWidth="1"/>
    <col min="103" max="103" width="11.33203125" bestFit="1" customWidth="1"/>
    <col min="104" max="104" width="8.5546875" bestFit="1" customWidth="1"/>
    <col min="105" max="106" width="11.77734375" bestFit="1" customWidth="1"/>
    <col min="107" max="108" width="13.109375" bestFit="1" customWidth="1"/>
    <col min="109" max="109" width="12" bestFit="1" customWidth="1"/>
    <col min="110" max="111" width="2.77734375" bestFit="1" customWidth="1"/>
    <col min="112" max="112" width="11.5546875" bestFit="1" customWidth="1"/>
    <col min="113" max="113" width="8.5546875" bestFit="1" customWidth="1"/>
    <col min="114" max="114" width="11.77734375" bestFit="1" customWidth="1"/>
    <col min="115" max="115" width="6.6640625" bestFit="1" customWidth="1"/>
    <col min="116" max="116" width="9.109375" bestFit="1" customWidth="1"/>
    <col min="117" max="117" width="11.5546875" bestFit="1" customWidth="1"/>
    <col min="118" max="118" width="14.77734375" bestFit="1" customWidth="1"/>
    <col min="119" max="119" width="15.44140625" bestFit="1" customWidth="1"/>
    <col min="120" max="120" width="8.5546875" bestFit="1" customWidth="1"/>
    <col min="121" max="121" width="11.77734375" bestFit="1" customWidth="1"/>
    <col min="122" max="122" width="14.88671875" bestFit="1" customWidth="1"/>
    <col min="123" max="123" width="9.44140625" bestFit="1" customWidth="1"/>
    <col min="124" max="124" width="11.33203125" bestFit="1" customWidth="1"/>
    <col min="125" max="125" width="8.5546875" bestFit="1" customWidth="1"/>
    <col min="126" max="127" width="11.77734375" bestFit="1" customWidth="1"/>
    <col min="128" max="129" width="13.109375" bestFit="1" customWidth="1"/>
    <col min="130" max="130" width="12" bestFit="1" customWidth="1"/>
    <col min="131" max="132" width="2.77734375" bestFit="1" customWidth="1"/>
    <col min="133" max="133" width="11.5546875" bestFit="1" customWidth="1"/>
    <col min="134" max="134" width="8.5546875" bestFit="1" customWidth="1"/>
    <col min="135" max="135" width="11.77734375" bestFit="1" customWidth="1"/>
    <col min="136" max="136" width="6.6640625" bestFit="1" customWidth="1"/>
    <col min="137" max="137" width="9.109375" bestFit="1" customWidth="1"/>
    <col min="138" max="138" width="11.5546875" bestFit="1" customWidth="1"/>
    <col min="139" max="139" width="14.77734375" bestFit="1" customWidth="1"/>
    <col min="140" max="140" width="15.44140625" bestFit="1" customWidth="1"/>
    <col min="141" max="141" width="8.5546875" bestFit="1" customWidth="1"/>
    <col min="142" max="142" width="11.77734375" bestFit="1" customWidth="1"/>
    <col min="143" max="143" width="14.88671875" bestFit="1" customWidth="1"/>
    <col min="144" max="144" width="9.44140625" bestFit="1" customWidth="1"/>
    <col min="145" max="145" width="11.33203125" bestFit="1" customWidth="1"/>
    <col min="146" max="146" width="8.5546875" bestFit="1" customWidth="1"/>
    <col min="147" max="148" width="11.77734375" bestFit="1" customWidth="1"/>
    <col min="149" max="149" width="13.109375" bestFit="1" customWidth="1"/>
  </cols>
  <sheetData>
    <row r="1" spans="1:149" x14ac:dyDescent="0.3">
      <c r="B1" s="5" t="s">
        <v>217</v>
      </c>
      <c r="C1" s="12" t="s">
        <v>12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 t="s">
        <v>13</v>
      </c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 t="s">
        <v>14</v>
      </c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 t="s">
        <v>15</v>
      </c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 t="s">
        <v>16</v>
      </c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 t="s">
        <v>226</v>
      </c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 t="s">
        <v>227</v>
      </c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</row>
    <row r="2" spans="1:149" x14ac:dyDescent="0.3">
      <c r="B2" s="6" t="s">
        <v>228</v>
      </c>
      <c r="C2" s="11" t="s">
        <v>36</v>
      </c>
      <c r="D2" s="11"/>
      <c r="E2" s="11"/>
      <c r="F2" s="11"/>
      <c r="G2" s="11"/>
      <c r="H2" s="11"/>
      <c r="I2" s="11"/>
      <c r="J2" s="11" t="s">
        <v>37</v>
      </c>
      <c r="K2" s="11"/>
      <c r="L2" s="11"/>
      <c r="M2" s="11"/>
      <c r="N2" s="11"/>
      <c r="O2" s="11"/>
      <c r="P2" s="11"/>
      <c r="Q2" s="11" t="s">
        <v>38</v>
      </c>
      <c r="R2" s="11"/>
      <c r="S2" s="11"/>
      <c r="T2" s="11"/>
      <c r="U2" s="11"/>
      <c r="V2" s="4"/>
      <c r="W2" s="4"/>
      <c r="X2" s="11" t="s">
        <v>36</v>
      </c>
      <c r="Y2" s="11"/>
      <c r="Z2" s="11"/>
      <c r="AA2" s="11"/>
      <c r="AB2" s="11"/>
      <c r="AC2" s="11"/>
      <c r="AD2" s="11"/>
      <c r="AE2" s="11" t="s">
        <v>37</v>
      </c>
      <c r="AF2" s="11"/>
      <c r="AG2" s="11"/>
      <c r="AH2" s="11"/>
      <c r="AI2" s="11"/>
      <c r="AJ2" s="11"/>
      <c r="AK2" s="11"/>
      <c r="AL2" s="11" t="s">
        <v>38</v>
      </c>
      <c r="AM2" s="11"/>
      <c r="AN2" s="11"/>
      <c r="AO2" s="11"/>
      <c r="AP2" s="11"/>
      <c r="AQ2" s="4"/>
      <c r="AR2" s="4"/>
      <c r="AS2" s="11" t="s">
        <v>36</v>
      </c>
      <c r="AT2" s="11"/>
      <c r="AU2" s="11"/>
      <c r="AV2" s="11"/>
      <c r="AW2" s="11"/>
      <c r="AX2" s="11"/>
      <c r="AY2" s="11"/>
      <c r="AZ2" s="11" t="s">
        <v>37</v>
      </c>
      <c r="BA2" s="11"/>
      <c r="BB2" s="11"/>
      <c r="BC2" s="11"/>
      <c r="BD2" s="11"/>
      <c r="BE2" s="11"/>
      <c r="BF2" s="11"/>
      <c r="BG2" s="11" t="s">
        <v>38</v>
      </c>
      <c r="BH2" s="11"/>
      <c r="BI2" s="11"/>
      <c r="BJ2" s="11"/>
      <c r="BK2" s="11"/>
      <c r="BL2" s="4"/>
      <c r="BM2" s="4"/>
      <c r="BN2" s="11" t="s">
        <v>36</v>
      </c>
      <c r="BO2" s="11"/>
      <c r="BP2" s="11"/>
      <c r="BQ2" s="11"/>
      <c r="BR2" s="11"/>
      <c r="BS2" s="11"/>
      <c r="BT2" s="11"/>
      <c r="BU2" s="11" t="s">
        <v>37</v>
      </c>
      <c r="BV2" s="11"/>
      <c r="BW2" s="11"/>
      <c r="BX2" s="11"/>
      <c r="BY2" s="11"/>
      <c r="BZ2" s="11"/>
      <c r="CA2" s="11"/>
      <c r="CB2" s="11" t="s">
        <v>38</v>
      </c>
      <c r="CC2" s="11"/>
      <c r="CD2" s="11"/>
      <c r="CE2" s="11"/>
      <c r="CF2" s="11"/>
      <c r="CG2" s="4"/>
      <c r="CH2" s="4"/>
      <c r="CI2" s="11" t="s">
        <v>36</v>
      </c>
      <c r="CJ2" s="11"/>
      <c r="CK2" s="11"/>
      <c r="CL2" s="11"/>
      <c r="CM2" s="11"/>
      <c r="CN2" s="11"/>
      <c r="CO2" s="11"/>
      <c r="CP2" s="11" t="s">
        <v>37</v>
      </c>
      <c r="CQ2" s="11"/>
      <c r="CR2" s="11"/>
      <c r="CS2" s="11"/>
      <c r="CT2" s="11"/>
      <c r="CU2" s="11"/>
      <c r="CV2" s="11"/>
      <c r="CW2" s="11" t="s">
        <v>38</v>
      </c>
      <c r="CX2" s="11"/>
      <c r="CY2" s="11"/>
      <c r="CZ2" s="11"/>
      <c r="DA2" s="11"/>
      <c r="DB2" s="4"/>
      <c r="DC2" s="4"/>
      <c r="DD2" s="11" t="s">
        <v>36</v>
      </c>
      <c r="DE2" s="11"/>
      <c r="DF2" s="11"/>
      <c r="DG2" s="11"/>
      <c r="DH2" s="11"/>
      <c r="DI2" s="11"/>
      <c r="DJ2" s="11"/>
      <c r="DK2" s="11" t="s">
        <v>37</v>
      </c>
      <c r="DL2" s="11"/>
      <c r="DM2" s="11"/>
      <c r="DN2" s="11"/>
      <c r="DO2" s="11"/>
      <c r="DP2" s="11"/>
      <c r="DQ2" s="11"/>
      <c r="DR2" s="11" t="s">
        <v>38</v>
      </c>
      <c r="DS2" s="11"/>
      <c r="DT2" s="11"/>
      <c r="DU2" s="11"/>
      <c r="DV2" s="11"/>
      <c r="DW2" s="4"/>
      <c r="DX2" s="4"/>
      <c r="DY2" s="11" t="s">
        <v>36</v>
      </c>
      <c r="DZ2" s="11"/>
      <c r="EA2" s="11"/>
      <c r="EB2" s="11"/>
      <c r="EC2" s="11"/>
      <c r="ED2" s="11"/>
      <c r="EE2" s="11"/>
      <c r="EF2" s="11" t="s">
        <v>37</v>
      </c>
      <c r="EG2" s="11"/>
      <c r="EH2" s="11"/>
      <c r="EI2" s="11"/>
      <c r="EJ2" s="11"/>
      <c r="EK2" s="11"/>
      <c r="EL2" s="11"/>
      <c r="EM2" s="11" t="s">
        <v>38</v>
      </c>
      <c r="EN2" s="11"/>
      <c r="EO2" s="11"/>
      <c r="EP2" s="11"/>
      <c r="EQ2" s="11"/>
      <c r="ER2" s="4"/>
      <c r="ES2" s="4"/>
    </row>
    <row r="3" spans="1:149" x14ac:dyDescent="0.3">
      <c r="A3" s="3" t="s">
        <v>26</v>
      </c>
      <c r="B3" s="2" t="s">
        <v>27</v>
      </c>
      <c r="C3" s="2" t="s">
        <v>219</v>
      </c>
      <c r="D3" s="2" t="s">
        <v>218</v>
      </c>
      <c r="E3" s="2" t="s">
        <v>39</v>
      </c>
      <c r="F3" s="2" t="s">
        <v>40</v>
      </c>
      <c r="G3" s="2" t="s">
        <v>220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221</v>
      </c>
      <c r="M3" s="2" t="s">
        <v>222</v>
      </c>
      <c r="N3" s="2" t="s">
        <v>223</v>
      </c>
      <c r="O3" s="2" t="s">
        <v>45</v>
      </c>
      <c r="P3" s="2" t="s">
        <v>46</v>
      </c>
      <c r="Q3" s="2" t="s">
        <v>225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224</v>
      </c>
      <c r="W3" s="2" t="s">
        <v>35</v>
      </c>
      <c r="X3" s="2" t="s">
        <v>219</v>
      </c>
      <c r="Y3" s="2" t="s">
        <v>218</v>
      </c>
      <c r="Z3" s="2" t="s">
        <v>39</v>
      </c>
      <c r="AA3" s="2" t="s">
        <v>40</v>
      </c>
      <c r="AB3" s="2" t="s">
        <v>220</v>
      </c>
      <c r="AC3" s="2" t="s">
        <v>41</v>
      </c>
      <c r="AD3" s="2" t="s">
        <v>42</v>
      </c>
      <c r="AE3" s="2" t="s">
        <v>43</v>
      </c>
      <c r="AF3" s="2" t="s">
        <v>44</v>
      </c>
      <c r="AG3" s="2" t="s">
        <v>221</v>
      </c>
      <c r="AH3" s="2" t="s">
        <v>222</v>
      </c>
      <c r="AI3" s="2" t="s">
        <v>223</v>
      </c>
      <c r="AJ3" s="2" t="s">
        <v>45</v>
      </c>
      <c r="AK3" s="2" t="s">
        <v>46</v>
      </c>
      <c r="AL3" s="2" t="s">
        <v>225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224</v>
      </c>
      <c r="AR3" s="2" t="s">
        <v>35</v>
      </c>
      <c r="AS3" s="2" t="s">
        <v>219</v>
      </c>
      <c r="AT3" s="2" t="s">
        <v>218</v>
      </c>
      <c r="AU3" s="2" t="s">
        <v>39</v>
      </c>
      <c r="AV3" s="2" t="s">
        <v>40</v>
      </c>
      <c r="AW3" s="2" t="s">
        <v>220</v>
      </c>
      <c r="AX3" s="2" t="s">
        <v>41</v>
      </c>
      <c r="AY3" s="2" t="s">
        <v>42</v>
      </c>
      <c r="AZ3" s="2" t="s">
        <v>43</v>
      </c>
      <c r="BA3" s="2" t="s">
        <v>44</v>
      </c>
      <c r="BB3" s="2" t="s">
        <v>221</v>
      </c>
      <c r="BC3" s="2" t="s">
        <v>222</v>
      </c>
      <c r="BD3" s="2" t="s">
        <v>223</v>
      </c>
      <c r="BE3" s="2" t="s">
        <v>45</v>
      </c>
      <c r="BF3" s="2" t="s">
        <v>46</v>
      </c>
      <c r="BG3" s="2" t="s">
        <v>225</v>
      </c>
      <c r="BH3" s="2" t="s">
        <v>47</v>
      </c>
      <c r="BI3" s="2" t="s">
        <v>48</v>
      </c>
      <c r="BJ3" s="2" t="s">
        <v>49</v>
      </c>
      <c r="BK3" s="2" t="s">
        <v>50</v>
      </c>
      <c r="BL3" s="2" t="s">
        <v>224</v>
      </c>
      <c r="BM3" s="2" t="s">
        <v>35</v>
      </c>
      <c r="BN3" s="2" t="s">
        <v>219</v>
      </c>
      <c r="BO3" s="2" t="s">
        <v>218</v>
      </c>
      <c r="BP3" s="2" t="s">
        <v>39</v>
      </c>
      <c r="BQ3" s="2" t="s">
        <v>40</v>
      </c>
      <c r="BR3" s="2" t="s">
        <v>220</v>
      </c>
      <c r="BS3" s="2" t="s">
        <v>41</v>
      </c>
      <c r="BT3" s="2" t="s">
        <v>42</v>
      </c>
      <c r="BU3" s="2" t="s">
        <v>43</v>
      </c>
      <c r="BV3" s="2" t="s">
        <v>44</v>
      </c>
      <c r="BW3" s="2" t="s">
        <v>221</v>
      </c>
      <c r="BX3" s="2" t="s">
        <v>222</v>
      </c>
      <c r="BY3" s="2" t="s">
        <v>223</v>
      </c>
      <c r="BZ3" s="2" t="s">
        <v>45</v>
      </c>
      <c r="CA3" s="2" t="s">
        <v>46</v>
      </c>
      <c r="CB3" s="2" t="s">
        <v>225</v>
      </c>
      <c r="CC3" s="2" t="s">
        <v>47</v>
      </c>
      <c r="CD3" s="2" t="s">
        <v>48</v>
      </c>
      <c r="CE3" s="2" t="s">
        <v>49</v>
      </c>
      <c r="CF3" s="2" t="s">
        <v>50</v>
      </c>
      <c r="CG3" s="2" t="s">
        <v>224</v>
      </c>
      <c r="CH3" s="2" t="s">
        <v>35</v>
      </c>
      <c r="CI3" s="2" t="s">
        <v>219</v>
      </c>
      <c r="CJ3" s="2" t="s">
        <v>218</v>
      </c>
      <c r="CK3" s="2" t="s">
        <v>39</v>
      </c>
      <c r="CL3" s="2" t="s">
        <v>40</v>
      </c>
      <c r="CM3" s="2" t="s">
        <v>220</v>
      </c>
      <c r="CN3" s="2" t="s">
        <v>41</v>
      </c>
      <c r="CO3" s="2" t="s">
        <v>42</v>
      </c>
      <c r="CP3" s="2" t="s">
        <v>43</v>
      </c>
      <c r="CQ3" s="2" t="s">
        <v>44</v>
      </c>
      <c r="CR3" s="2" t="s">
        <v>221</v>
      </c>
      <c r="CS3" s="2" t="s">
        <v>222</v>
      </c>
      <c r="CT3" s="2" t="s">
        <v>223</v>
      </c>
      <c r="CU3" s="2" t="s">
        <v>45</v>
      </c>
      <c r="CV3" s="2" t="s">
        <v>46</v>
      </c>
      <c r="CW3" s="2" t="s">
        <v>225</v>
      </c>
      <c r="CX3" s="2" t="s">
        <v>47</v>
      </c>
      <c r="CY3" s="2" t="s">
        <v>48</v>
      </c>
      <c r="CZ3" s="2" t="s">
        <v>49</v>
      </c>
      <c r="DA3" s="2" t="s">
        <v>50</v>
      </c>
      <c r="DB3" s="2" t="s">
        <v>224</v>
      </c>
      <c r="DC3" s="2" t="s">
        <v>35</v>
      </c>
      <c r="DD3" s="2" t="s">
        <v>219</v>
      </c>
      <c r="DE3" s="2" t="s">
        <v>218</v>
      </c>
      <c r="DF3" s="2" t="s">
        <v>39</v>
      </c>
      <c r="DG3" s="2" t="s">
        <v>40</v>
      </c>
      <c r="DH3" s="2" t="s">
        <v>220</v>
      </c>
      <c r="DI3" s="2" t="s">
        <v>41</v>
      </c>
      <c r="DJ3" s="2" t="s">
        <v>42</v>
      </c>
      <c r="DK3" s="2" t="s">
        <v>43</v>
      </c>
      <c r="DL3" s="2" t="s">
        <v>44</v>
      </c>
      <c r="DM3" s="2" t="s">
        <v>221</v>
      </c>
      <c r="DN3" s="2" t="s">
        <v>222</v>
      </c>
      <c r="DO3" s="2" t="s">
        <v>223</v>
      </c>
      <c r="DP3" s="2" t="s">
        <v>45</v>
      </c>
      <c r="DQ3" s="2" t="s">
        <v>46</v>
      </c>
      <c r="DR3" s="2" t="s">
        <v>225</v>
      </c>
      <c r="DS3" s="2" t="s">
        <v>47</v>
      </c>
      <c r="DT3" s="2" t="s">
        <v>48</v>
      </c>
      <c r="DU3" s="2" t="s">
        <v>49</v>
      </c>
      <c r="DV3" s="2" t="s">
        <v>50</v>
      </c>
      <c r="DW3" s="2" t="s">
        <v>224</v>
      </c>
      <c r="DX3" s="2" t="s">
        <v>35</v>
      </c>
      <c r="DY3" s="2" t="s">
        <v>219</v>
      </c>
      <c r="DZ3" s="2" t="s">
        <v>218</v>
      </c>
      <c r="EA3" s="2" t="s">
        <v>39</v>
      </c>
      <c r="EB3" s="2" t="s">
        <v>40</v>
      </c>
      <c r="EC3" s="2" t="s">
        <v>220</v>
      </c>
      <c r="ED3" s="2" t="s">
        <v>41</v>
      </c>
      <c r="EE3" s="2" t="s">
        <v>42</v>
      </c>
      <c r="EF3" s="2" t="s">
        <v>43</v>
      </c>
      <c r="EG3" s="2" t="s">
        <v>44</v>
      </c>
      <c r="EH3" s="2" t="s">
        <v>221</v>
      </c>
      <c r="EI3" s="2" t="s">
        <v>222</v>
      </c>
      <c r="EJ3" s="2" t="s">
        <v>223</v>
      </c>
      <c r="EK3" s="2" t="s">
        <v>45</v>
      </c>
      <c r="EL3" s="2" t="s">
        <v>46</v>
      </c>
      <c r="EM3" s="2" t="s">
        <v>225</v>
      </c>
      <c r="EN3" s="2" t="s">
        <v>47</v>
      </c>
      <c r="EO3" s="2" t="s">
        <v>48</v>
      </c>
      <c r="EP3" s="2" t="s">
        <v>49</v>
      </c>
      <c r="EQ3" s="2" t="s">
        <v>50</v>
      </c>
      <c r="ER3" s="2" t="s">
        <v>224</v>
      </c>
      <c r="ES3" s="2" t="s">
        <v>35</v>
      </c>
    </row>
    <row r="4" spans="1:149" x14ac:dyDescent="0.3">
      <c r="A4" t="s">
        <v>72</v>
      </c>
      <c r="B4" s="1">
        <f>SUM(Table1[[#This Row],[GRAND TOTAL]],Table2[[#This Row],[GRAND TOTAL]],Table3[[#This Row],[GRAND TOTAL]],Table4[[#This Row],[GRAND TOTAL]],Table5[[#This Row],[GRAND TOTAL]],Table6[[#This Row],[GRAND TOTAL]],Table7[[#This Row],[GRAND TOTAL]])</f>
        <v>823</v>
      </c>
      <c r="C4" s="1">
        <v>30</v>
      </c>
      <c r="D4" s="1">
        <v>16</v>
      </c>
      <c r="E4" s="1">
        <v>2</v>
      </c>
      <c r="F4" s="1">
        <v>3</v>
      </c>
      <c r="G4" s="1">
        <f>IFERROR(_xlfn.NUMBERVALUE(SUBSTITUTE(Table1[[#This Row],[RUNS SCORED]],"*",""))/Table1[[#This Row],[BALLS FACED]]*100,0)</f>
        <v>187.5</v>
      </c>
      <c r="H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4" s="1">
        <f>IF(Table1[[#This Row],[RUNS SCORED]]="", 0, VALUE(SUBSTITUTE(Table1[[#This Row],[RUNS SCORED]],"*","")) + Table1[[#This Row],[BONUS 1]])</f>
        <v>80</v>
      </c>
      <c r="J4" s="1"/>
      <c r="K4" s="1"/>
      <c r="L4" s="1"/>
      <c r="M4" s="1"/>
      <c r="N4" s="1">
        <f>IFERROR(Table1[[#This Row],[RUNS GIVEN]]/Table1[[#This Row],[OVERS]],0)</f>
        <v>0</v>
      </c>
      <c r="O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4" s="1">
        <f>IF(Table1[[#This Row],[WICKETS TAKEN]]="", 0, IF(Table1[[#This Row],[WICKETS TAKEN]] = 0, -25,
        Table1[[#This Row],[WICKETS TAKEN]] * 50)+Table1[[#This Row],[BONUS 2]])</f>
        <v>0</v>
      </c>
      <c r="Q4" s="1"/>
      <c r="R4" s="1"/>
      <c r="S4" s="1"/>
      <c r="T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4" s="1">
        <f>IF(AND(Table1[[#This Row],[CATCHES TAKEN]]="",Table1[[#This Row],[RUNOUTS]]="",Table1[[#This Row],[STUMPINGS]]=""), 0, Table1[[#This Row],[BONUS 3]])</f>
        <v>0</v>
      </c>
      <c r="V4" s="1"/>
      <c r="W4" s="1">
        <f>SUM(Table1[[#This Row],[SUB TOTAL 1]],Table1[[#This Row],[SUB TOTAL 2]],Table1[[#This Row],[SUB TOTAL 3]],Table1[[#This Row],[POM BONUS]])</f>
        <v>80</v>
      </c>
      <c r="X4" s="1">
        <v>31</v>
      </c>
      <c r="Y4" s="1">
        <v>13</v>
      </c>
      <c r="Z4" s="1">
        <v>4</v>
      </c>
      <c r="AA4" s="1">
        <v>2</v>
      </c>
      <c r="AB4" s="1">
        <f>IFERROR(_xlfn.NUMBERVALUE(SUBSTITUTE(Table2[[#This Row],[RUNS SCORED]],"*",""))/Table2[[#This Row],[BALLS FACED]]*100,0)</f>
        <v>238.46153846153845</v>
      </c>
      <c r="AC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D4" s="1">
        <f>IF(Table2[[#This Row],[RUNS SCORED]]="", 0, VALUE(SUBSTITUTE(Table2[[#This Row],[RUNS SCORED]],"*","")) + Table2[[#This Row],[BONUS 1]])</f>
        <v>181</v>
      </c>
      <c r="AE4" s="1">
        <v>1</v>
      </c>
      <c r="AF4" s="1">
        <v>0</v>
      </c>
      <c r="AG4" s="1">
        <v>5</v>
      </c>
      <c r="AH4" s="1">
        <v>0</v>
      </c>
      <c r="AI4" s="1">
        <f>IFERROR(Table2[[#This Row],[RUNS GIVEN]]/Table2[[#This Row],[OVERS]],0)</f>
        <v>5</v>
      </c>
      <c r="AJ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4" s="1">
        <f>IF(Table2[[#This Row],[WICKETS TAKEN]]="", 0, IF(Table2[[#This Row],[WICKETS TAKEN]] = 0, -25,
        Table2[[#This Row],[WICKETS TAKEN]] * 50)+Table2[[#This Row],[BONUS 2]])</f>
        <v>-25</v>
      </c>
      <c r="AL4" s="1">
        <v>1</v>
      </c>
      <c r="AM4" s="1"/>
      <c r="AN4" s="1"/>
      <c r="AO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4" s="1">
        <f>IF(AND(Table2[[#This Row],[CATCHES TAKEN]]="",Table2[[#This Row],[RUNOUTS]]="",Table2[[#This Row],[STUMPINGS]]=""), 0, Table2[[#This Row],[BONUS 3]])</f>
        <v>25</v>
      </c>
      <c r="AQ4" s="1"/>
      <c r="AR4" s="1">
        <f>SUM(Table2[[#This Row],[SUB TOTAL 1]],Table2[[#This Row],[SUB TOTAL 2]],Table2[[#This Row],[SUB TOTAL 3]],Table2[[#This Row],[POM BONUS]])</f>
        <v>181</v>
      </c>
      <c r="AS4" s="1">
        <v>38</v>
      </c>
      <c r="AT4" s="1">
        <v>15</v>
      </c>
      <c r="AU4" s="1">
        <v>5</v>
      </c>
      <c r="AV4" s="1">
        <v>2</v>
      </c>
      <c r="AW4" s="1">
        <f>IFERROR(_xlfn.NUMBERVALUE(SUBSTITUTE(Table3[[#This Row],[RUNS SCORED]],"*",""))/Table3[[#This Row],[BALLS FACED]]*100,0)</f>
        <v>253.33333333333331</v>
      </c>
      <c r="AX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Y4" s="1">
        <f>IF(Table3[[#This Row],[RUNS SCORED]]="", 0, VALUE(SUBSTITUTE(Table3[[#This Row],[RUNS SCORED]],"*","")) + Table3[[#This Row],[BONUS 1]])</f>
        <v>188</v>
      </c>
      <c r="AZ4" s="1">
        <v>1</v>
      </c>
      <c r="BA4" s="1">
        <v>0</v>
      </c>
      <c r="BB4" s="1">
        <v>12</v>
      </c>
      <c r="BC4" s="1">
        <v>0</v>
      </c>
      <c r="BD4" s="1">
        <f>IFERROR(Table3[[#This Row],[RUNS GIVEN]]/Table3[[#This Row],[OVERS]],0)</f>
        <v>12</v>
      </c>
      <c r="BE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4" s="1">
        <f>IF(Table3[[#This Row],[WICKETS TAKEN]]="", 0, IF(Table3[[#This Row],[WICKETS TAKEN]] = 0, -25,
        Table3[[#This Row],[WICKETS TAKEN]] * 50)+Table3[[#This Row],[BONUS 2]])</f>
        <v>-25</v>
      </c>
      <c r="BG4" s="1"/>
      <c r="BH4" s="1"/>
      <c r="BI4" s="1"/>
      <c r="BJ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4" s="1">
        <f>IF(AND(Table3[[#This Row],[CATCHES TAKEN]]="",Table3[[#This Row],[RUNOUTS]]="",Table3[[#This Row],[STUMPINGS]]=""), 0, Table3[[#This Row],[BONUS 3]])</f>
        <v>0</v>
      </c>
      <c r="BL4" s="1"/>
      <c r="BM4" s="1">
        <f>SUM(Table3[[#This Row],[SUB TOTAL 1]],Table3[[#This Row],[SUB TOTAL 2]],Table3[[#This Row],[SUB TOTAL 3]],Table3[[#This Row],[POM BONUS]])</f>
        <v>163</v>
      </c>
      <c r="BN4" s="1">
        <v>74</v>
      </c>
      <c r="BO4" s="1">
        <v>39</v>
      </c>
      <c r="BP4" s="1">
        <v>6</v>
      </c>
      <c r="BQ4" s="1">
        <v>5</v>
      </c>
      <c r="BR4" s="1">
        <f>IFERROR(_xlfn.NUMBERVALUE(SUBSTITUTE(Table4[[#This Row],[RUNS SCORED]],"*",""))/Table4[[#This Row],[BALLS FACED]]*100,0)</f>
        <v>189.74358974358972</v>
      </c>
      <c r="BS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200</v>
      </c>
      <c r="BT4" s="1">
        <f>IF(Table4[[#This Row],[RUNS SCORED]]="", 0, VALUE(SUBSTITUTE(Table4[[#This Row],[RUNS SCORED]],"*","")) + Table4[[#This Row],[BONUS 1]])</f>
        <v>274</v>
      </c>
      <c r="BU4" s="1"/>
      <c r="BV4" s="1"/>
      <c r="BW4" s="1"/>
      <c r="BX4" s="1"/>
      <c r="BY4" s="1">
        <f>IFERROR(Table4[[#This Row],[RUNS GIVEN]]/Table4[[#This Row],[OVERS]],0)</f>
        <v>0</v>
      </c>
      <c r="BZ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4" s="1">
        <f>IF(Table4[[#This Row],[WICKETS TAKEN]]="", 0, IF(Table4[[#This Row],[WICKETS TAKEN]] = 0, -25,
        Table4[[#This Row],[WICKETS TAKEN]] * 50)+Table4[[#This Row],[BONUS 2]])</f>
        <v>0</v>
      </c>
      <c r="CB4" s="1">
        <v>1</v>
      </c>
      <c r="CC4" s="1"/>
      <c r="CD4" s="1"/>
      <c r="CE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4" s="1">
        <f>IF(AND(Table4[[#This Row],[CATCHES TAKEN]]="",Table4[[#This Row],[RUNOUTS]]="",Table4[[#This Row],[STUMPINGS]]=""), 0, Table4[[#This Row],[BONUS 3]])</f>
        <v>25</v>
      </c>
      <c r="CG4" s="1">
        <v>100</v>
      </c>
      <c r="CH4" s="1">
        <f>SUM(Table4[[#This Row],[SUB TOTAL 1]],Table4[[#This Row],[SUB TOTAL 2]],Table4[[#This Row],[SUB TOTAL 3]],Table4[[#This Row],[POM BONUS]])</f>
        <v>399</v>
      </c>
      <c r="CI4" s="1"/>
      <c r="CJ4" s="1"/>
      <c r="CK4" s="1"/>
      <c r="CL4" s="1"/>
      <c r="CM4" s="1">
        <f>IFERROR(_xlfn.NUMBERVALUE(SUBSTITUTE(Table5[[#This Row],[RUNS SCORED]],"*",""))/Table5[[#This Row],[BALLS FACED]]*100,0)</f>
        <v>0</v>
      </c>
      <c r="CN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4" s="1">
        <f>IF(Table5[[#This Row],[RUNS SCORED]]="", 0, VALUE(SUBSTITUTE(Table5[[#This Row],[RUNS SCORED]],"*","")) + Table5[[#This Row],[BONUS 1]])</f>
        <v>0</v>
      </c>
      <c r="CP4" s="1"/>
      <c r="CQ4" s="1"/>
      <c r="CR4" s="1"/>
      <c r="CS4" s="1"/>
      <c r="CT4" s="1">
        <f>IFERROR(Table5[[#This Row],[RUNS GIVEN]]/Table5[[#This Row],[OVERS]],0)</f>
        <v>0</v>
      </c>
      <c r="CU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4" s="1">
        <f>IF(Table5[[#This Row],[WICKETS TAKEN]]="", 0, IF(Table5[[#This Row],[WICKETS TAKEN]] = 0, -25,
        Table5[[#This Row],[WICKETS TAKEN]] * 50)+Table5[[#This Row],[BONUS 2]])</f>
        <v>0</v>
      </c>
      <c r="CW4" s="1"/>
      <c r="CX4" s="1"/>
      <c r="CY4" s="1"/>
      <c r="CZ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4" s="1">
        <f>IF(AND(Table5[[#This Row],[CATCHES TAKEN]]="",Table5[[#This Row],[RUNOUTS]]="",Table5[[#This Row],[STUMPINGS]]=""), 0, Table5[[#This Row],[BONUS 3]])</f>
        <v>0</v>
      </c>
      <c r="DB4" s="1"/>
      <c r="DC4" s="1">
        <f>SUM(Table5[[#This Row],[SUB TOTAL 1]],Table5[[#This Row],[SUB TOTAL 2]],Table5[[#This Row],[SUB TOTAL 3]],Table5[[#This Row],[POM BONUS]])</f>
        <v>0</v>
      </c>
      <c r="DD4" s="1"/>
      <c r="DE4" s="1"/>
      <c r="DF4" s="1"/>
      <c r="DG4" s="1"/>
      <c r="DH4" s="1">
        <f>IFERROR(_xlfn.NUMBERVALUE(SUBSTITUTE(Table6[[#This Row],[RUNS SCORED]],"*",""))/Table6[[#This Row],[BALLS FACED]]*100,0)</f>
        <v>0</v>
      </c>
      <c r="DI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4" s="1">
        <f>IF(Table6[[#This Row],[RUNS SCORED]]="", 0, VALUE(SUBSTITUTE(Table6[[#This Row],[RUNS SCORED]],"*","")) + Table6[[#This Row],[BONUS 1]])</f>
        <v>0</v>
      </c>
      <c r="DK4" s="1"/>
      <c r="DL4" s="1"/>
      <c r="DM4" s="1"/>
      <c r="DN4" s="1"/>
      <c r="DO4" s="1">
        <f>IFERROR(Table6[[#This Row],[RUNS GIVEN]]/Table6[[#This Row],[OVERS]],0)</f>
        <v>0</v>
      </c>
      <c r="DP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4" s="1">
        <f>IF(Table6[[#This Row],[WICKETS TAKEN]]="", 0, IF(Table6[[#This Row],[WICKETS TAKEN]] = 0, -25,
        Table6[[#This Row],[WICKETS TAKEN]] * 50)+Table6[[#This Row],[BONUS 2]])</f>
        <v>0</v>
      </c>
      <c r="DR4" s="1"/>
      <c r="DS4" s="1"/>
      <c r="DT4" s="1"/>
      <c r="DU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4" s="1">
        <f>IF(AND(Table6[[#This Row],[CATCHES TAKEN]]="",Table6[[#This Row],[RUNOUTS]]="",Table6[[#This Row],[STUMPINGS]]=""), 0, Table6[[#This Row],[BONUS 3]])</f>
        <v>0</v>
      </c>
      <c r="DW4" s="1"/>
      <c r="DX4" s="1">
        <f>SUM(Table6[[#This Row],[SUB TOTAL 1]],Table6[[#This Row],[SUB TOTAL 2]],Table6[[#This Row],[SUB TOTAL 3]],Table6[[#This Row],[POM BONUS]])</f>
        <v>0</v>
      </c>
      <c r="DY4" s="1"/>
      <c r="DZ4" s="1"/>
      <c r="EA4" s="1"/>
      <c r="EB4" s="1"/>
      <c r="EC4" s="1">
        <f>IFERROR(_xlfn.NUMBERVALUE(SUBSTITUTE(Table7[[#This Row],[RUNS SCORED]],"*",""))/Table7[[#This Row],[BALLS FACED]]*100,0)</f>
        <v>0</v>
      </c>
      <c r="ED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4" s="1">
        <f>IF(Table7[[#This Row],[RUNS SCORED]]="", 0, VALUE(SUBSTITUTE(Table7[[#This Row],[RUNS SCORED]],"*","")) + Table7[[#This Row],[BONUS 1]])</f>
        <v>0</v>
      </c>
      <c r="EF4" s="1"/>
      <c r="EG4" s="1"/>
      <c r="EH4" s="1"/>
      <c r="EI4" s="1"/>
      <c r="EJ4" s="1">
        <f>IFERROR(Table7[[#This Row],[RUNS GIVEN]]/Table7[[#This Row],[OVERS]],0)</f>
        <v>0</v>
      </c>
      <c r="EK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4" s="1">
        <f>IF(Table7[[#This Row],[WICKETS TAKEN]]="", 0, IF(Table7[[#This Row],[WICKETS TAKEN]] = 0, -25,
        Table7[[#This Row],[WICKETS TAKEN]] * 50)+Table7[[#This Row],[BONUS 2]])</f>
        <v>0</v>
      </c>
      <c r="EM4" s="1"/>
      <c r="EN4" s="1"/>
      <c r="EO4" s="1"/>
      <c r="EP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4" s="1">
        <f>IF(AND(Table7[[#This Row],[CATCHES TAKEN]]="",Table7[[#This Row],[RUNOUTS]]="",Table7[[#This Row],[STUMPINGS]]=""), 0, Table7[[#This Row],[BONUS 3]])</f>
        <v>0</v>
      </c>
      <c r="ER4" s="1"/>
      <c r="ES4" s="1">
        <f>SUM(Table7[[#This Row],[SUB TOTAL 1]],Table7[[#This Row],[SUB TOTAL 2]],Table7[[#This Row],[SUB TOTAL 3]],Table7[[#This Row],[POM BONUS]])</f>
        <v>0</v>
      </c>
    </row>
    <row r="5" spans="1:149" x14ac:dyDescent="0.3">
      <c r="A5" t="s">
        <v>60</v>
      </c>
      <c r="B5" s="1">
        <f>SUM(Table1[[#This Row],[GRAND TOTAL]],Table2[[#This Row],[GRAND TOTAL]],Table3[[#This Row],[GRAND TOTAL]],Table4[[#This Row],[GRAND TOTAL]],Table5[[#This Row],[GRAND TOTAL]],Table6[[#This Row],[GRAND TOTAL]],Table7[[#This Row],[GRAND TOTAL]])</f>
        <v>15</v>
      </c>
      <c r="C5" s="1" t="s">
        <v>296</v>
      </c>
      <c r="D5" s="1">
        <v>4</v>
      </c>
      <c r="E5" s="1">
        <v>0</v>
      </c>
      <c r="F5" s="1">
        <v>1</v>
      </c>
      <c r="G5" s="1">
        <f>IFERROR(_xlfn.NUMBERVALUE(SUBSTITUTE(Table1[[#This Row],[RUNS SCORED]],"*",""))/Table1[[#This Row],[BALLS FACED]]*100,0)</f>
        <v>250</v>
      </c>
      <c r="H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5" s="1">
        <f>IF(Table1[[#This Row],[RUNS SCORED]]="", 0, VALUE(SUBSTITUTE(Table1[[#This Row],[RUNS SCORED]],"*","")) + Table1[[#This Row],[BONUS 1]])</f>
        <v>35</v>
      </c>
      <c r="J5" s="1">
        <v>1</v>
      </c>
      <c r="K5" s="1">
        <v>0</v>
      </c>
      <c r="L5" s="1">
        <v>6</v>
      </c>
      <c r="M5" s="1">
        <v>0</v>
      </c>
      <c r="N5" s="1">
        <f>IFERROR(Table1[[#This Row],[RUNS GIVEN]]/Table1[[#This Row],[OVERS]],0)</f>
        <v>6</v>
      </c>
      <c r="O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5" s="1">
        <f>IF(Table1[[#This Row],[WICKETS TAKEN]]="", 0, IF(Table1[[#This Row],[WICKETS TAKEN]] = 0, -25,
        Table1[[#This Row],[WICKETS TAKEN]] * 50)+Table1[[#This Row],[BONUS 2]])</f>
        <v>-25</v>
      </c>
      <c r="Q5" s="1"/>
      <c r="R5" s="1"/>
      <c r="S5" s="1"/>
      <c r="T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5" s="1">
        <f>IF(AND(Table1[[#This Row],[CATCHES TAKEN]]="",Table1[[#This Row],[RUNOUTS]]="",Table1[[#This Row],[STUMPINGS]]=""), 0, Table1[[#This Row],[BONUS 3]])</f>
        <v>0</v>
      </c>
      <c r="V5" s="1"/>
      <c r="W5" s="1">
        <f>SUM(Table1[[#This Row],[SUB TOTAL 1]],Table1[[#This Row],[SUB TOTAL 2]],Table1[[#This Row],[SUB TOTAL 3]],Table1[[#This Row],[POM BONUS]])</f>
        <v>10</v>
      </c>
      <c r="X5" s="1">
        <v>2</v>
      </c>
      <c r="Y5" s="1">
        <v>5</v>
      </c>
      <c r="Z5" s="1">
        <v>0</v>
      </c>
      <c r="AA5" s="1">
        <v>0</v>
      </c>
      <c r="AB5" s="1">
        <f>IFERROR(_xlfn.NUMBERVALUE(SUBSTITUTE(Table2[[#This Row],[RUNS SCORED]],"*",""))/Table2[[#This Row],[BALLS FACED]]*100,0)</f>
        <v>40</v>
      </c>
      <c r="AC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5" s="1">
        <f>IF(Table2[[#This Row],[RUNS SCORED]]="", 0, VALUE(SUBSTITUTE(Table2[[#This Row],[RUNS SCORED]],"*","")) + Table2[[#This Row],[BONUS 1]])</f>
        <v>-8</v>
      </c>
      <c r="AE5" s="1">
        <v>3</v>
      </c>
      <c r="AF5" s="1">
        <v>0</v>
      </c>
      <c r="AG5" s="1">
        <v>22</v>
      </c>
      <c r="AH5" s="1">
        <v>0</v>
      </c>
      <c r="AI5" s="1">
        <f>IFERROR(Table2[[#This Row],[RUNS GIVEN]]/Table2[[#This Row],[OVERS]],0)</f>
        <v>7.333333333333333</v>
      </c>
      <c r="AJ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5" s="1">
        <f>IF(Table2[[#This Row],[WICKETS TAKEN]]="", 0, IF(Table2[[#This Row],[WICKETS TAKEN]] = 0, -25,
        Table2[[#This Row],[WICKETS TAKEN]] * 50)+Table2[[#This Row],[BONUS 2]])</f>
        <v>-25</v>
      </c>
      <c r="AL5" s="1"/>
      <c r="AM5" s="1"/>
      <c r="AN5" s="1"/>
      <c r="AO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5" s="1">
        <f>IF(AND(Table2[[#This Row],[CATCHES TAKEN]]="",Table2[[#This Row],[RUNOUTS]]="",Table2[[#This Row],[STUMPINGS]]=""), 0, Table2[[#This Row],[BONUS 3]])</f>
        <v>0</v>
      </c>
      <c r="AQ5" s="1"/>
      <c r="AR5" s="1">
        <f>SUM(Table2[[#This Row],[SUB TOTAL 1]],Table2[[#This Row],[SUB TOTAL 2]],Table2[[#This Row],[SUB TOTAL 3]],Table2[[#This Row],[POM BONUS]])</f>
        <v>-33</v>
      </c>
      <c r="AS5" s="1">
        <v>17</v>
      </c>
      <c r="AT5" s="1">
        <v>12</v>
      </c>
      <c r="AU5" s="1">
        <v>2</v>
      </c>
      <c r="AV5" s="1">
        <v>0</v>
      </c>
      <c r="AW5" s="1">
        <f>IFERROR(_xlfn.NUMBERVALUE(SUBSTITUTE(Table3[[#This Row],[RUNS SCORED]],"*",""))/Table3[[#This Row],[BALLS FACED]]*100,0)</f>
        <v>141.66666666666669</v>
      </c>
      <c r="AX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5" s="1">
        <f>IF(Table3[[#This Row],[RUNS SCORED]]="", 0, VALUE(SUBSTITUTE(Table3[[#This Row],[RUNS SCORED]],"*","")) + Table3[[#This Row],[BONUS 1]])</f>
        <v>17</v>
      </c>
      <c r="AZ5" s="1"/>
      <c r="BA5" s="1"/>
      <c r="BB5" s="1"/>
      <c r="BC5" s="1"/>
      <c r="BD5" s="1">
        <f>IFERROR(Table3[[#This Row],[RUNS GIVEN]]/Table3[[#This Row],[OVERS]],0)</f>
        <v>0</v>
      </c>
      <c r="BE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5" s="1">
        <f>IF(Table3[[#This Row],[WICKETS TAKEN]]="", 0, IF(Table3[[#This Row],[WICKETS TAKEN]] = 0, -25,
        Table3[[#This Row],[WICKETS TAKEN]] * 50)+Table3[[#This Row],[BONUS 2]])</f>
        <v>0</v>
      </c>
      <c r="BG5" s="1"/>
      <c r="BH5" s="1"/>
      <c r="BI5" s="1"/>
      <c r="BJ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5" s="1">
        <f>IF(AND(Table3[[#This Row],[CATCHES TAKEN]]="",Table3[[#This Row],[RUNOUTS]]="",Table3[[#This Row],[STUMPINGS]]=""), 0, Table3[[#This Row],[BONUS 3]])</f>
        <v>0</v>
      </c>
      <c r="BL5" s="1"/>
      <c r="BM5" s="1">
        <f>SUM(Table3[[#This Row],[SUB TOTAL 1]],Table3[[#This Row],[SUB TOTAL 2]],Table3[[#This Row],[SUB TOTAL 3]],Table3[[#This Row],[POM BONUS]])</f>
        <v>17</v>
      </c>
      <c r="BN5" s="1">
        <v>21</v>
      </c>
      <c r="BO5" s="1">
        <v>12</v>
      </c>
      <c r="BP5" s="1">
        <v>1</v>
      </c>
      <c r="BQ5" s="1">
        <v>1</v>
      </c>
      <c r="BR5" s="1">
        <f>IFERROR(_xlfn.NUMBERVALUE(SUBSTITUTE(Table4[[#This Row],[RUNS SCORED]],"*",""))/Table4[[#This Row],[BALLS FACED]]*100,0)</f>
        <v>175</v>
      </c>
      <c r="BS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5" s="1">
        <f>IF(Table4[[#This Row],[RUNS SCORED]]="", 0, VALUE(SUBSTITUTE(Table4[[#This Row],[RUNS SCORED]],"*","")) + Table4[[#This Row],[BONUS 1]])</f>
        <v>21</v>
      </c>
      <c r="BU5" s="1"/>
      <c r="BV5" s="1"/>
      <c r="BW5" s="1"/>
      <c r="BX5" s="1"/>
      <c r="BY5" s="1">
        <f>IFERROR(Table4[[#This Row],[RUNS GIVEN]]/Table4[[#This Row],[OVERS]],0)</f>
        <v>0</v>
      </c>
      <c r="BZ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5" s="1">
        <f>IF(Table4[[#This Row],[WICKETS TAKEN]]="", 0, IF(Table4[[#This Row],[WICKETS TAKEN]] = 0, -25,
        Table4[[#This Row],[WICKETS TAKEN]] * 50)+Table4[[#This Row],[BONUS 2]])</f>
        <v>0</v>
      </c>
      <c r="CB5" s="1"/>
      <c r="CC5" s="1"/>
      <c r="CD5" s="1"/>
      <c r="CE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5" s="1">
        <f>IF(AND(Table4[[#This Row],[CATCHES TAKEN]]="",Table4[[#This Row],[RUNOUTS]]="",Table4[[#This Row],[STUMPINGS]]=""), 0, Table4[[#This Row],[BONUS 3]])</f>
        <v>0</v>
      </c>
      <c r="CG5" s="1"/>
      <c r="CH5" s="1">
        <f>SUM(Table4[[#This Row],[SUB TOTAL 1]],Table4[[#This Row],[SUB TOTAL 2]],Table4[[#This Row],[SUB TOTAL 3]],Table4[[#This Row],[POM BONUS]])</f>
        <v>21</v>
      </c>
      <c r="CI5" s="1"/>
      <c r="CJ5" s="1"/>
      <c r="CK5" s="1"/>
      <c r="CL5" s="1"/>
      <c r="CM5" s="1">
        <f>IFERROR(_xlfn.NUMBERVALUE(SUBSTITUTE(Table5[[#This Row],[RUNS SCORED]],"*",""))/Table5[[#This Row],[BALLS FACED]]*100,0)</f>
        <v>0</v>
      </c>
      <c r="CN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5" s="1">
        <f>IF(Table5[[#This Row],[RUNS SCORED]]="", 0, VALUE(SUBSTITUTE(Table5[[#This Row],[RUNS SCORED]],"*","")) + Table5[[#This Row],[BONUS 1]])</f>
        <v>0</v>
      </c>
      <c r="CP5" s="1"/>
      <c r="CQ5" s="1"/>
      <c r="CR5" s="1"/>
      <c r="CS5" s="1"/>
      <c r="CT5" s="1">
        <f>IFERROR(Table5[[#This Row],[RUNS GIVEN]]/Table5[[#This Row],[OVERS]],0)</f>
        <v>0</v>
      </c>
      <c r="CU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5" s="1">
        <f>IF(Table5[[#This Row],[WICKETS TAKEN]]="", 0, IF(Table5[[#This Row],[WICKETS TAKEN]] = 0, -25,
        Table5[[#This Row],[WICKETS TAKEN]] * 50)+Table5[[#This Row],[BONUS 2]])</f>
        <v>0</v>
      </c>
      <c r="CW5" s="1"/>
      <c r="CX5" s="1"/>
      <c r="CY5" s="1"/>
      <c r="CZ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5" s="1">
        <f>IF(AND(Table5[[#This Row],[CATCHES TAKEN]]="",Table5[[#This Row],[RUNOUTS]]="",Table5[[#This Row],[STUMPINGS]]=""), 0, Table5[[#This Row],[BONUS 3]])</f>
        <v>0</v>
      </c>
      <c r="DB5" s="1"/>
      <c r="DC5" s="1">
        <f>SUM(Table5[[#This Row],[SUB TOTAL 1]],Table5[[#This Row],[SUB TOTAL 2]],Table5[[#This Row],[SUB TOTAL 3]],Table5[[#This Row],[POM BONUS]])</f>
        <v>0</v>
      </c>
      <c r="DD5" s="1"/>
      <c r="DE5" s="1"/>
      <c r="DF5" s="1"/>
      <c r="DG5" s="1"/>
      <c r="DH5" s="1">
        <f>IFERROR(_xlfn.NUMBERVALUE(SUBSTITUTE(Table6[[#This Row],[RUNS SCORED]],"*",""))/Table6[[#This Row],[BALLS FACED]]*100,0)</f>
        <v>0</v>
      </c>
      <c r="DI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5" s="1">
        <f>IF(Table6[[#This Row],[RUNS SCORED]]="", 0, VALUE(SUBSTITUTE(Table6[[#This Row],[RUNS SCORED]],"*","")) + Table6[[#This Row],[BONUS 1]])</f>
        <v>0</v>
      </c>
      <c r="DK5" s="1"/>
      <c r="DL5" s="1"/>
      <c r="DM5" s="1"/>
      <c r="DN5" s="1"/>
      <c r="DO5" s="1">
        <f>IFERROR(Table6[[#This Row],[RUNS GIVEN]]/Table6[[#This Row],[OVERS]],0)</f>
        <v>0</v>
      </c>
      <c r="DP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5" s="1">
        <f>IF(Table6[[#This Row],[WICKETS TAKEN]]="", 0, IF(Table6[[#This Row],[WICKETS TAKEN]] = 0, -25,
        Table6[[#This Row],[WICKETS TAKEN]] * 50)+Table6[[#This Row],[BONUS 2]])</f>
        <v>0</v>
      </c>
      <c r="DR5" s="1"/>
      <c r="DS5" s="1"/>
      <c r="DT5" s="1"/>
      <c r="DU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5" s="1">
        <f>IF(AND(Table6[[#This Row],[CATCHES TAKEN]]="",Table6[[#This Row],[RUNOUTS]]="",Table6[[#This Row],[STUMPINGS]]=""), 0, Table6[[#This Row],[BONUS 3]])</f>
        <v>0</v>
      </c>
      <c r="DW5" s="1"/>
      <c r="DX5" s="1">
        <f>SUM(Table6[[#This Row],[SUB TOTAL 1]],Table6[[#This Row],[SUB TOTAL 2]],Table6[[#This Row],[SUB TOTAL 3]],Table6[[#This Row],[POM BONUS]])</f>
        <v>0</v>
      </c>
      <c r="DY5" s="1"/>
      <c r="DZ5" s="1"/>
      <c r="EA5" s="1"/>
      <c r="EB5" s="1"/>
      <c r="EC5" s="1">
        <f>IFERROR(_xlfn.NUMBERVALUE(SUBSTITUTE(Table7[[#This Row],[RUNS SCORED]],"*",""))/Table7[[#This Row],[BALLS FACED]]*100,0)</f>
        <v>0</v>
      </c>
      <c r="ED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5" s="1">
        <f>IF(Table7[[#This Row],[RUNS SCORED]]="", 0, VALUE(SUBSTITUTE(Table7[[#This Row],[RUNS SCORED]],"*","")) + Table7[[#This Row],[BONUS 1]])</f>
        <v>0</v>
      </c>
      <c r="EF5" s="1"/>
      <c r="EG5" s="1"/>
      <c r="EH5" s="1"/>
      <c r="EI5" s="1"/>
      <c r="EJ5" s="1">
        <f>IFERROR(Table7[[#This Row],[RUNS GIVEN]]/Table7[[#This Row],[OVERS]],0)</f>
        <v>0</v>
      </c>
      <c r="EK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5" s="1">
        <f>IF(Table7[[#This Row],[WICKETS TAKEN]]="", 0, IF(Table7[[#This Row],[WICKETS TAKEN]] = 0, -25,
        Table7[[#This Row],[WICKETS TAKEN]] * 50)+Table7[[#This Row],[BONUS 2]])</f>
        <v>0</v>
      </c>
      <c r="EM5" s="1"/>
      <c r="EN5" s="1"/>
      <c r="EO5" s="1"/>
      <c r="EP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5" s="1">
        <f>IF(AND(Table7[[#This Row],[CATCHES TAKEN]]="",Table7[[#This Row],[RUNOUTS]]="",Table7[[#This Row],[STUMPINGS]]=""), 0, Table7[[#This Row],[BONUS 3]])</f>
        <v>0</v>
      </c>
      <c r="ER5" s="1"/>
      <c r="ES5" s="1">
        <f>SUM(Table7[[#This Row],[SUB TOTAL 1]],Table7[[#This Row],[SUB TOTAL 2]],Table7[[#This Row],[SUB TOTAL 3]],Table7[[#This Row],[POM BONUS]])</f>
        <v>0</v>
      </c>
    </row>
    <row r="6" spans="1:149" x14ac:dyDescent="0.3">
      <c r="A6" t="s">
        <v>56</v>
      </c>
      <c r="B6" s="1">
        <f>SUM(Table1[[#This Row],[GRAND TOTAL]],Table2[[#This Row],[GRAND TOTAL]],Table3[[#This Row],[GRAND TOTAL]],Table4[[#This Row],[GRAND TOTAL]],Table5[[#This Row],[GRAND TOTAL]],Table6[[#This Row],[GRAND TOTAL]],Table7[[#This Row],[GRAND TOTAL]])</f>
        <v>25</v>
      </c>
      <c r="C6" s="1"/>
      <c r="D6" s="1"/>
      <c r="E6" s="1"/>
      <c r="F6" s="1"/>
      <c r="G6" s="1">
        <f>IFERROR(_xlfn.NUMBERVALUE(SUBSTITUTE(Table1[[#This Row],[RUNS SCORED]],"*",""))/Table1[[#This Row],[BALLS FACED]]*100,0)</f>
        <v>0</v>
      </c>
      <c r="H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6" s="1">
        <f>IF(Table1[[#This Row],[RUNS SCORED]]="", 0, VALUE(SUBSTITUTE(Table1[[#This Row],[RUNS SCORED]],"*","")) + Table1[[#This Row],[BONUS 1]])</f>
        <v>0</v>
      </c>
      <c r="J6" s="1"/>
      <c r="K6" s="1"/>
      <c r="L6" s="1"/>
      <c r="M6" s="1"/>
      <c r="N6" s="1">
        <f>IFERROR(Table1[[#This Row],[RUNS GIVEN]]/Table1[[#This Row],[OVERS]],0)</f>
        <v>0</v>
      </c>
      <c r="O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6" s="1">
        <f>IF(Table1[[#This Row],[WICKETS TAKEN]]="", 0, IF(Table1[[#This Row],[WICKETS TAKEN]] = 0, -25,
        Table1[[#This Row],[WICKETS TAKEN]] * 50)+Table1[[#This Row],[BONUS 2]])</f>
        <v>0</v>
      </c>
      <c r="Q6" s="1"/>
      <c r="R6" s="1"/>
      <c r="S6" s="1"/>
      <c r="T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6" s="1">
        <f>IF(AND(Table1[[#This Row],[CATCHES TAKEN]]="",Table1[[#This Row],[RUNOUTS]]="",Table1[[#This Row],[STUMPINGS]]=""), 0, Table1[[#This Row],[BONUS 3]])</f>
        <v>0</v>
      </c>
      <c r="V6" s="1"/>
      <c r="W6" s="1">
        <f>SUM(Table1[[#This Row],[SUB TOTAL 1]],Table1[[#This Row],[SUB TOTAL 2]],Table1[[#This Row],[SUB TOTAL 3]],Table1[[#This Row],[POM BONUS]])</f>
        <v>0</v>
      </c>
      <c r="X6" s="1"/>
      <c r="Y6" s="1"/>
      <c r="Z6" s="1"/>
      <c r="AA6" s="1"/>
      <c r="AB6" s="1">
        <f>IFERROR(_xlfn.NUMBERVALUE(SUBSTITUTE(Table2[[#This Row],[RUNS SCORED]],"*",""))/Table2[[#This Row],[BALLS FACED]]*100,0)</f>
        <v>0</v>
      </c>
      <c r="AC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6" s="1">
        <f>IF(Table2[[#This Row],[RUNS SCORED]]="", 0, VALUE(SUBSTITUTE(Table2[[#This Row],[RUNS SCORED]],"*","")) + Table2[[#This Row],[BONUS 1]])</f>
        <v>0</v>
      </c>
      <c r="AE6" s="1"/>
      <c r="AF6" s="1"/>
      <c r="AG6" s="1"/>
      <c r="AH6" s="1"/>
      <c r="AI6" s="1">
        <f>IFERROR(Table2[[#This Row],[RUNS GIVEN]]/Table2[[#This Row],[OVERS]],0)</f>
        <v>0</v>
      </c>
      <c r="AJ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6" s="1">
        <f>IF(Table2[[#This Row],[WICKETS TAKEN]]="", 0, IF(Table2[[#This Row],[WICKETS TAKEN]] = 0, -25,
        Table2[[#This Row],[WICKETS TAKEN]] * 50)+Table2[[#This Row],[BONUS 2]])</f>
        <v>0</v>
      </c>
      <c r="AL6" s="1"/>
      <c r="AM6" s="1"/>
      <c r="AN6" s="1"/>
      <c r="AO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6" s="1">
        <f>IF(AND(Table2[[#This Row],[CATCHES TAKEN]]="",Table2[[#This Row],[RUNOUTS]]="",Table2[[#This Row],[STUMPINGS]]=""), 0, Table2[[#This Row],[BONUS 3]])</f>
        <v>0</v>
      </c>
      <c r="AQ6" s="1"/>
      <c r="AR6" s="1">
        <f>SUM(Table2[[#This Row],[SUB TOTAL 1]],Table2[[#This Row],[SUB TOTAL 2]],Table2[[#This Row],[SUB TOTAL 3]],Table2[[#This Row],[POM BONUS]])</f>
        <v>0</v>
      </c>
      <c r="AS6" s="1"/>
      <c r="AT6" s="1"/>
      <c r="AU6" s="1"/>
      <c r="AV6" s="1"/>
      <c r="AW6" s="1">
        <f>IFERROR(_xlfn.NUMBERVALUE(SUBSTITUTE(Table3[[#This Row],[RUNS SCORED]],"*",""))/Table3[[#This Row],[BALLS FACED]]*100,0)</f>
        <v>0</v>
      </c>
      <c r="AX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6" s="1">
        <f>IF(Table3[[#This Row],[RUNS SCORED]]="", 0, VALUE(SUBSTITUTE(Table3[[#This Row],[RUNS SCORED]],"*","")) + Table3[[#This Row],[BONUS 1]])</f>
        <v>0</v>
      </c>
      <c r="AZ6" s="1">
        <v>4</v>
      </c>
      <c r="BA6" s="1">
        <v>0</v>
      </c>
      <c r="BB6" s="1">
        <v>49</v>
      </c>
      <c r="BC6" s="1">
        <v>1</v>
      </c>
      <c r="BD6" s="1">
        <f>IFERROR(Table3[[#This Row],[RUNS GIVEN]]/Table3[[#This Row],[OVERS]],0)</f>
        <v>12.25</v>
      </c>
      <c r="BE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6" s="1">
        <f>IF(Table3[[#This Row],[WICKETS TAKEN]]="", 0, IF(Table3[[#This Row],[WICKETS TAKEN]] = 0, -25,
        Table3[[#This Row],[WICKETS TAKEN]] * 50)+Table3[[#This Row],[BONUS 2]])</f>
        <v>25</v>
      </c>
      <c r="BG6" s="1"/>
      <c r="BH6" s="1"/>
      <c r="BI6" s="1"/>
      <c r="BJ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6" s="1">
        <f>IF(AND(Table3[[#This Row],[CATCHES TAKEN]]="",Table3[[#This Row],[RUNOUTS]]="",Table3[[#This Row],[STUMPINGS]]=""), 0, Table3[[#This Row],[BONUS 3]])</f>
        <v>0</v>
      </c>
      <c r="BL6" s="1"/>
      <c r="BM6" s="1">
        <f>SUM(Table3[[#This Row],[SUB TOTAL 1]],Table3[[#This Row],[SUB TOTAL 2]],Table3[[#This Row],[SUB TOTAL 3]],Table3[[#This Row],[POM BONUS]])</f>
        <v>25</v>
      </c>
      <c r="BN6" s="1"/>
      <c r="BO6" s="1"/>
      <c r="BP6" s="1"/>
      <c r="BQ6" s="1"/>
      <c r="BR6" s="1">
        <f>IFERROR(_xlfn.NUMBERVALUE(SUBSTITUTE(Table4[[#This Row],[RUNS SCORED]],"*",""))/Table4[[#This Row],[BALLS FACED]]*100,0)</f>
        <v>0</v>
      </c>
      <c r="BS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6" s="1">
        <f>IF(Table4[[#This Row],[RUNS SCORED]]="", 0, VALUE(SUBSTITUTE(Table4[[#This Row],[RUNS SCORED]],"*","")) + Table4[[#This Row],[BONUS 1]])</f>
        <v>0</v>
      </c>
      <c r="BU6" s="1">
        <v>4</v>
      </c>
      <c r="BV6" s="1">
        <v>0</v>
      </c>
      <c r="BW6" s="1">
        <v>36</v>
      </c>
      <c r="BX6" s="1">
        <v>0</v>
      </c>
      <c r="BY6" s="1">
        <f>IFERROR(Table4[[#This Row],[RUNS GIVEN]]/Table4[[#This Row],[OVERS]],0)</f>
        <v>9</v>
      </c>
      <c r="BZ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6" s="1">
        <f>IF(Table4[[#This Row],[WICKETS TAKEN]]="", 0, IF(Table4[[#This Row],[WICKETS TAKEN]] = 0, -25,
        Table4[[#This Row],[WICKETS TAKEN]] * 50)+Table4[[#This Row],[BONUS 2]])</f>
        <v>-25</v>
      </c>
      <c r="CB6" s="1">
        <v>1</v>
      </c>
      <c r="CC6" s="1"/>
      <c r="CD6" s="1"/>
      <c r="CE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6" s="1">
        <f>IF(AND(Table4[[#This Row],[CATCHES TAKEN]]="",Table4[[#This Row],[RUNOUTS]]="",Table4[[#This Row],[STUMPINGS]]=""), 0, Table4[[#This Row],[BONUS 3]])</f>
        <v>25</v>
      </c>
      <c r="CG6" s="1"/>
      <c r="CH6" s="1">
        <f>SUM(Table4[[#This Row],[SUB TOTAL 1]],Table4[[#This Row],[SUB TOTAL 2]],Table4[[#This Row],[SUB TOTAL 3]],Table4[[#This Row],[POM BONUS]])</f>
        <v>0</v>
      </c>
      <c r="CI6" s="1"/>
      <c r="CJ6" s="1"/>
      <c r="CK6" s="1"/>
      <c r="CL6" s="1"/>
      <c r="CM6" s="1">
        <f>IFERROR(_xlfn.NUMBERVALUE(SUBSTITUTE(Table5[[#This Row],[RUNS SCORED]],"*",""))/Table5[[#This Row],[BALLS FACED]]*100,0)</f>
        <v>0</v>
      </c>
      <c r="CN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6" s="1">
        <f>IF(Table5[[#This Row],[RUNS SCORED]]="", 0, VALUE(SUBSTITUTE(Table5[[#This Row],[RUNS SCORED]],"*","")) + Table5[[#This Row],[BONUS 1]])</f>
        <v>0</v>
      </c>
      <c r="CP6" s="1"/>
      <c r="CQ6" s="1"/>
      <c r="CR6" s="1"/>
      <c r="CS6" s="1"/>
      <c r="CT6" s="1">
        <f>IFERROR(Table5[[#This Row],[RUNS GIVEN]]/Table5[[#This Row],[OVERS]],0)</f>
        <v>0</v>
      </c>
      <c r="CU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6" s="1">
        <f>IF(Table5[[#This Row],[WICKETS TAKEN]]="", 0, IF(Table5[[#This Row],[WICKETS TAKEN]] = 0, -25,
        Table5[[#This Row],[WICKETS TAKEN]] * 50)+Table5[[#This Row],[BONUS 2]])</f>
        <v>0</v>
      </c>
      <c r="CW6" s="1"/>
      <c r="CX6" s="1"/>
      <c r="CY6" s="1"/>
      <c r="CZ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6" s="1">
        <f>IF(AND(Table5[[#This Row],[CATCHES TAKEN]]="",Table5[[#This Row],[RUNOUTS]]="",Table5[[#This Row],[STUMPINGS]]=""), 0, Table5[[#This Row],[BONUS 3]])</f>
        <v>0</v>
      </c>
      <c r="DB6" s="1"/>
      <c r="DC6" s="1">
        <f>SUM(Table5[[#This Row],[SUB TOTAL 1]],Table5[[#This Row],[SUB TOTAL 2]],Table5[[#This Row],[SUB TOTAL 3]],Table5[[#This Row],[POM BONUS]])</f>
        <v>0</v>
      </c>
      <c r="DD6" s="1"/>
      <c r="DE6" s="1"/>
      <c r="DF6" s="1"/>
      <c r="DG6" s="1"/>
      <c r="DH6" s="1">
        <f>IFERROR(_xlfn.NUMBERVALUE(SUBSTITUTE(Table6[[#This Row],[RUNS SCORED]],"*",""))/Table6[[#This Row],[BALLS FACED]]*100,0)</f>
        <v>0</v>
      </c>
      <c r="DI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6" s="1">
        <f>IF(Table6[[#This Row],[RUNS SCORED]]="", 0, VALUE(SUBSTITUTE(Table6[[#This Row],[RUNS SCORED]],"*","")) + Table6[[#This Row],[BONUS 1]])</f>
        <v>0</v>
      </c>
      <c r="DK6" s="1"/>
      <c r="DL6" s="1"/>
      <c r="DM6" s="1"/>
      <c r="DN6" s="1"/>
      <c r="DO6" s="1">
        <f>IFERROR(Table6[[#This Row],[RUNS GIVEN]]/Table6[[#This Row],[OVERS]],0)</f>
        <v>0</v>
      </c>
      <c r="DP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6" s="1">
        <f>IF(Table6[[#This Row],[WICKETS TAKEN]]="", 0, IF(Table6[[#This Row],[WICKETS TAKEN]] = 0, -25,
        Table6[[#This Row],[WICKETS TAKEN]] * 50)+Table6[[#This Row],[BONUS 2]])</f>
        <v>0</v>
      </c>
      <c r="DR6" s="1"/>
      <c r="DS6" s="1"/>
      <c r="DT6" s="1"/>
      <c r="DU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6" s="1">
        <f>IF(AND(Table6[[#This Row],[CATCHES TAKEN]]="",Table6[[#This Row],[RUNOUTS]]="",Table6[[#This Row],[STUMPINGS]]=""), 0, Table6[[#This Row],[BONUS 3]])</f>
        <v>0</v>
      </c>
      <c r="DW6" s="1"/>
      <c r="DX6" s="1">
        <f>SUM(Table6[[#This Row],[SUB TOTAL 1]],Table6[[#This Row],[SUB TOTAL 2]],Table6[[#This Row],[SUB TOTAL 3]],Table6[[#This Row],[POM BONUS]])</f>
        <v>0</v>
      </c>
      <c r="DY6" s="1"/>
      <c r="DZ6" s="1"/>
      <c r="EA6" s="1"/>
      <c r="EB6" s="1"/>
      <c r="EC6" s="1">
        <f>IFERROR(_xlfn.NUMBERVALUE(SUBSTITUTE(Table7[[#This Row],[RUNS SCORED]],"*",""))/Table7[[#This Row],[BALLS FACED]]*100,0)</f>
        <v>0</v>
      </c>
      <c r="ED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6" s="1">
        <f>IF(Table7[[#This Row],[RUNS SCORED]]="", 0, VALUE(SUBSTITUTE(Table7[[#This Row],[RUNS SCORED]],"*","")) + Table7[[#This Row],[BONUS 1]])</f>
        <v>0</v>
      </c>
      <c r="EF6" s="1"/>
      <c r="EG6" s="1"/>
      <c r="EH6" s="1"/>
      <c r="EI6" s="1"/>
      <c r="EJ6" s="1">
        <f>IFERROR(Table7[[#This Row],[RUNS GIVEN]]/Table7[[#This Row],[OVERS]],0)</f>
        <v>0</v>
      </c>
      <c r="EK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6" s="1">
        <f>IF(Table7[[#This Row],[WICKETS TAKEN]]="", 0, IF(Table7[[#This Row],[WICKETS TAKEN]] = 0, -25,
        Table7[[#This Row],[WICKETS TAKEN]] * 50)+Table7[[#This Row],[BONUS 2]])</f>
        <v>0</v>
      </c>
      <c r="EM6" s="1"/>
      <c r="EN6" s="1"/>
      <c r="EO6" s="1"/>
      <c r="EP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6" s="1">
        <f>IF(AND(Table7[[#This Row],[CATCHES TAKEN]]="",Table7[[#This Row],[RUNOUTS]]="",Table7[[#This Row],[STUMPINGS]]=""), 0, Table7[[#This Row],[BONUS 3]])</f>
        <v>0</v>
      </c>
      <c r="ER6" s="1"/>
      <c r="ES6" s="1">
        <f>SUM(Table7[[#This Row],[SUB TOTAL 1]],Table7[[#This Row],[SUB TOTAL 2]],Table7[[#This Row],[SUB TOTAL 3]],Table7[[#This Row],[POM BONUS]])</f>
        <v>0</v>
      </c>
    </row>
    <row r="7" spans="1:149" x14ac:dyDescent="0.3">
      <c r="A7" s="10" t="s">
        <v>59</v>
      </c>
      <c r="B7" s="1">
        <f>SUM(Table1[[#This Row],[GRAND TOTAL]],Table2[[#This Row],[GRAND TOTAL]],Table3[[#This Row],[GRAND TOTAL]],Table4[[#This Row],[GRAND TOTAL]],Table5[[#This Row],[GRAND TOTAL]],Table6[[#This Row],[GRAND TOTAL]],Table7[[#This Row],[GRAND TOTAL]])</f>
        <v>67</v>
      </c>
      <c r="C7" s="1"/>
      <c r="D7" s="1"/>
      <c r="E7" s="1"/>
      <c r="F7" s="1"/>
      <c r="G7" s="1">
        <f>IFERROR(_xlfn.NUMBERVALUE(SUBSTITUTE(Table1[[#This Row],[RUNS SCORED]],"*",""))/Table1[[#This Row],[BALLS FACED]]*100,0)</f>
        <v>0</v>
      </c>
      <c r="H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7" s="1">
        <f>IF(Table1[[#This Row],[RUNS SCORED]]="", 0, VALUE(SUBSTITUTE(Table1[[#This Row],[RUNS SCORED]],"*","")) + Table1[[#This Row],[BONUS 1]])</f>
        <v>0</v>
      </c>
      <c r="J7" s="1">
        <v>3</v>
      </c>
      <c r="K7" s="1">
        <v>0</v>
      </c>
      <c r="L7" s="1">
        <v>16</v>
      </c>
      <c r="M7" s="1">
        <v>2</v>
      </c>
      <c r="N7" s="1">
        <f>IFERROR(Table1[[#This Row],[RUNS GIVEN]]/Table1[[#This Row],[OVERS]],0)</f>
        <v>5.333333333333333</v>
      </c>
      <c r="O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7" s="1">
        <f>IF(Table1[[#This Row],[WICKETS TAKEN]]="", 0, IF(Table1[[#This Row],[WICKETS TAKEN]] = 0, -25,
        Table1[[#This Row],[WICKETS TAKEN]] * 50)+Table1[[#This Row],[BONUS 2]])</f>
        <v>100</v>
      </c>
      <c r="Q7" s="1">
        <v>1</v>
      </c>
      <c r="R7" s="1"/>
      <c r="S7" s="1"/>
      <c r="T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7" s="1">
        <f>IF(AND(Table1[[#This Row],[CATCHES TAKEN]]="",Table1[[#This Row],[RUNOUTS]]="",Table1[[#This Row],[STUMPINGS]]=""), 0, Table1[[#This Row],[BONUS 3]])</f>
        <v>25</v>
      </c>
      <c r="V7" s="1"/>
      <c r="W7" s="1">
        <f>SUM(Table1[[#This Row],[SUB TOTAL 1]],Table1[[#This Row],[SUB TOTAL 2]],Table1[[#This Row],[SUB TOTAL 3]],Table1[[#This Row],[POM BONUS]])</f>
        <v>125</v>
      </c>
      <c r="X7" s="1" t="s">
        <v>295</v>
      </c>
      <c r="Y7" s="1">
        <v>3</v>
      </c>
      <c r="Z7" s="1">
        <v>0</v>
      </c>
      <c r="AA7" s="1">
        <v>0</v>
      </c>
      <c r="AB7" s="1">
        <f>IFERROR(_xlfn.NUMBERVALUE(SUBSTITUTE(Table2[[#This Row],[RUNS SCORED]],"*",""))/Table2[[#This Row],[BALLS FACED]]*100,0)</f>
        <v>66.666666666666657</v>
      </c>
      <c r="AC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AD7" s="1">
        <f>IF(Table2[[#This Row],[RUNS SCORED]]="", 0, VALUE(SUBSTITUTE(Table2[[#This Row],[RUNS SCORED]],"*","")) + Table2[[#This Row],[BONUS 1]])</f>
        <v>17</v>
      </c>
      <c r="AE7" s="1">
        <v>4</v>
      </c>
      <c r="AF7" s="1">
        <v>0</v>
      </c>
      <c r="AG7" s="1">
        <v>37</v>
      </c>
      <c r="AH7" s="1">
        <v>0</v>
      </c>
      <c r="AI7" s="1">
        <f>IFERROR(Table2[[#This Row],[RUNS GIVEN]]/Table2[[#This Row],[OVERS]],0)</f>
        <v>9.25</v>
      </c>
      <c r="AJ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7" s="1">
        <f>IF(Table2[[#This Row],[WICKETS TAKEN]]="", 0, IF(Table2[[#This Row],[WICKETS TAKEN]] = 0, -25,
        Table2[[#This Row],[WICKETS TAKEN]] * 50)+Table2[[#This Row],[BONUS 2]])</f>
        <v>-25</v>
      </c>
      <c r="AL7" s="1"/>
      <c r="AM7" s="1"/>
      <c r="AN7" s="1"/>
      <c r="AO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7" s="1">
        <f>IF(AND(Table2[[#This Row],[CATCHES TAKEN]]="",Table2[[#This Row],[RUNOUTS]]="",Table2[[#This Row],[STUMPINGS]]=""), 0, Table2[[#This Row],[BONUS 3]])</f>
        <v>0</v>
      </c>
      <c r="AQ7" s="1"/>
      <c r="AR7" s="1">
        <f>SUM(Table2[[#This Row],[SUB TOTAL 1]],Table2[[#This Row],[SUB TOTAL 2]],Table2[[#This Row],[SUB TOTAL 3]],Table2[[#This Row],[POM BONUS]])</f>
        <v>-8</v>
      </c>
      <c r="AS7" s="1"/>
      <c r="AT7" s="1"/>
      <c r="AU7" s="1"/>
      <c r="AV7" s="1"/>
      <c r="AW7" s="1">
        <f>IFERROR(_xlfn.NUMBERVALUE(SUBSTITUTE(Table3[[#This Row],[RUNS SCORED]],"*",""))/Table3[[#This Row],[BALLS FACED]]*100,0)</f>
        <v>0</v>
      </c>
      <c r="AX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7" s="1">
        <f>IF(Table3[[#This Row],[RUNS SCORED]]="", 0, VALUE(SUBSTITUTE(Table3[[#This Row],[RUNS SCORED]],"*","")) + Table3[[#This Row],[BONUS 1]])</f>
        <v>0</v>
      </c>
      <c r="AZ7" s="1">
        <v>3</v>
      </c>
      <c r="BA7" s="1">
        <v>0</v>
      </c>
      <c r="BB7" s="1">
        <v>38</v>
      </c>
      <c r="BC7" s="1">
        <v>0</v>
      </c>
      <c r="BD7" s="1">
        <f>IFERROR(Table3[[#This Row],[RUNS GIVEN]]/Table3[[#This Row],[OVERS]],0)</f>
        <v>12.666666666666666</v>
      </c>
      <c r="BE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7" s="1">
        <f>IF(Table3[[#This Row],[WICKETS TAKEN]]="", 0, IF(Table3[[#This Row],[WICKETS TAKEN]] = 0, -25,
        Table3[[#This Row],[WICKETS TAKEN]] * 50)+Table3[[#This Row],[BONUS 2]])</f>
        <v>-50</v>
      </c>
      <c r="BG7" s="1"/>
      <c r="BH7" s="1"/>
      <c r="BI7" s="1"/>
      <c r="BJ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7" s="1">
        <f>IF(AND(Table3[[#This Row],[CATCHES TAKEN]]="",Table3[[#This Row],[RUNOUTS]]="",Table3[[#This Row],[STUMPINGS]]=""), 0, Table3[[#This Row],[BONUS 3]])</f>
        <v>0</v>
      </c>
      <c r="BL7" s="1"/>
      <c r="BM7" s="1">
        <f>SUM(Table3[[#This Row],[SUB TOTAL 1]],Table3[[#This Row],[SUB TOTAL 2]],Table3[[#This Row],[SUB TOTAL 3]],Table3[[#This Row],[POM BONUS]])</f>
        <v>-50</v>
      </c>
      <c r="BN7" s="1"/>
      <c r="BO7" s="1"/>
      <c r="BP7" s="1"/>
      <c r="BQ7" s="1"/>
      <c r="BR7" s="1">
        <f>IFERROR(_xlfn.NUMBERVALUE(SUBSTITUTE(Table4[[#This Row],[RUNS SCORED]],"*",""))/Table4[[#This Row],[BALLS FACED]]*100,0)</f>
        <v>0</v>
      </c>
      <c r="BS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7" s="1">
        <f>IF(Table4[[#This Row],[RUNS SCORED]]="", 0, VALUE(SUBSTITUTE(Table4[[#This Row],[RUNS SCORED]],"*","")) + Table4[[#This Row],[BONUS 1]])</f>
        <v>0</v>
      </c>
      <c r="BU7" s="1"/>
      <c r="BV7" s="1"/>
      <c r="BW7" s="1"/>
      <c r="BX7" s="1"/>
      <c r="BY7" s="1">
        <f>IFERROR(Table4[[#This Row],[RUNS GIVEN]]/Table4[[#This Row],[OVERS]],0)</f>
        <v>0</v>
      </c>
      <c r="BZ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7" s="1">
        <f>IF(Table4[[#This Row],[WICKETS TAKEN]]="", 0, IF(Table4[[#This Row],[WICKETS TAKEN]] = 0, -25,
        Table4[[#This Row],[WICKETS TAKEN]] * 50)+Table4[[#This Row],[BONUS 2]])</f>
        <v>0</v>
      </c>
      <c r="CB7" s="1"/>
      <c r="CC7" s="1"/>
      <c r="CD7" s="1"/>
      <c r="CE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7" s="1">
        <f>IF(AND(Table4[[#This Row],[CATCHES TAKEN]]="",Table4[[#This Row],[RUNOUTS]]="",Table4[[#This Row],[STUMPINGS]]=""), 0, Table4[[#This Row],[BONUS 3]])</f>
        <v>0</v>
      </c>
      <c r="CG7" s="1"/>
      <c r="CH7" s="1">
        <f>SUM(Table4[[#This Row],[SUB TOTAL 1]],Table4[[#This Row],[SUB TOTAL 2]],Table4[[#This Row],[SUB TOTAL 3]],Table4[[#This Row],[POM BONUS]])</f>
        <v>0</v>
      </c>
      <c r="CI7" s="1"/>
      <c r="CJ7" s="1"/>
      <c r="CK7" s="1"/>
      <c r="CL7" s="1"/>
      <c r="CM7" s="1">
        <f>IFERROR(_xlfn.NUMBERVALUE(SUBSTITUTE(Table5[[#This Row],[RUNS SCORED]],"*",""))/Table5[[#This Row],[BALLS FACED]]*100,0)</f>
        <v>0</v>
      </c>
      <c r="CN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7" s="1">
        <f>IF(Table5[[#This Row],[RUNS SCORED]]="", 0, VALUE(SUBSTITUTE(Table5[[#This Row],[RUNS SCORED]],"*","")) + Table5[[#This Row],[BONUS 1]])</f>
        <v>0</v>
      </c>
      <c r="CP7" s="1"/>
      <c r="CQ7" s="1"/>
      <c r="CR7" s="1"/>
      <c r="CS7" s="1"/>
      <c r="CT7" s="1">
        <f>IFERROR(Table5[[#This Row],[RUNS GIVEN]]/Table5[[#This Row],[OVERS]],0)</f>
        <v>0</v>
      </c>
      <c r="CU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7" s="1">
        <f>IF(Table5[[#This Row],[WICKETS TAKEN]]="", 0, IF(Table5[[#This Row],[WICKETS TAKEN]] = 0, -25,
        Table5[[#This Row],[WICKETS TAKEN]] * 50)+Table5[[#This Row],[BONUS 2]])</f>
        <v>0</v>
      </c>
      <c r="CW7" s="1"/>
      <c r="CX7" s="1"/>
      <c r="CY7" s="1"/>
      <c r="CZ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7" s="1">
        <f>IF(AND(Table5[[#This Row],[CATCHES TAKEN]]="",Table5[[#This Row],[RUNOUTS]]="",Table5[[#This Row],[STUMPINGS]]=""), 0, Table5[[#This Row],[BONUS 3]])</f>
        <v>0</v>
      </c>
      <c r="DB7" s="1"/>
      <c r="DC7" s="1">
        <f>SUM(Table5[[#This Row],[SUB TOTAL 1]],Table5[[#This Row],[SUB TOTAL 2]],Table5[[#This Row],[SUB TOTAL 3]],Table5[[#This Row],[POM BONUS]])</f>
        <v>0</v>
      </c>
      <c r="DD7" s="1"/>
      <c r="DE7" s="1"/>
      <c r="DF7" s="1"/>
      <c r="DG7" s="1"/>
      <c r="DH7" s="1">
        <f>IFERROR(_xlfn.NUMBERVALUE(SUBSTITUTE(Table6[[#This Row],[RUNS SCORED]],"*",""))/Table6[[#This Row],[BALLS FACED]]*100,0)</f>
        <v>0</v>
      </c>
      <c r="DI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7" s="1">
        <f>IF(Table6[[#This Row],[RUNS SCORED]]="", 0, VALUE(SUBSTITUTE(Table6[[#This Row],[RUNS SCORED]],"*","")) + Table6[[#This Row],[BONUS 1]])</f>
        <v>0</v>
      </c>
      <c r="DK7" s="1"/>
      <c r="DL7" s="1"/>
      <c r="DM7" s="1"/>
      <c r="DN7" s="1"/>
      <c r="DO7" s="1">
        <f>IFERROR(Table6[[#This Row],[RUNS GIVEN]]/Table6[[#This Row],[OVERS]],0)</f>
        <v>0</v>
      </c>
      <c r="DP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7" s="1">
        <f>IF(Table6[[#This Row],[WICKETS TAKEN]]="", 0, IF(Table6[[#This Row],[WICKETS TAKEN]] = 0, -25,
        Table6[[#This Row],[WICKETS TAKEN]] * 50)+Table6[[#This Row],[BONUS 2]])</f>
        <v>0</v>
      </c>
      <c r="DR7" s="1"/>
      <c r="DS7" s="1"/>
      <c r="DT7" s="1"/>
      <c r="DU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7" s="1">
        <f>IF(AND(Table6[[#This Row],[CATCHES TAKEN]]="",Table6[[#This Row],[RUNOUTS]]="",Table6[[#This Row],[STUMPINGS]]=""), 0, Table6[[#This Row],[BONUS 3]])</f>
        <v>0</v>
      </c>
      <c r="DW7" s="1"/>
      <c r="DX7" s="1">
        <f>SUM(Table6[[#This Row],[SUB TOTAL 1]],Table6[[#This Row],[SUB TOTAL 2]],Table6[[#This Row],[SUB TOTAL 3]],Table6[[#This Row],[POM BONUS]])</f>
        <v>0</v>
      </c>
      <c r="DY7" s="1"/>
      <c r="DZ7" s="1"/>
      <c r="EA7" s="1"/>
      <c r="EB7" s="1"/>
      <c r="EC7" s="1">
        <f>IFERROR(_xlfn.NUMBERVALUE(SUBSTITUTE(Table7[[#This Row],[RUNS SCORED]],"*",""))/Table7[[#This Row],[BALLS FACED]]*100,0)</f>
        <v>0</v>
      </c>
      <c r="ED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7" s="1">
        <f>IF(Table7[[#This Row],[RUNS SCORED]]="", 0, VALUE(SUBSTITUTE(Table7[[#This Row],[RUNS SCORED]],"*","")) + Table7[[#This Row],[BONUS 1]])</f>
        <v>0</v>
      </c>
      <c r="EF7" s="1"/>
      <c r="EG7" s="1"/>
      <c r="EH7" s="1"/>
      <c r="EI7" s="1"/>
      <c r="EJ7" s="1">
        <f>IFERROR(Table7[[#This Row],[RUNS GIVEN]]/Table7[[#This Row],[OVERS]],0)</f>
        <v>0</v>
      </c>
      <c r="EK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7" s="1">
        <f>IF(Table7[[#This Row],[WICKETS TAKEN]]="", 0, IF(Table7[[#This Row],[WICKETS TAKEN]] = 0, -25,
        Table7[[#This Row],[WICKETS TAKEN]] * 50)+Table7[[#This Row],[BONUS 2]])</f>
        <v>0</v>
      </c>
      <c r="EM7" s="1"/>
      <c r="EN7" s="1"/>
      <c r="EO7" s="1"/>
      <c r="EP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7" s="1">
        <f>IF(AND(Table7[[#This Row],[CATCHES TAKEN]]="",Table7[[#This Row],[RUNOUTS]]="",Table7[[#This Row],[STUMPINGS]]=""), 0, Table7[[#This Row],[BONUS 3]])</f>
        <v>0</v>
      </c>
      <c r="ER7" s="1"/>
      <c r="ES7" s="1">
        <f>SUM(Table7[[#This Row],[SUB TOTAL 1]],Table7[[#This Row],[SUB TOTAL 2]],Table7[[#This Row],[SUB TOTAL 3]],Table7[[#This Row],[POM BONUS]])</f>
        <v>0</v>
      </c>
    </row>
    <row r="8" spans="1:149" x14ac:dyDescent="0.3">
      <c r="A8" t="s">
        <v>62</v>
      </c>
      <c r="B8" s="1">
        <f>SUM(Table1[[#This Row],[GRAND TOTAL]],Table2[[#This Row],[GRAND TOTAL]],Table3[[#This Row],[GRAND TOTAL]],Table4[[#This Row],[GRAND TOTAL]],Table5[[#This Row],[GRAND TOTAL]],Table6[[#This Row],[GRAND TOTAL]],Table7[[#This Row],[GRAND TOTAL]])</f>
        <v>188</v>
      </c>
      <c r="C8" s="1"/>
      <c r="D8" s="1"/>
      <c r="E8" s="1"/>
      <c r="F8" s="1"/>
      <c r="G8" s="1">
        <f>IFERROR(_xlfn.NUMBERVALUE(SUBSTITUTE(Table1[[#This Row],[RUNS SCORED]],"*",""))/Table1[[#This Row],[BALLS FACED]]*100,0)</f>
        <v>0</v>
      </c>
      <c r="H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8" s="1">
        <f>IF(Table1[[#This Row],[RUNS SCORED]]="", 0, VALUE(SUBSTITUTE(Table1[[#This Row],[RUNS SCORED]],"*","")) + Table1[[#This Row],[BONUS 1]])</f>
        <v>0</v>
      </c>
      <c r="J8" s="1">
        <v>1</v>
      </c>
      <c r="K8" s="1">
        <v>0</v>
      </c>
      <c r="L8" s="1">
        <v>10</v>
      </c>
      <c r="M8" s="1">
        <v>0</v>
      </c>
      <c r="N8" s="1">
        <f>IFERROR(Table1[[#This Row],[RUNS GIVEN]]/Table1[[#This Row],[OVERS]],0)</f>
        <v>10</v>
      </c>
      <c r="O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8" s="1">
        <f>IF(Table1[[#This Row],[WICKETS TAKEN]]="", 0, IF(Table1[[#This Row],[WICKETS TAKEN]] = 0, -25,
        Table1[[#This Row],[WICKETS TAKEN]] * 50)+Table1[[#This Row],[BONUS 2]])</f>
        <v>-25</v>
      </c>
      <c r="Q8" s="1"/>
      <c r="R8" s="1"/>
      <c r="S8" s="1"/>
      <c r="T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8" s="1">
        <f>IF(AND(Table1[[#This Row],[CATCHES TAKEN]]="",Table1[[#This Row],[RUNOUTS]]="",Table1[[#This Row],[STUMPINGS]]=""), 0, Table1[[#This Row],[BONUS 3]])</f>
        <v>0</v>
      </c>
      <c r="V8" s="1"/>
      <c r="W8" s="1">
        <f>SUM(Table1[[#This Row],[SUB TOTAL 1]],Table1[[#This Row],[SUB TOTAL 2]],Table1[[#This Row],[SUB TOTAL 3]],Table1[[#This Row],[POM BONUS]])</f>
        <v>-25</v>
      </c>
      <c r="X8" s="1"/>
      <c r="Y8" s="1"/>
      <c r="Z8" s="1"/>
      <c r="AA8" s="1"/>
      <c r="AB8" s="1">
        <f>IFERROR(_xlfn.NUMBERVALUE(SUBSTITUTE(Table2[[#This Row],[RUNS SCORED]],"*",""))/Table2[[#This Row],[BALLS FACED]]*100,0)</f>
        <v>0</v>
      </c>
      <c r="AC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8" s="1">
        <f>IF(Table2[[#This Row],[RUNS SCORED]]="", 0, VALUE(SUBSTITUTE(Table2[[#This Row],[RUNS SCORED]],"*","")) + Table2[[#This Row],[BONUS 1]])</f>
        <v>0</v>
      </c>
      <c r="AE8" s="1">
        <v>3</v>
      </c>
      <c r="AF8" s="1">
        <v>0</v>
      </c>
      <c r="AG8" s="1">
        <v>34</v>
      </c>
      <c r="AH8" s="1">
        <v>1</v>
      </c>
      <c r="AI8" s="1">
        <f>IFERROR(Table2[[#This Row],[RUNS GIVEN]]/Table2[[#This Row],[OVERS]],0)</f>
        <v>11.333333333333334</v>
      </c>
      <c r="AJ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8" s="1">
        <f>IF(Table2[[#This Row],[WICKETS TAKEN]]="", 0, IF(Table2[[#This Row],[WICKETS TAKEN]] = 0, -25,
        Table2[[#This Row],[WICKETS TAKEN]] * 50)+Table2[[#This Row],[BONUS 2]])</f>
        <v>25</v>
      </c>
      <c r="AL8" s="1">
        <v>2</v>
      </c>
      <c r="AM8" s="1"/>
      <c r="AN8" s="1"/>
      <c r="AO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8" s="1">
        <f>IF(AND(Table2[[#This Row],[CATCHES TAKEN]]="",Table2[[#This Row],[RUNOUTS]]="",Table2[[#This Row],[STUMPINGS]]=""), 0, Table2[[#This Row],[BONUS 3]])</f>
        <v>50</v>
      </c>
      <c r="AQ8" s="1"/>
      <c r="AR8" s="1">
        <f>SUM(Table2[[#This Row],[SUB TOTAL 1]],Table2[[#This Row],[SUB TOTAL 2]],Table2[[#This Row],[SUB TOTAL 3]],Table2[[#This Row],[POM BONUS]])</f>
        <v>75</v>
      </c>
      <c r="AS8" s="1">
        <v>1</v>
      </c>
      <c r="AT8" s="1">
        <v>1</v>
      </c>
      <c r="AU8" s="1">
        <v>0</v>
      </c>
      <c r="AV8" s="1">
        <v>0</v>
      </c>
      <c r="AW8" s="1">
        <f>IFERROR(_xlfn.NUMBERVALUE(SUBSTITUTE(Table3[[#This Row],[RUNS SCORED]],"*",""))/Table3[[#This Row],[BALLS FACED]]*100,0)</f>
        <v>100</v>
      </c>
      <c r="AX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8" s="1">
        <f>IF(Table3[[#This Row],[RUNS SCORED]]="", 0, VALUE(SUBSTITUTE(Table3[[#This Row],[RUNS SCORED]],"*","")) + Table3[[#This Row],[BONUS 1]])</f>
        <v>-9</v>
      </c>
      <c r="AZ8" s="1">
        <v>4</v>
      </c>
      <c r="BA8" s="1">
        <v>0</v>
      </c>
      <c r="BB8" s="1">
        <v>26</v>
      </c>
      <c r="BC8" s="1">
        <v>1</v>
      </c>
      <c r="BD8" s="1">
        <f>IFERROR(Table3[[#This Row],[RUNS GIVEN]]/Table3[[#This Row],[OVERS]],0)</f>
        <v>6.5</v>
      </c>
      <c r="BE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8" s="1">
        <f>IF(Table3[[#This Row],[WICKETS TAKEN]]="", 0, IF(Table3[[#This Row],[WICKETS TAKEN]] = 0, -25,
        Table3[[#This Row],[WICKETS TAKEN]] * 50)+Table3[[#This Row],[BONUS 2]])</f>
        <v>50</v>
      </c>
      <c r="BG8" s="1">
        <v>1</v>
      </c>
      <c r="BH8" s="1"/>
      <c r="BI8" s="1"/>
      <c r="BJ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8" s="1">
        <f>IF(AND(Table3[[#This Row],[CATCHES TAKEN]]="",Table3[[#This Row],[RUNOUTS]]="",Table3[[#This Row],[STUMPINGS]]=""), 0, Table3[[#This Row],[BONUS 3]])</f>
        <v>25</v>
      </c>
      <c r="BL8" s="1"/>
      <c r="BM8" s="1">
        <f>SUM(Table3[[#This Row],[SUB TOTAL 1]],Table3[[#This Row],[SUB TOTAL 2]],Table3[[#This Row],[SUB TOTAL 3]],Table3[[#This Row],[POM BONUS]])</f>
        <v>66</v>
      </c>
      <c r="BN8" s="1" t="s">
        <v>293</v>
      </c>
      <c r="BO8" s="1">
        <v>7</v>
      </c>
      <c r="BP8" s="1">
        <v>1</v>
      </c>
      <c r="BQ8" s="1">
        <v>0</v>
      </c>
      <c r="BR8" s="1">
        <f>IFERROR(_xlfn.NUMBERVALUE(SUBSTITUTE(Table4[[#This Row],[RUNS SCORED]],"*",""))/Table4[[#This Row],[BALLS FACED]]*100,0)</f>
        <v>100</v>
      </c>
      <c r="BS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BT8" s="1">
        <f>IF(Table4[[#This Row],[RUNS SCORED]]="", 0, VALUE(SUBSTITUTE(Table4[[#This Row],[RUNS SCORED]],"*","")) + Table4[[#This Row],[BONUS 1]])</f>
        <v>22</v>
      </c>
      <c r="BU8" s="1">
        <v>3</v>
      </c>
      <c r="BV8" s="1">
        <v>0</v>
      </c>
      <c r="BW8" s="1">
        <v>29</v>
      </c>
      <c r="BX8" s="1">
        <v>1</v>
      </c>
      <c r="BY8" s="1">
        <f>IFERROR(Table4[[#This Row],[RUNS GIVEN]]/Table4[[#This Row],[OVERS]],0)</f>
        <v>9.6666666666666661</v>
      </c>
      <c r="BZ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8" s="1">
        <f>IF(Table4[[#This Row],[WICKETS TAKEN]]="", 0, IF(Table4[[#This Row],[WICKETS TAKEN]] = 0, -25,
        Table4[[#This Row],[WICKETS TAKEN]] * 50)+Table4[[#This Row],[BONUS 2]])</f>
        <v>50</v>
      </c>
      <c r="CB8" s="1"/>
      <c r="CC8" s="1"/>
      <c r="CD8" s="1"/>
      <c r="CE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8" s="1">
        <f>IF(AND(Table4[[#This Row],[CATCHES TAKEN]]="",Table4[[#This Row],[RUNOUTS]]="",Table4[[#This Row],[STUMPINGS]]=""), 0, Table4[[#This Row],[BONUS 3]])</f>
        <v>0</v>
      </c>
      <c r="CG8" s="1"/>
      <c r="CH8" s="1">
        <f>SUM(Table4[[#This Row],[SUB TOTAL 1]],Table4[[#This Row],[SUB TOTAL 2]],Table4[[#This Row],[SUB TOTAL 3]],Table4[[#This Row],[POM BONUS]])</f>
        <v>72</v>
      </c>
      <c r="CI8" s="1"/>
      <c r="CJ8" s="1"/>
      <c r="CK8" s="1"/>
      <c r="CL8" s="1"/>
      <c r="CM8" s="1">
        <f>IFERROR(_xlfn.NUMBERVALUE(SUBSTITUTE(Table5[[#This Row],[RUNS SCORED]],"*",""))/Table5[[#This Row],[BALLS FACED]]*100,0)</f>
        <v>0</v>
      </c>
      <c r="CN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8" s="1">
        <f>IF(Table5[[#This Row],[RUNS SCORED]]="", 0, VALUE(SUBSTITUTE(Table5[[#This Row],[RUNS SCORED]],"*","")) + Table5[[#This Row],[BONUS 1]])</f>
        <v>0</v>
      </c>
      <c r="CP8" s="1"/>
      <c r="CQ8" s="1"/>
      <c r="CR8" s="1"/>
      <c r="CS8" s="1"/>
      <c r="CT8" s="1">
        <f>IFERROR(Table5[[#This Row],[RUNS GIVEN]]/Table5[[#This Row],[OVERS]],0)</f>
        <v>0</v>
      </c>
      <c r="CU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8" s="1">
        <f>IF(Table5[[#This Row],[WICKETS TAKEN]]="", 0, IF(Table5[[#This Row],[WICKETS TAKEN]] = 0, -25,
        Table5[[#This Row],[WICKETS TAKEN]] * 50)+Table5[[#This Row],[BONUS 2]])</f>
        <v>0</v>
      </c>
      <c r="CW8" s="1"/>
      <c r="CX8" s="1"/>
      <c r="CY8" s="1"/>
      <c r="CZ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8" s="1">
        <f>IF(AND(Table5[[#This Row],[CATCHES TAKEN]]="",Table5[[#This Row],[RUNOUTS]]="",Table5[[#This Row],[STUMPINGS]]=""), 0, Table5[[#This Row],[BONUS 3]])</f>
        <v>0</v>
      </c>
      <c r="DB8" s="1"/>
      <c r="DC8" s="1">
        <f>SUM(Table5[[#This Row],[SUB TOTAL 1]],Table5[[#This Row],[SUB TOTAL 2]],Table5[[#This Row],[SUB TOTAL 3]],Table5[[#This Row],[POM BONUS]])</f>
        <v>0</v>
      </c>
      <c r="DD8" s="1"/>
      <c r="DE8" s="1"/>
      <c r="DF8" s="1"/>
      <c r="DG8" s="1"/>
      <c r="DH8" s="1">
        <f>IFERROR(_xlfn.NUMBERVALUE(SUBSTITUTE(Table6[[#This Row],[RUNS SCORED]],"*",""))/Table6[[#This Row],[BALLS FACED]]*100,0)</f>
        <v>0</v>
      </c>
      <c r="DI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8" s="1">
        <f>IF(Table6[[#This Row],[RUNS SCORED]]="", 0, VALUE(SUBSTITUTE(Table6[[#This Row],[RUNS SCORED]],"*","")) + Table6[[#This Row],[BONUS 1]])</f>
        <v>0</v>
      </c>
      <c r="DK8" s="1"/>
      <c r="DL8" s="1"/>
      <c r="DM8" s="1"/>
      <c r="DN8" s="1"/>
      <c r="DO8" s="1">
        <f>IFERROR(Table6[[#This Row],[RUNS GIVEN]]/Table6[[#This Row],[OVERS]],0)</f>
        <v>0</v>
      </c>
      <c r="DP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8" s="1">
        <f>IF(Table6[[#This Row],[WICKETS TAKEN]]="", 0, IF(Table6[[#This Row],[WICKETS TAKEN]] = 0, -25,
        Table6[[#This Row],[WICKETS TAKEN]] * 50)+Table6[[#This Row],[BONUS 2]])</f>
        <v>0</v>
      </c>
      <c r="DR8" s="1"/>
      <c r="DS8" s="1"/>
      <c r="DT8" s="1"/>
      <c r="DU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8" s="1">
        <f>IF(AND(Table6[[#This Row],[CATCHES TAKEN]]="",Table6[[#This Row],[RUNOUTS]]="",Table6[[#This Row],[STUMPINGS]]=""), 0, Table6[[#This Row],[BONUS 3]])</f>
        <v>0</v>
      </c>
      <c r="DW8" s="1"/>
      <c r="DX8" s="1">
        <f>SUM(Table6[[#This Row],[SUB TOTAL 1]],Table6[[#This Row],[SUB TOTAL 2]],Table6[[#This Row],[SUB TOTAL 3]],Table6[[#This Row],[POM BONUS]])</f>
        <v>0</v>
      </c>
      <c r="DY8" s="1"/>
      <c r="DZ8" s="1"/>
      <c r="EA8" s="1"/>
      <c r="EB8" s="1"/>
      <c r="EC8" s="1">
        <f>IFERROR(_xlfn.NUMBERVALUE(SUBSTITUTE(Table7[[#This Row],[RUNS SCORED]],"*",""))/Table7[[#This Row],[BALLS FACED]]*100,0)</f>
        <v>0</v>
      </c>
      <c r="ED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8" s="1">
        <f>IF(Table7[[#This Row],[RUNS SCORED]]="", 0, VALUE(SUBSTITUTE(Table7[[#This Row],[RUNS SCORED]],"*","")) + Table7[[#This Row],[BONUS 1]])</f>
        <v>0</v>
      </c>
      <c r="EF8" s="1"/>
      <c r="EG8" s="1"/>
      <c r="EH8" s="1"/>
      <c r="EI8" s="1"/>
      <c r="EJ8" s="1">
        <f>IFERROR(Table7[[#This Row],[RUNS GIVEN]]/Table7[[#This Row],[OVERS]],0)</f>
        <v>0</v>
      </c>
      <c r="EK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8" s="1">
        <f>IF(Table7[[#This Row],[WICKETS TAKEN]]="", 0, IF(Table7[[#This Row],[WICKETS TAKEN]] = 0, -25,
        Table7[[#This Row],[WICKETS TAKEN]] * 50)+Table7[[#This Row],[BONUS 2]])</f>
        <v>0</v>
      </c>
      <c r="EM8" s="1"/>
      <c r="EN8" s="1"/>
      <c r="EO8" s="1"/>
      <c r="EP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8" s="1">
        <f>IF(AND(Table7[[#This Row],[CATCHES TAKEN]]="",Table7[[#This Row],[RUNOUTS]]="",Table7[[#This Row],[STUMPINGS]]=""), 0, Table7[[#This Row],[BONUS 3]])</f>
        <v>0</v>
      </c>
      <c r="ER8" s="1"/>
      <c r="ES8" s="1">
        <f>SUM(Table7[[#This Row],[SUB TOTAL 1]],Table7[[#This Row],[SUB TOTAL 2]],Table7[[#This Row],[SUB TOTAL 3]],Table7[[#This Row],[POM BONUS]])</f>
        <v>0</v>
      </c>
    </row>
    <row r="9" spans="1:149" x14ac:dyDescent="0.3">
      <c r="A9" s="10" t="s">
        <v>66</v>
      </c>
      <c r="B9" s="1">
        <f>SUM(Table1[[#This Row],[GRAND TOTAL]],Table2[[#This Row],[GRAND TOTAL]],Table3[[#This Row],[GRAND TOTAL]],Table4[[#This Row],[GRAND TOTAL]],Table5[[#This Row],[GRAND TOTAL]],Table6[[#This Row],[GRAND TOTAL]],Table7[[#This Row],[GRAND TOTAL]])</f>
        <v>60</v>
      </c>
      <c r="C9" s="1">
        <v>1</v>
      </c>
      <c r="D9" s="1">
        <v>4</v>
      </c>
      <c r="E9" s="1">
        <v>0</v>
      </c>
      <c r="F9" s="1">
        <v>0</v>
      </c>
      <c r="G9" s="1">
        <f>IFERROR(_xlfn.NUMBERVALUE(SUBSTITUTE(Table1[[#This Row],[RUNS SCORED]],"*",""))/Table1[[#This Row],[BALLS FACED]]*100,0)</f>
        <v>25</v>
      </c>
      <c r="H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I9" s="1">
        <f>IF(Table1[[#This Row],[RUNS SCORED]]="", 0, VALUE(SUBSTITUTE(Table1[[#This Row],[RUNS SCORED]],"*","")) + Table1[[#This Row],[BONUS 1]])</f>
        <v>-9</v>
      </c>
      <c r="J9" s="1"/>
      <c r="K9" s="1"/>
      <c r="L9" s="1"/>
      <c r="M9" s="1"/>
      <c r="N9" s="1">
        <f>IFERROR(Table1[[#This Row],[RUNS GIVEN]]/Table1[[#This Row],[OVERS]],0)</f>
        <v>0</v>
      </c>
      <c r="O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9" s="1">
        <f>IF(Table1[[#This Row],[WICKETS TAKEN]]="", 0, IF(Table1[[#This Row],[WICKETS TAKEN]] = 0, -25,
        Table1[[#This Row],[WICKETS TAKEN]] * 50)+Table1[[#This Row],[BONUS 2]])</f>
        <v>0</v>
      </c>
      <c r="Q9" s="1"/>
      <c r="R9" s="1"/>
      <c r="S9" s="1"/>
      <c r="T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9" s="1">
        <f>IF(AND(Table1[[#This Row],[CATCHES TAKEN]]="",Table1[[#This Row],[RUNOUTS]]="",Table1[[#This Row],[STUMPINGS]]=""), 0, Table1[[#This Row],[BONUS 3]])</f>
        <v>0</v>
      </c>
      <c r="V9" s="1"/>
      <c r="W9" s="1">
        <f>SUM(Table1[[#This Row],[SUB TOTAL 1]],Table1[[#This Row],[SUB TOTAL 2]],Table1[[#This Row],[SUB TOTAL 3]],Table1[[#This Row],[POM BONUS]])</f>
        <v>-9</v>
      </c>
      <c r="X9" s="1">
        <v>5</v>
      </c>
      <c r="Y9" s="1">
        <v>12</v>
      </c>
      <c r="Z9" s="1">
        <v>1</v>
      </c>
      <c r="AA9" s="1">
        <v>0</v>
      </c>
      <c r="AB9" s="1">
        <f>IFERROR(_xlfn.NUMBERVALUE(SUBSTITUTE(Table2[[#This Row],[RUNS SCORED]],"*",""))/Table2[[#This Row],[BALLS FACED]]*100,0)</f>
        <v>41.666666666666671</v>
      </c>
      <c r="AC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9" s="1">
        <f>IF(Table2[[#This Row],[RUNS SCORED]]="", 0, VALUE(SUBSTITUTE(Table2[[#This Row],[RUNS SCORED]],"*","")) + Table2[[#This Row],[BONUS 1]])</f>
        <v>-5</v>
      </c>
      <c r="AE9" s="1"/>
      <c r="AF9" s="1"/>
      <c r="AG9" s="1"/>
      <c r="AH9" s="1"/>
      <c r="AI9" s="1">
        <f>IFERROR(Table2[[#This Row],[RUNS GIVEN]]/Table2[[#This Row],[OVERS]],0)</f>
        <v>0</v>
      </c>
      <c r="AJ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9" s="1">
        <f>IF(Table2[[#This Row],[WICKETS TAKEN]]="", 0, IF(Table2[[#This Row],[WICKETS TAKEN]] = 0, -25,
        Table2[[#This Row],[WICKETS TAKEN]] * 50)+Table2[[#This Row],[BONUS 2]])</f>
        <v>0</v>
      </c>
      <c r="AL9" s="1">
        <v>1</v>
      </c>
      <c r="AM9" s="1"/>
      <c r="AN9" s="1"/>
      <c r="AO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9" s="1">
        <f>IF(AND(Table2[[#This Row],[CATCHES TAKEN]]="",Table2[[#This Row],[RUNOUTS]]="",Table2[[#This Row],[STUMPINGS]]=""), 0, Table2[[#This Row],[BONUS 3]])</f>
        <v>25</v>
      </c>
      <c r="AQ9" s="1"/>
      <c r="AR9" s="1">
        <f>SUM(Table2[[#This Row],[SUB TOTAL 1]],Table2[[#This Row],[SUB TOTAL 2]],Table2[[#This Row],[SUB TOTAL 3]],Table2[[#This Row],[POM BONUS]])</f>
        <v>20</v>
      </c>
      <c r="AS9" s="1">
        <v>24</v>
      </c>
      <c r="AT9" s="1">
        <v>27</v>
      </c>
      <c r="AU9" s="1">
        <v>0</v>
      </c>
      <c r="AV9" s="1">
        <v>1</v>
      </c>
      <c r="AW9" s="1">
        <f>IFERROR(_xlfn.NUMBERVALUE(SUBSTITUTE(Table3[[#This Row],[RUNS SCORED]],"*",""))/Table3[[#This Row],[BALLS FACED]]*100,0)</f>
        <v>88.888888888888886</v>
      </c>
      <c r="AX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9" s="1">
        <f>IF(Table3[[#This Row],[RUNS SCORED]]="", 0, VALUE(SUBSTITUTE(Table3[[#This Row],[RUNS SCORED]],"*","")) + Table3[[#This Row],[BONUS 1]])</f>
        <v>24</v>
      </c>
      <c r="AZ9" s="1"/>
      <c r="BA9" s="1"/>
      <c r="BB9" s="1"/>
      <c r="BC9" s="1"/>
      <c r="BD9" s="1">
        <f>IFERROR(Table3[[#This Row],[RUNS GIVEN]]/Table3[[#This Row],[OVERS]],0)</f>
        <v>0</v>
      </c>
      <c r="BE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9" s="1">
        <f>IF(Table3[[#This Row],[WICKETS TAKEN]]="", 0, IF(Table3[[#This Row],[WICKETS TAKEN]] = 0, -25,
        Table3[[#This Row],[WICKETS TAKEN]] * 50)+Table3[[#This Row],[BONUS 2]])</f>
        <v>0</v>
      </c>
      <c r="BG9" s="1">
        <v>1</v>
      </c>
      <c r="BH9" s="1"/>
      <c r="BI9" s="1"/>
      <c r="BJ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9" s="1">
        <f>IF(AND(Table3[[#This Row],[CATCHES TAKEN]]="",Table3[[#This Row],[RUNOUTS]]="",Table3[[#This Row],[STUMPINGS]]=""), 0, Table3[[#This Row],[BONUS 3]])</f>
        <v>25</v>
      </c>
      <c r="BL9" s="1"/>
      <c r="BM9" s="1">
        <f>SUM(Table3[[#This Row],[SUB TOTAL 1]],Table3[[#This Row],[SUB TOTAL 2]],Table3[[#This Row],[SUB TOTAL 3]],Table3[[#This Row],[POM BONUS]])</f>
        <v>49</v>
      </c>
      <c r="BN9" s="1"/>
      <c r="BO9" s="1"/>
      <c r="BP9" s="1"/>
      <c r="BQ9" s="1"/>
      <c r="BR9" s="1">
        <f>IFERROR(_xlfn.NUMBERVALUE(SUBSTITUTE(Table4[[#This Row],[RUNS SCORED]],"*",""))/Table4[[#This Row],[BALLS FACED]]*100,0)</f>
        <v>0</v>
      </c>
      <c r="BS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9" s="1">
        <f>IF(Table4[[#This Row],[RUNS SCORED]]="", 0, VALUE(SUBSTITUTE(Table4[[#This Row],[RUNS SCORED]],"*","")) + Table4[[#This Row],[BONUS 1]])</f>
        <v>0</v>
      </c>
      <c r="BU9" s="1"/>
      <c r="BV9" s="1"/>
      <c r="BW9" s="1"/>
      <c r="BX9" s="1"/>
      <c r="BY9" s="1">
        <f>IFERROR(Table4[[#This Row],[RUNS GIVEN]]/Table4[[#This Row],[OVERS]],0)</f>
        <v>0</v>
      </c>
      <c r="BZ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9" s="1">
        <f>IF(Table4[[#This Row],[WICKETS TAKEN]]="", 0, IF(Table4[[#This Row],[WICKETS TAKEN]] = 0, -25,
        Table4[[#This Row],[WICKETS TAKEN]] * 50)+Table4[[#This Row],[BONUS 2]])</f>
        <v>0</v>
      </c>
      <c r="CB9" s="1"/>
      <c r="CC9" s="1"/>
      <c r="CD9" s="1"/>
      <c r="CE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9" s="1">
        <f>IF(AND(Table4[[#This Row],[CATCHES TAKEN]]="",Table4[[#This Row],[RUNOUTS]]="",Table4[[#This Row],[STUMPINGS]]=""), 0, Table4[[#This Row],[BONUS 3]])</f>
        <v>0</v>
      </c>
      <c r="CG9" s="1"/>
      <c r="CH9" s="1">
        <f>SUM(Table4[[#This Row],[SUB TOTAL 1]],Table4[[#This Row],[SUB TOTAL 2]],Table4[[#This Row],[SUB TOTAL 3]],Table4[[#This Row],[POM BONUS]])</f>
        <v>0</v>
      </c>
      <c r="CI9" s="1"/>
      <c r="CJ9" s="1"/>
      <c r="CK9" s="1"/>
      <c r="CL9" s="1"/>
      <c r="CM9" s="1">
        <f>IFERROR(_xlfn.NUMBERVALUE(SUBSTITUTE(Table5[[#This Row],[RUNS SCORED]],"*",""))/Table5[[#This Row],[BALLS FACED]]*100,0)</f>
        <v>0</v>
      </c>
      <c r="CN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9" s="1">
        <f>IF(Table5[[#This Row],[RUNS SCORED]]="", 0, VALUE(SUBSTITUTE(Table5[[#This Row],[RUNS SCORED]],"*","")) + Table5[[#This Row],[BONUS 1]])</f>
        <v>0</v>
      </c>
      <c r="CP9" s="1"/>
      <c r="CQ9" s="1"/>
      <c r="CR9" s="1"/>
      <c r="CS9" s="1"/>
      <c r="CT9" s="1">
        <f>IFERROR(Table5[[#This Row],[RUNS GIVEN]]/Table5[[#This Row],[OVERS]],0)</f>
        <v>0</v>
      </c>
      <c r="CU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9" s="1">
        <f>IF(Table5[[#This Row],[WICKETS TAKEN]]="", 0, IF(Table5[[#This Row],[WICKETS TAKEN]] = 0, -25,
        Table5[[#This Row],[WICKETS TAKEN]] * 50)+Table5[[#This Row],[BONUS 2]])</f>
        <v>0</v>
      </c>
      <c r="CW9" s="1"/>
      <c r="CX9" s="1"/>
      <c r="CY9" s="1"/>
      <c r="CZ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9" s="1">
        <f>IF(AND(Table5[[#This Row],[CATCHES TAKEN]]="",Table5[[#This Row],[RUNOUTS]]="",Table5[[#This Row],[STUMPINGS]]=""), 0, Table5[[#This Row],[BONUS 3]])</f>
        <v>0</v>
      </c>
      <c r="DB9" s="1"/>
      <c r="DC9" s="1">
        <f>SUM(Table5[[#This Row],[SUB TOTAL 1]],Table5[[#This Row],[SUB TOTAL 2]],Table5[[#This Row],[SUB TOTAL 3]],Table5[[#This Row],[POM BONUS]])</f>
        <v>0</v>
      </c>
      <c r="DD9" s="1"/>
      <c r="DE9" s="1"/>
      <c r="DF9" s="1"/>
      <c r="DG9" s="1"/>
      <c r="DH9" s="1">
        <f>IFERROR(_xlfn.NUMBERVALUE(SUBSTITUTE(Table6[[#This Row],[RUNS SCORED]],"*",""))/Table6[[#This Row],[BALLS FACED]]*100,0)</f>
        <v>0</v>
      </c>
      <c r="DI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9" s="1">
        <f>IF(Table6[[#This Row],[RUNS SCORED]]="", 0, VALUE(SUBSTITUTE(Table6[[#This Row],[RUNS SCORED]],"*","")) + Table6[[#This Row],[BONUS 1]])</f>
        <v>0</v>
      </c>
      <c r="DK9" s="1"/>
      <c r="DL9" s="1"/>
      <c r="DM9" s="1"/>
      <c r="DN9" s="1"/>
      <c r="DO9" s="1">
        <f>IFERROR(Table6[[#This Row],[RUNS GIVEN]]/Table6[[#This Row],[OVERS]],0)</f>
        <v>0</v>
      </c>
      <c r="DP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9" s="1">
        <f>IF(Table6[[#This Row],[WICKETS TAKEN]]="", 0, IF(Table6[[#This Row],[WICKETS TAKEN]] = 0, -25,
        Table6[[#This Row],[WICKETS TAKEN]] * 50)+Table6[[#This Row],[BONUS 2]])</f>
        <v>0</v>
      </c>
      <c r="DR9" s="1"/>
      <c r="DS9" s="1"/>
      <c r="DT9" s="1"/>
      <c r="DU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9" s="1">
        <f>IF(AND(Table6[[#This Row],[CATCHES TAKEN]]="",Table6[[#This Row],[RUNOUTS]]="",Table6[[#This Row],[STUMPINGS]]=""), 0, Table6[[#This Row],[BONUS 3]])</f>
        <v>0</v>
      </c>
      <c r="DW9" s="1"/>
      <c r="DX9" s="1">
        <f>SUM(Table6[[#This Row],[SUB TOTAL 1]],Table6[[#This Row],[SUB TOTAL 2]],Table6[[#This Row],[SUB TOTAL 3]],Table6[[#This Row],[POM BONUS]])</f>
        <v>0</v>
      </c>
      <c r="DY9" s="1"/>
      <c r="DZ9" s="1"/>
      <c r="EA9" s="1"/>
      <c r="EB9" s="1"/>
      <c r="EC9" s="1">
        <f>IFERROR(_xlfn.NUMBERVALUE(SUBSTITUTE(Table7[[#This Row],[RUNS SCORED]],"*",""))/Table7[[#This Row],[BALLS FACED]]*100,0)</f>
        <v>0</v>
      </c>
      <c r="ED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9" s="1">
        <f>IF(Table7[[#This Row],[RUNS SCORED]]="", 0, VALUE(SUBSTITUTE(Table7[[#This Row],[RUNS SCORED]],"*","")) + Table7[[#This Row],[BONUS 1]])</f>
        <v>0</v>
      </c>
      <c r="EF9" s="1"/>
      <c r="EG9" s="1"/>
      <c r="EH9" s="1"/>
      <c r="EI9" s="1"/>
      <c r="EJ9" s="1">
        <f>IFERROR(Table7[[#This Row],[RUNS GIVEN]]/Table7[[#This Row],[OVERS]],0)</f>
        <v>0</v>
      </c>
      <c r="EK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9" s="1">
        <f>IF(Table7[[#This Row],[WICKETS TAKEN]]="", 0, IF(Table7[[#This Row],[WICKETS TAKEN]] = 0, -25,
        Table7[[#This Row],[WICKETS TAKEN]] * 50)+Table7[[#This Row],[BONUS 2]])</f>
        <v>0</v>
      </c>
      <c r="EM9" s="1"/>
      <c r="EN9" s="1"/>
      <c r="EO9" s="1"/>
      <c r="EP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9" s="1">
        <f>IF(AND(Table7[[#This Row],[CATCHES TAKEN]]="",Table7[[#This Row],[RUNOUTS]]="",Table7[[#This Row],[STUMPINGS]]=""), 0, Table7[[#This Row],[BONUS 3]])</f>
        <v>0</v>
      </c>
      <c r="ER9" s="1"/>
      <c r="ES9" s="1">
        <f>SUM(Table7[[#This Row],[SUB TOTAL 1]],Table7[[#This Row],[SUB TOTAL 2]],Table7[[#This Row],[SUB TOTAL 3]],Table7[[#This Row],[POM BONUS]])</f>
        <v>0</v>
      </c>
    </row>
    <row r="10" spans="1:149" x14ac:dyDescent="0.3">
      <c r="A10" t="s">
        <v>5</v>
      </c>
      <c r="B10" s="1">
        <f>SUM(Table1[[#This Row],[GRAND TOTAL]],Table2[[#This Row],[GRAND TOTAL]],Table3[[#This Row],[GRAND TOTAL]],Table4[[#This Row],[GRAND TOTAL]],Table5[[#This Row],[GRAND TOTAL]],Table6[[#This Row],[GRAND TOTAL]],Table7[[#This Row],[GRAND TOTAL]])</f>
        <v>125</v>
      </c>
      <c r="C10" s="1"/>
      <c r="D10" s="1"/>
      <c r="E10" s="1"/>
      <c r="F10" s="1"/>
      <c r="G10" s="1">
        <f>IFERROR(_xlfn.NUMBERVALUE(SUBSTITUTE(Table1[[#This Row],[RUNS SCORED]],"*",""))/Table1[[#This Row],[BALLS FACED]]*100,0)</f>
        <v>0</v>
      </c>
      <c r="H1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0" s="1">
        <f>IF(Table1[[#This Row],[RUNS SCORED]]="", 0, VALUE(SUBSTITUTE(Table1[[#This Row],[RUNS SCORED]],"*","")) + Table1[[#This Row],[BONUS 1]])</f>
        <v>0</v>
      </c>
      <c r="J10" s="1">
        <v>3</v>
      </c>
      <c r="K10" s="1">
        <v>0</v>
      </c>
      <c r="L10" s="1">
        <v>19</v>
      </c>
      <c r="M10" s="1">
        <v>1</v>
      </c>
      <c r="N10" s="1">
        <f>IFERROR(Table1[[#This Row],[RUNS GIVEN]]/Table1[[#This Row],[OVERS]],0)</f>
        <v>6.333333333333333</v>
      </c>
      <c r="O1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0" s="1">
        <f>IF(Table1[[#This Row],[WICKETS TAKEN]]="", 0, IF(Table1[[#This Row],[WICKETS TAKEN]] = 0, -25,
        Table1[[#This Row],[WICKETS TAKEN]] * 50)+Table1[[#This Row],[BONUS 2]])</f>
        <v>50</v>
      </c>
      <c r="Q10" s="1"/>
      <c r="R10" s="1"/>
      <c r="S10" s="1"/>
      <c r="T1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0" s="1">
        <f>IF(AND(Table1[[#This Row],[CATCHES TAKEN]]="",Table1[[#This Row],[RUNOUTS]]="",Table1[[#This Row],[STUMPINGS]]=""), 0, Table1[[#This Row],[BONUS 3]])</f>
        <v>0</v>
      </c>
      <c r="V10" s="1"/>
      <c r="W10" s="1">
        <f>SUM(Table1[[#This Row],[SUB TOTAL 1]],Table1[[#This Row],[SUB TOTAL 2]],Table1[[#This Row],[SUB TOTAL 3]],Table1[[#This Row],[POM BONUS]])</f>
        <v>50</v>
      </c>
      <c r="X10" s="1"/>
      <c r="Y10" s="1"/>
      <c r="Z10" s="1"/>
      <c r="AA10" s="1"/>
      <c r="AB10" s="1">
        <f>IFERROR(_xlfn.NUMBERVALUE(SUBSTITUTE(Table2[[#This Row],[RUNS SCORED]],"*",""))/Table2[[#This Row],[BALLS FACED]]*100,0)</f>
        <v>0</v>
      </c>
      <c r="AC1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0" s="1">
        <f>IF(Table2[[#This Row],[RUNS SCORED]]="", 0, VALUE(SUBSTITUTE(Table2[[#This Row],[RUNS SCORED]],"*","")) + Table2[[#This Row],[BONUS 1]])</f>
        <v>0</v>
      </c>
      <c r="AE10" s="1">
        <v>4</v>
      </c>
      <c r="AF10" s="1">
        <v>0</v>
      </c>
      <c r="AG10" s="1">
        <v>28</v>
      </c>
      <c r="AH10" s="1">
        <v>2</v>
      </c>
      <c r="AI10" s="1">
        <f>IFERROR(Table2[[#This Row],[RUNS GIVEN]]/Table2[[#This Row],[OVERS]],0)</f>
        <v>7</v>
      </c>
      <c r="AJ1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0" s="1">
        <f>IF(Table2[[#This Row],[WICKETS TAKEN]]="", 0, IF(Table2[[#This Row],[WICKETS TAKEN]] = 0, -25,
        Table2[[#This Row],[WICKETS TAKEN]] * 50)+Table2[[#This Row],[BONUS 2]])</f>
        <v>100</v>
      </c>
      <c r="AL10" s="1">
        <v>1</v>
      </c>
      <c r="AM10" s="1"/>
      <c r="AN10" s="1"/>
      <c r="AO1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0" s="1">
        <f>IF(AND(Table2[[#This Row],[CATCHES TAKEN]]="",Table2[[#This Row],[RUNOUTS]]="",Table2[[#This Row],[STUMPINGS]]=""), 0, Table2[[#This Row],[BONUS 3]])</f>
        <v>25</v>
      </c>
      <c r="AQ10" s="1"/>
      <c r="AR10" s="1">
        <f>SUM(Table2[[#This Row],[SUB TOTAL 1]],Table2[[#This Row],[SUB TOTAL 2]],Table2[[#This Row],[SUB TOTAL 3]],Table2[[#This Row],[POM BONUS]])</f>
        <v>125</v>
      </c>
      <c r="AS10" s="1"/>
      <c r="AT10" s="1"/>
      <c r="AU10" s="1"/>
      <c r="AV10" s="1"/>
      <c r="AW10" s="1">
        <f>IFERROR(_xlfn.NUMBERVALUE(SUBSTITUTE(Table3[[#This Row],[RUNS SCORED]],"*",""))/Table3[[#This Row],[BALLS FACED]]*100,0)</f>
        <v>0</v>
      </c>
      <c r="AX1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0" s="1">
        <f>IF(Table3[[#This Row],[RUNS SCORED]]="", 0, VALUE(SUBSTITUTE(Table3[[#This Row],[RUNS SCORED]],"*","")) + Table3[[#This Row],[BONUS 1]])</f>
        <v>0</v>
      </c>
      <c r="AZ10" s="1"/>
      <c r="BA10" s="1"/>
      <c r="BB10" s="1"/>
      <c r="BC10" s="1"/>
      <c r="BD10" s="1">
        <f>IFERROR(Table3[[#This Row],[RUNS GIVEN]]/Table3[[#This Row],[OVERS]],0)</f>
        <v>0</v>
      </c>
      <c r="BE1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0" s="1">
        <f>IF(Table3[[#This Row],[WICKETS TAKEN]]="", 0, IF(Table3[[#This Row],[WICKETS TAKEN]] = 0, -25,
        Table3[[#This Row],[WICKETS TAKEN]] * 50)+Table3[[#This Row],[BONUS 2]])</f>
        <v>0</v>
      </c>
      <c r="BG10" s="1"/>
      <c r="BH10" s="1"/>
      <c r="BI10" s="1"/>
      <c r="BJ1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0" s="1">
        <f>IF(AND(Table3[[#This Row],[CATCHES TAKEN]]="",Table3[[#This Row],[RUNOUTS]]="",Table3[[#This Row],[STUMPINGS]]=""), 0, Table3[[#This Row],[BONUS 3]])</f>
        <v>0</v>
      </c>
      <c r="BL10" s="1"/>
      <c r="BM10" s="1">
        <f>SUM(Table3[[#This Row],[SUB TOTAL 1]],Table3[[#This Row],[SUB TOTAL 2]],Table3[[#This Row],[SUB TOTAL 3]],Table3[[#This Row],[POM BONUS]])</f>
        <v>0</v>
      </c>
      <c r="BN10" s="1"/>
      <c r="BO10" s="1"/>
      <c r="BP10" s="1"/>
      <c r="BQ10" s="1"/>
      <c r="BR10" s="1">
        <f>IFERROR(_xlfn.NUMBERVALUE(SUBSTITUTE(Table4[[#This Row],[RUNS SCORED]],"*",""))/Table4[[#This Row],[BALLS FACED]]*100,0)</f>
        <v>0</v>
      </c>
      <c r="BS1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0" s="1">
        <f>IF(Table4[[#This Row],[RUNS SCORED]]="", 0, VALUE(SUBSTITUTE(Table4[[#This Row],[RUNS SCORED]],"*","")) + Table4[[#This Row],[BONUS 1]])</f>
        <v>0</v>
      </c>
      <c r="BU10" s="1">
        <v>4</v>
      </c>
      <c r="BV10" s="1">
        <v>0</v>
      </c>
      <c r="BW10" s="1">
        <v>45</v>
      </c>
      <c r="BX10" s="1">
        <v>0</v>
      </c>
      <c r="BY10" s="1">
        <f>IFERROR(Table4[[#This Row],[RUNS GIVEN]]/Table4[[#This Row],[OVERS]],0)</f>
        <v>11.25</v>
      </c>
      <c r="BZ1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CA10" s="1">
        <f>IF(Table4[[#This Row],[WICKETS TAKEN]]="", 0, IF(Table4[[#This Row],[WICKETS TAKEN]] = 0, -25,
        Table4[[#This Row],[WICKETS TAKEN]] * 50)+Table4[[#This Row],[BONUS 2]])</f>
        <v>-50</v>
      </c>
      <c r="CB10" s="1"/>
      <c r="CC10" s="1"/>
      <c r="CD10" s="1"/>
      <c r="CE1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0" s="1">
        <f>IF(AND(Table4[[#This Row],[CATCHES TAKEN]]="",Table4[[#This Row],[RUNOUTS]]="",Table4[[#This Row],[STUMPINGS]]=""), 0, Table4[[#This Row],[BONUS 3]])</f>
        <v>0</v>
      </c>
      <c r="CG10" s="1"/>
      <c r="CH10" s="1">
        <f>SUM(Table4[[#This Row],[SUB TOTAL 1]],Table4[[#This Row],[SUB TOTAL 2]],Table4[[#This Row],[SUB TOTAL 3]],Table4[[#This Row],[POM BONUS]])</f>
        <v>-50</v>
      </c>
      <c r="CI10" s="1"/>
      <c r="CJ10" s="1"/>
      <c r="CK10" s="1"/>
      <c r="CL10" s="1"/>
      <c r="CM10" s="1">
        <f>IFERROR(_xlfn.NUMBERVALUE(SUBSTITUTE(Table5[[#This Row],[RUNS SCORED]],"*",""))/Table5[[#This Row],[BALLS FACED]]*100,0)</f>
        <v>0</v>
      </c>
      <c r="CN1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0" s="1">
        <f>IF(Table5[[#This Row],[RUNS SCORED]]="", 0, VALUE(SUBSTITUTE(Table5[[#This Row],[RUNS SCORED]],"*","")) + Table5[[#This Row],[BONUS 1]])</f>
        <v>0</v>
      </c>
      <c r="CP10" s="1"/>
      <c r="CQ10" s="1"/>
      <c r="CR10" s="1"/>
      <c r="CS10" s="1"/>
      <c r="CT10" s="1">
        <f>IFERROR(Table5[[#This Row],[RUNS GIVEN]]/Table5[[#This Row],[OVERS]],0)</f>
        <v>0</v>
      </c>
      <c r="CU1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0" s="1">
        <f>IF(Table5[[#This Row],[WICKETS TAKEN]]="", 0, IF(Table5[[#This Row],[WICKETS TAKEN]] = 0, -25,
        Table5[[#This Row],[WICKETS TAKEN]] * 50)+Table5[[#This Row],[BONUS 2]])</f>
        <v>0</v>
      </c>
      <c r="CW10" s="1"/>
      <c r="CX10" s="1"/>
      <c r="CY10" s="1"/>
      <c r="CZ1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0" s="1">
        <f>IF(AND(Table5[[#This Row],[CATCHES TAKEN]]="",Table5[[#This Row],[RUNOUTS]]="",Table5[[#This Row],[STUMPINGS]]=""), 0, Table5[[#This Row],[BONUS 3]])</f>
        <v>0</v>
      </c>
      <c r="DB10" s="1"/>
      <c r="DC10" s="1">
        <f>SUM(Table5[[#This Row],[SUB TOTAL 1]],Table5[[#This Row],[SUB TOTAL 2]],Table5[[#This Row],[SUB TOTAL 3]],Table5[[#This Row],[POM BONUS]])</f>
        <v>0</v>
      </c>
      <c r="DD10" s="1"/>
      <c r="DE10" s="1"/>
      <c r="DF10" s="1"/>
      <c r="DG10" s="1"/>
      <c r="DH10" s="1">
        <f>IFERROR(_xlfn.NUMBERVALUE(SUBSTITUTE(Table6[[#This Row],[RUNS SCORED]],"*",""))/Table6[[#This Row],[BALLS FACED]]*100,0)</f>
        <v>0</v>
      </c>
      <c r="DI1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0" s="1">
        <f>IF(Table6[[#This Row],[RUNS SCORED]]="", 0, VALUE(SUBSTITUTE(Table6[[#This Row],[RUNS SCORED]],"*","")) + Table6[[#This Row],[BONUS 1]])</f>
        <v>0</v>
      </c>
      <c r="DK10" s="1"/>
      <c r="DL10" s="1"/>
      <c r="DM10" s="1"/>
      <c r="DN10" s="1"/>
      <c r="DO10" s="1">
        <f>IFERROR(Table6[[#This Row],[RUNS GIVEN]]/Table6[[#This Row],[OVERS]],0)</f>
        <v>0</v>
      </c>
      <c r="DP1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0" s="1">
        <f>IF(Table6[[#This Row],[WICKETS TAKEN]]="", 0, IF(Table6[[#This Row],[WICKETS TAKEN]] = 0, -25,
        Table6[[#This Row],[WICKETS TAKEN]] * 50)+Table6[[#This Row],[BONUS 2]])</f>
        <v>0</v>
      </c>
      <c r="DR10" s="1"/>
      <c r="DS10" s="1"/>
      <c r="DT10" s="1"/>
      <c r="DU1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0" s="1">
        <f>IF(AND(Table6[[#This Row],[CATCHES TAKEN]]="",Table6[[#This Row],[RUNOUTS]]="",Table6[[#This Row],[STUMPINGS]]=""), 0, Table6[[#This Row],[BONUS 3]])</f>
        <v>0</v>
      </c>
      <c r="DW10" s="1"/>
      <c r="DX10" s="1">
        <f>SUM(Table6[[#This Row],[SUB TOTAL 1]],Table6[[#This Row],[SUB TOTAL 2]],Table6[[#This Row],[SUB TOTAL 3]],Table6[[#This Row],[POM BONUS]])</f>
        <v>0</v>
      </c>
      <c r="DY10" s="1"/>
      <c r="DZ10" s="1"/>
      <c r="EA10" s="1"/>
      <c r="EB10" s="1"/>
      <c r="EC10" s="1">
        <f>IFERROR(_xlfn.NUMBERVALUE(SUBSTITUTE(Table7[[#This Row],[RUNS SCORED]],"*",""))/Table7[[#This Row],[BALLS FACED]]*100,0)</f>
        <v>0</v>
      </c>
      <c r="ED1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0" s="1">
        <f>IF(Table7[[#This Row],[RUNS SCORED]]="", 0, VALUE(SUBSTITUTE(Table7[[#This Row],[RUNS SCORED]],"*","")) + Table7[[#This Row],[BONUS 1]])</f>
        <v>0</v>
      </c>
      <c r="EF10" s="1"/>
      <c r="EG10" s="1"/>
      <c r="EH10" s="1"/>
      <c r="EI10" s="1"/>
      <c r="EJ10" s="1">
        <f>IFERROR(Table7[[#This Row],[RUNS GIVEN]]/Table7[[#This Row],[OVERS]],0)</f>
        <v>0</v>
      </c>
      <c r="EK1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0" s="1">
        <f>IF(Table7[[#This Row],[WICKETS TAKEN]]="", 0, IF(Table7[[#This Row],[WICKETS TAKEN]] = 0, -25,
        Table7[[#This Row],[WICKETS TAKEN]] * 50)+Table7[[#This Row],[BONUS 2]])</f>
        <v>0</v>
      </c>
      <c r="EM10" s="1"/>
      <c r="EN10" s="1"/>
      <c r="EO10" s="1"/>
      <c r="EP1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0" s="1">
        <f>IF(AND(Table7[[#This Row],[CATCHES TAKEN]]="",Table7[[#This Row],[RUNOUTS]]="",Table7[[#This Row],[STUMPINGS]]=""), 0, Table7[[#This Row],[BONUS 3]])</f>
        <v>0</v>
      </c>
      <c r="ER10" s="1"/>
      <c r="ES10" s="1">
        <f>SUM(Table7[[#This Row],[SUB TOTAL 1]],Table7[[#This Row],[SUB TOTAL 2]],Table7[[#This Row],[SUB TOTAL 3]],Table7[[#This Row],[POM BONUS]])</f>
        <v>0</v>
      </c>
    </row>
    <row r="11" spans="1:149" x14ac:dyDescent="0.3">
      <c r="A11" t="s">
        <v>77</v>
      </c>
      <c r="B11" s="1">
        <f>SUM(Table1[[#This Row],[GRAND TOTAL]],Table2[[#This Row],[GRAND TOTAL]],Table3[[#This Row],[GRAND TOTAL]],Table4[[#This Row],[GRAND TOTAL]],Table5[[#This Row],[GRAND TOTAL]],Table6[[#This Row],[GRAND TOTAL]],Table7[[#This Row],[GRAND TOTAL]])</f>
        <v>187</v>
      </c>
      <c r="C11" s="1"/>
      <c r="D11" s="1"/>
      <c r="E11" s="1"/>
      <c r="F11" s="1"/>
      <c r="G11" s="1">
        <f>IFERROR(_xlfn.NUMBERVALUE(SUBSTITUTE(Table1[[#This Row],[RUNS SCORED]],"*",""))/Table1[[#This Row],[BALLS FACED]]*100,0)</f>
        <v>0</v>
      </c>
      <c r="H1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1" s="1">
        <f>IF(Table1[[#This Row],[RUNS SCORED]]="", 0, VALUE(SUBSTITUTE(Table1[[#This Row],[RUNS SCORED]],"*","")) + Table1[[#This Row],[BONUS 1]])</f>
        <v>0</v>
      </c>
      <c r="J11" s="1"/>
      <c r="K11" s="1"/>
      <c r="L11" s="1"/>
      <c r="M11" s="1"/>
      <c r="N11" s="1">
        <f>IFERROR(Table1[[#This Row],[RUNS GIVEN]]/Table1[[#This Row],[OVERS]],0)</f>
        <v>0</v>
      </c>
      <c r="O1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1" s="1">
        <f>IF(Table1[[#This Row],[WICKETS TAKEN]]="", 0, IF(Table1[[#This Row],[WICKETS TAKEN]] = 0, -25,
        Table1[[#This Row],[WICKETS TAKEN]] * 50)+Table1[[#This Row],[BONUS 2]])</f>
        <v>0</v>
      </c>
      <c r="Q11" s="1"/>
      <c r="R11" s="1"/>
      <c r="S11" s="1"/>
      <c r="T1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1" s="1">
        <f>IF(AND(Table1[[#This Row],[CATCHES TAKEN]]="",Table1[[#This Row],[RUNOUTS]]="",Table1[[#This Row],[STUMPINGS]]=""), 0, Table1[[#This Row],[BONUS 3]])</f>
        <v>0</v>
      </c>
      <c r="V11" s="1"/>
      <c r="W11" s="1">
        <f>SUM(Table1[[#This Row],[SUB TOTAL 1]],Table1[[#This Row],[SUB TOTAL 2]],Table1[[#This Row],[SUB TOTAL 3]],Table1[[#This Row],[POM BONUS]])</f>
        <v>0</v>
      </c>
      <c r="X11" s="1">
        <v>5</v>
      </c>
      <c r="Y11" s="1">
        <v>5</v>
      </c>
      <c r="Z11" s="1">
        <v>0</v>
      </c>
      <c r="AA11" s="1">
        <v>0</v>
      </c>
      <c r="AB11" s="1">
        <f>IFERROR(_xlfn.NUMBERVALUE(SUBSTITUTE(Table2[[#This Row],[RUNS SCORED]],"*",""))/Table2[[#This Row],[BALLS FACED]]*100,0)</f>
        <v>100</v>
      </c>
      <c r="AC1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1" s="1">
        <f>IF(Table2[[#This Row],[RUNS SCORED]]="", 0, VALUE(SUBSTITUTE(Table2[[#This Row],[RUNS SCORED]],"*","")) + Table2[[#This Row],[BONUS 1]])</f>
        <v>-5</v>
      </c>
      <c r="AE11" s="1"/>
      <c r="AF11" s="1"/>
      <c r="AG11" s="1"/>
      <c r="AH11" s="1"/>
      <c r="AI11" s="1">
        <f>IFERROR(Table2[[#This Row],[RUNS GIVEN]]/Table2[[#This Row],[OVERS]],0)</f>
        <v>0</v>
      </c>
      <c r="AJ1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1" s="1">
        <f>IF(Table2[[#This Row],[WICKETS TAKEN]]="", 0, IF(Table2[[#This Row],[WICKETS TAKEN]] = 0, -25,
        Table2[[#This Row],[WICKETS TAKEN]] * 50)+Table2[[#This Row],[BONUS 2]])</f>
        <v>0</v>
      </c>
      <c r="AL11" s="1">
        <v>1</v>
      </c>
      <c r="AM11" s="1"/>
      <c r="AN11" s="1"/>
      <c r="AO1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1" s="1">
        <f>IF(AND(Table2[[#This Row],[CATCHES TAKEN]]="",Table2[[#This Row],[RUNOUTS]]="",Table2[[#This Row],[STUMPINGS]]=""), 0, Table2[[#This Row],[BONUS 3]])</f>
        <v>25</v>
      </c>
      <c r="AQ11" s="1"/>
      <c r="AR11" s="1">
        <f>SUM(Table2[[#This Row],[SUB TOTAL 1]],Table2[[#This Row],[SUB TOTAL 2]],Table2[[#This Row],[SUB TOTAL 3]],Table2[[#This Row],[POM BONUS]])</f>
        <v>20</v>
      </c>
      <c r="AS11" s="1" t="s">
        <v>312</v>
      </c>
      <c r="AT11" s="1">
        <v>13</v>
      </c>
      <c r="AU11" s="1">
        <v>0</v>
      </c>
      <c r="AV11" s="1">
        <v>2</v>
      </c>
      <c r="AW11" s="1">
        <f>IFERROR(_xlfn.NUMBERVALUE(SUBSTITUTE(Table3[[#This Row],[RUNS SCORED]],"*",""))/Table3[[#This Row],[BALLS FACED]]*100,0)</f>
        <v>200</v>
      </c>
      <c r="AX1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Y11" s="1">
        <f>IF(Table3[[#This Row],[RUNS SCORED]]="", 0, VALUE(SUBSTITUTE(Table3[[#This Row],[RUNS SCORED]],"*","")) + Table3[[#This Row],[BONUS 1]])</f>
        <v>201</v>
      </c>
      <c r="AZ11" s="1"/>
      <c r="BA11" s="1"/>
      <c r="BB11" s="1"/>
      <c r="BC11" s="1"/>
      <c r="BD11" s="1">
        <f>IFERROR(Table3[[#This Row],[RUNS GIVEN]]/Table3[[#This Row],[OVERS]],0)</f>
        <v>0</v>
      </c>
      <c r="BE1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1" s="1">
        <f>IF(Table3[[#This Row],[WICKETS TAKEN]]="", 0, IF(Table3[[#This Row],[WICKETS TAKEN]] = 0, -25,
        Table3[[#This Row],[WICKETS TAKEN]] * 50)+Table3[[#This Row],[BONUS 2]])</f>
        <v>0</v>
      </c>
      <c r="BG11" s="1"/>
      <c r="BH11" s="1"/>
      <c r="BI11" s="1"/>
      <c r="BJ1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1" s="1">
        <f>IF(AND(Table3[[#This Row],[CATCHES TAKEN]]="",Table3[[#This Row],[RUNOUTS]]="",Table3[[#This Row],[STUMPINGS]]=""), 0, Table3[[#This Row],[BONUS 3]])</f>
        <v>0</v>
      </c>
      <c r="BL11" s="1"/>
      <c r="BM11" s="1">
        <f>SUM(Table3[[#This Row],[SUB TOTAL 1]],Table3[[#This Row],[SUB TOTAL 2]],Table3[[#This Row],[SUB TOTAL 3]],Table3[[#This Row],[POM BONUS]])</f>
        <v>201</v>
      </c>
      <c r="BN11" s="1">
        <v>1</v>
      </c>
      <c r="BO11" s="1">
        <v>2</v>
      </c>
      <c r="BP11" s="1">
        <v>0</v>
      </c>
      <c r="BQ11" s="1">
        <v>0</v>
      </c>
      <c r="BR11" s="1">
        <f>IFERROR(_xlfn.NUMBERVALUE(SUBSTITUTE(Table4[[#This Row],[RUNS SCORED]],"*",""))/Table4[[#This Row],[BALLS FACED]]*100,0)</f>
        <v>50</v>
      </c>
      <c r="BS1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BT11" s="1">
        <f>IF(Table4[[#This Row],[RUNS SCORED]]="", 0, VALUE(SUBSTITUTE(Table4[[#This Row],[RUNS SCORED]],"*","")) + Table4[[#This Row],[BONUS 1]])</f>
        <v>-9</v>
      </c>
      <c r="BU11" s="1">
        <v>1</v>
      </c>
      <c r="BV11" s="1">
        <v>0</v>
      </c>
      <c r="BW11" s="1">
        <v>16</v>
      </c>
      <c r="BX11" s="1">
        <v>0</v>
      </c>
      <c r="BY11" s="1">
        <f>IFERROR(Table4[[#This Row],[RUNS GIVEN]]/Table4[[#This Row],[OVERS]],0)</f>
        <v>16</v>
      </c>
      <c r="BZ1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1" s="1">
        <f>IF(Table4[[#This Row],[WICKETS TAKEN]]="", 0, IF(Table4[[#This Row],[WICKETS TAKEN]] = 0, -25,
        Table4[[#This Row],[WICKETS TAKEN]] * 50)+Table4[[#This Row],[BONUS 2]])</f>
        <v>-25</v>
      </c>
      <c r="CB11" s="1"/>
      <c r="CC11" s="1"/>
      <c r="CD11" s="1"/>
      <c r="CE1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1" s="1">
        <f>IF(AND(Table4[[#This Row],[CATCHES TAKEN]]="",Table4[[#This Row],[RUNOUTS]]="",Table4[[#This Row],[STUMPINGS]]=""), 0, Table4[[#This Row],[BONUS 3]])</f>
        <v>0</v>
      </c>
      <c r="CG11" s="1"/>
      <c r="CH11" s="1">
        <f>SUM(Table4[[#This Row],[SUB TOTAL 1]],Table4[[#This Row],[SUB TOTAL 2]],Table4[[#This Row],[SUB TOTAL 3]],Table4[[#This Row],[POM BONUS]])</f>
        <v>-34</v>
      </c>
      <c r="CI11" s="1"/>
      <c r="CJ11" s="1"/>
      <c r="CK11" s="1"/>
      <c r="CL11" s="1"/>
      <c r="CM11" s="1">
        <f>IFERROR(_xlfn.NUMBERVALUE(SUBSTITUTE(Table5[[#This Row],[RUNS SCORED]],"*",""))/Table5[[#This Row],[BALLS FACED]]*100,0)</f>
        <v>0</v>
      </c>
      <c r="CN1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1" s="1">
        <f>IF(Table5[[#This Row],[RUNS SCORED]]="", 0, VALUE(SUBSTITUTE(Table5[[#This Row],[RUNS SCORED]],"*","")) + Table5[[#This Row],[BONUS 1]])</f>
        <v>0</v>
      </c>
      <c r="CP11" s="1"/>
      <c r="CQ11" s="1"/>
      <c r="CR11" s="1"/>
      <c r="CS11" s="1"/>
      <c r="CT11" s="1">
        <f>IFERROR(Table5[[#This Row],[RUNS GIVEN]]/Table5[[#This Row],[OVERS]],0)</f>
        <v>0</v>
      </c>
      <c r="CU1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1" s="1">
        <f>IF(Table5[[#This Row],[WICKETS TAKEN]]="", 0, IF(Table5[[#This Row],[WICKETS TAKEN]] = 0, -25,
        Table5[[#This Row],[WICKETS TAKEN]] * 50)+Table5[[#This Row],[BONUS 2]])</f>
        <v>0</v>
      </c>
      <c r="CW11" s="1"/>
      <c r="CX11" s="1"/>
      <c r="CY11" s="1"/>
      <c r="CZ1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1" s="1">
        <f>IF(AND(Table5[[#This Row],[CATCHES TAKEN]]="",Table5[[#This Row],[RUNOUTS]]="",Table5[[#This Row],[STUMPINGS]]=""), 0, Table5[[#This Row],[BONUS 3]])</f>
        <v>0</v>
      </c>
      <c r="DB11" s="1"/>
      <c r="DC11" s="1">
        <f>SUM(Table5[[#This Row],[SUB TOTAL 1]],Table5[[#This Row],[SUB TOTAL 2]],Table5[[#This Row],[SUB TOTAL 3]],Table5[[#This Row],[POM BONUS]])</f>
        <v>0</v>
      </c>
      <c r="DD11" s="1"/>
      <c r="DE11" s="1"/>
      <c r="DF11" s="1"/>
      <c r="DG11" s="1"/>
      <c r="DH11" s="1">
        <f>IFERROR(_xlfn.NUMBERVALUE(SUBSTITUTE(Table6[[#This Row],[RUNS SCORED]],"*",""))/Table6[[#This Row],[BALLS FACED]]*100,0)</f>
        <v>0</v>
      </c>
      <c r="DI1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1" s="1">
        <f>IF(Table6[[#This Row],[RUNS SCORED]]="", 0, VALUE(SUBSTITUTE(Table6[[#This Row],[RUNS SCORED]],"*","")) + Table6[[#This Row],[BONUS 1]])</f>
        <v>0</v>
      </c>
      <c r="DK11" s="1"/>
      <c r="DL11" s="1"/>
      <c r="DM11" s="1"/>
      <c r="DN11" s="1"/>
      <c r="DO11" s="1">
        <f>IFERROR(Table6[[#This Row],[RUNS GIVEN]]/Table6[[#This Row],[OVERS]],0)</f>
        <v>0</v>
      </c>
      <c r="DP1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1" s="1">
        <f>IF(Table6[[#This Row],[WICKETS TAKEN]]="", 0, IF(Table6[[#This Row],[WICKETS TAKEN]] = 0, -25,
        Table6[[#This Row],[WICKETS TAKEN]] * 50)+Table6[[#This Row],[BONUS 2]])</f>
        <v>0</v>
      </c>
      <c r="DR11" s="1"/>
      <c r="DS11" s="1"/>
      <c r="DT11" s="1"/>
      <c r="DU1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1" s="1">
        <f>IF(AND(Table6[[#This Row],[CATCHES TAKEN]]="",Table6[[#This Row],[RUNOUTS]]="",Table6[[#This Row],[STUMPINGS]]=""), 0, Table6[[#This Row],[BONUS 3]])</f>
        <v>0</v>
      </c>
      <c r="DW11" s="1"/>
      <c r="DX11" s="1">
        <f>SUM(Table6[[#This Row],[SUB TOTAL 1]],Table6[[#This Row],[SUB TOTAL 2]],Table6[[#This Row],[SUB TOTAL 3]],Table6[[#This Row],[POM BONUS]])</f>
        <v>0</v>
      </c>
      <c r="DY11" s="1"/>
      <c r="DZ11" s="1"/>
      <c r="EA11" s="1"/>
      <c r="EB11" s="1"/>
      <c r="EC11" s="1">
        <f>IFERROR(_xlfn.NUMBERVALUE(SUBSTITUTE(Table7[[#This Row],[RUNS SCORED]],"*",""))/Table7[[#This Row],[BALLS FACED]]*100,0)</f>
        <v>0</v>
      </c>
      <c r="ED1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1" s="1">
        <f>IF(Table7[[#This Row],[RUNS SCORED]]="", 0, VALUE(SUBSTITUTE(Table7[[#This Row],[RUNS SCORED]],"*","")) + Table7[[#This Row],[BONUS 1]])</f>
        <v>0</v>
      </c>
      <c r="EF11" s="1"/>
      <c r="EG11" s="1"/>
      <c r="EH11" s="1"/>
      <c r="EI11" s="1"/>
      <c r="EJ11" s="1">
        <f>IFERROR(Table7[[#This Row],[RUNS GIVEN]]/Table7[[#This Row],[OVERS]],0)</f>
        <v>0</v>
      </c>
      <c r="EK1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1" s="1">
        <f>IF(Table7[[#This Row],[WICKETS TAKEN]]="", 0, IF(Table7[[#This Row],[WICKETS TAKEN]] = 0, -25,
        Table7[[#This Row],[WICKETS TAKEN]] * 50)+Table7[[#This Row],[BONUS 2]])</f>
        <v>0</v>
      </c>
      <c r="EM11" s="1"/>
      <c r="EN11" s="1"/>
      <c r="EO11" s="1"/>
      <c r="EP1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1" s="1">
        <f>IF(AND(Table7[[#This Row],[CATCHES TAKEN]]="",Table7[[#This Row],[RUNOUTS]]="",Table7[[#This Row],[STUMPINGS]]=""), 0, Table7[[#This Row],[BONUS 3]])</f>
        <v>0</v>
      </c>
      <c r="ER11" s="1"/>
      <c r="ES11" s="1">
        <f>SUM(Table7[[#This Row],[SUB TOTAL 1]],Table7[[#This Row],[SUB TOTAL 2]],Table7[[#This Row],[SUB TOTAL 3]],Table7[[#This Row],[POM BONUS]])</f>
        <v>0</v>
      </c>
    </row>
    <row r="12" spans="1:149" x14ac:dyDescent="0.3">
      <c r="A12" t="s">
        <v>61</v>
      </c>
      <c r="B12" s="1">
        <f>SUM(Table1[[#This Row],[GRAND TOTAL]],Table2[[#This Row],[GRAND TOTAL]],Table3[[#This Row],[GRAND TOTAL]],Table4[[#This Row],[GRAND TOTAL]],Table5[[#This Row],[GRAND TOTAL]],Table6[[#This Row],[GRAND TOTAL]],Table7[[#This Row],[GRAND TOTAL]])</f>
        <v>118</v>
      </c>
      <c r="C12" s="1"/>
      <c r="D12" s="1"/>
      <c r="E12" s="1"/>
      <c r="F12" s="1"/>
      <c r="G12" s="1">
        <f>IFERROR(_xlfn.NUMBERVALUE(SUBSTITUTE(Table1[[#This Row],[RUNS SCORED]],"*",""))/Table1[[#This Row],[BALLS FACED]]*100,0)</f>
        <v>0</v>
      </c>
      <c r="H1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2" s="1">
        <f>IF(Table1[[#This Row],[RUNS SCORED]]="", 0, VALUE(SUBSTITUTE(Table1[[#This Row],[RUNS SCORED]],"*","")) + Table1[[#This Row],[BONUS 1]])</f>
        <v>0</v>
      </c>
      <c r="J12" s="1"/>
      <c r="K12" s="1"/>
      <c r="L12" s="1"/>
      <c r="M12" s="1"/>
      <c r="N12" s="1">
        <f>IFERROR(Table1[[#This Row],[RUNS GIVEN]]/Table1[[#This Row],[OVERS]],0)</f>
        <v>0</v>
      </c>
      <c r="O1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2" s="1">
        <f>IF(Table1[[#This Row],[WICKETS TAKEN]]="", 0, IF(Table1[[#This Row],[WICKETS TAKEN]] = 0, -25,
        Table1[[#This Row],[WICKETS TAKEN]] * 50)+Table1[[#This Row],[BONUS 2]])</f>
        <v>0</v>
      </c>
      <c r="Q12" s="1">
        <v>1</v>
      </c>
      <c r="R12" s="1"/>
      <c r="S12" s="1"/>
      <c r="T1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2" s="1">
        <f>IF(AND(Table1[[#This Row],[CATCHES TAKEN]]="",Table1[[#This Row],[RUNOUTS]]="",Table1[[#This Row],[STUMPINGS]]=""), 0, Table1[[#This Row],[BONUS 3]])</f>
        <v>25</v>
      </c>
      <c r="V12" s="1"/>
      <c r="W12" s="1">
        <f>SUM(Table1[[#This Row],[SUB TOTAL 1]],Table1[[#This Row],[SUB TOTAL 2]],Table1[[#This Row],[SUB TOTAL 3]],Table1[[#This Row],[POM BONUS]])</f>
        <v>25</v>
      </c>
      <c r="X12" s="1"/>
      <c r="Y12" s="1"/>
      <c r="Z12" s="1"/>
      <c r="AA12" s="1"/>
      <c r="AB12" s="1">
        <f>IFERROR(_xlfn.NUMBERVALUE(SUBSTITUTE(Table2[[#This Row],[RUNS SCORED]],"*",""))/Table2[[#This Row],[BALLS FACED]]*100,0)</f>
        <v>0</v>
      </c>
      <c r="AC1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2" s="1">
        <f>IF(Table2[[#This Row],[RUNS SCORED]]="", 0, VALUE(SUBSTITUTE(Table2[[#This Row],[RUNS SCORED]],"*","")) + Table2[[#This Row],[BONUS 1]])</f>
        <v>0</v>
      </c>
      <c r="AE12" s="1"/>
      <c r="AF12" s="1"/>
      <c r="AG12" s="1"/>
      <c r="AH12" s="1"/>
      <c r="AI12" s="1">
        <f>IFERROR(Table2[[#This Row],[RUNS GIVEN]]/Table2[[#This Row],[OVERS]],0)</f>
        <v>0</v>
      </c>
      <c r="AJ1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2" s="1">
        <f>IF(Table2[[#This Row],[WICKETS TAKEN]]="", 0, IF(Table2[[#This Row],[WICKETS TAKEN]] = 0, -25,
        Table2[[#This Row],[WICKETS TAKEN]] * 50)+Table2[[#This Row],[BONUS 2]])</f>
        <v>0</v>
      </c>
      <c r="AL12" s="1"/>
      <c r="AM12" s="1"/>
      <c r="AN12" s="1">
        <v>1</v>
      </c>
      <c r="AO1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12" s="1">
        <f>IF(AND(Table2[[#This Row],[CATCHES TAKEN]]="",Table2[[#This Row],[RUNOUTS]]="",Table2[[#This Row],[STUMPINGS]]=""), 0, Table2[[#This Row],[BONUS 3]])</f>
        <v>50</v>
      </c>
      <c r="AQ12" s="1"/>
      <c r="AR12" s="1">
        <f>SUM(Table2[[#This Row],[SUB TOTAL 1]],Table2[[#This Row],[SUB TOTAL 2]],Table2[[#This Row],[SUB TOTAL 3]],Table2[[#This Row],[POM BONUS]])</f>
        <v>50</v>
      </c>
      <c r="AS12" s="1">
        <v>18</v>
      </c>
      <c r="AT12" s="1">
        <v>14</v>
      </c>
      <c r="AU12" s="1">
        <v>3</v>
      </c>
      <c r="AV12" s="1">
        <v>0</v>
      </c>
      <c r="AW12" s="1">
        <f>IFERROR(_xlfn.NUMBERVALUE(SUBSTITUTE(Table3[[#This Row],[RUNS SCORED]],"*",""))/Table3[[#This Row],[BALLS FACED]]*100,0)</f>
        <v>128.57142857142858</v>
      </c>
      <c r="AX1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2" s="1">
        <f>IF(Table3[[#This Row],[RUNS SCORED]]="", 0, VALUE(SUBSTITUTE(Table3[[#This Row],[RUNS SCORED]],"*","")) + Table3[[#This Row],[BONUS 1]])</f>
        <v>18</v>
      </c>
      <c r="AZ12" s="1"/>
      <c r="BA12" s="1"/>
      <c r="BB12" s="1"/>
      <c r="BC12" s="1"/>
      <c r="BD12" s="1">
        <f>IFERROR(Table3[[#This Row],[RUNS GIVEN]]/Table3[[#This Row],[OVERS]],0)</f>
        <v>0</v>
      </c>
      <c r="BE1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2" s="1">
        <f>IF(Table3[[#This Row],[WICKETS TAKEN]]="", 0, IF(Table3[[#This Row],[WICKETS TAKEN]] = 0, -25,
        Table3[[#This Row],[WICKETS TAKEN]] * 50)+Table3[[#This Row],[BONUS 2]])</f>
        <v>0</v>
      </c>
      <c r="BG12" s="1">
        <v>1</v>
      </c>
      <c r="BH12" s="1"/>
      <c r="BI12" s="1"/>
      <c r="BJ1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12" s="1">
        <f>IF(AND(Table3[[#This Row],[CATCHES TAKEN]]="",Table3[[#This Row],[RUNOUTS]]="",Table3[[#This Row],[STUMPINGS]]=""), 0, Table3[[#This Row],[BONUS 3]])</f>
        <v>25</v>
      </c>
      <c r="BL12" s="1"/>
      <c r="BM12" s="1">
        <f>SUM(Table3[[#This Row],[SUB TOTAL 1]],Table3[[#This Row],[SUB TOTAL 2]],Table3[[#This Row],[SUB TOTAL 3]],Table3[[#This Row],[POM BONUS]])</f>
        <v>43</v>
      </c>
      <c r="BN12" s="1"/>
      <c r="BO12" s="1"/>
      <c r="BP12" s="1"/>
      <c r="BQ12" s="1"/>
      <c r="BR12" s="1">
        <f>IFERROR(_xlfn.NUMBERVALUE(SUBSTITUTE(Table4[[#This Row],[RUNS SCORED]],"*",""))/Table4[[#This Row],[BALLS FACED]]*100,0)</f>
        <v>0</v>
      </c>
      <c r="BS1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2" s="1">
        <f>IF(Table4[[#This Row],[RUNS SCORED]]="", 0, VALUE(SUBSTITUTE(Table4[[#This Row],[RUNS SCORED]],"*","")) + Table4[[#This Row],[BONUS 1]])</f>
        <v>0</v>
      </c>
      <c r="BU12" s="1"/>
      <c r="BV12" s="1"/>
      <c r="BW12" s="1"/>
      <c r="BX12" s="1"/>
      <c r="BY12" s="1">
        <f>IFERROR(Table4[[#This Row],[RUNS GIVEN]]/Table4[[#This Row],[OVERS]],0)</f>
        <v>0</v>
      </c>
      <c r="BZ1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2" s="1">
        <f>IF(Table4[[#This Row],[WICKETS TAKEN]]="", 0, IF(Table4[[#This Row],[WICKETS TAKEN]] = 0, -25,
        Table4[[#This Row],[WICKETS TAKEN]] * 50)+Table4[[#This Row],[BONUS 2]])</f>
        <v>0</v>
      </c>
      <c r="CB12" s="1"/>
      <c r="CC12" s="1"/>
      <c r="CD12" s="1"/>
      <c r="CE1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2" s="1">
        <f>IF(AND(Table4[[#This Row],[CATCHES TAKEN]]="",Table4[[#This Row],[RUNOUTS]]="",Table4[[#This Row],[STUMPINGS]]=""), 0, Table4[[#This Row],[BONUS 3]])</f>
        <v>0</v>
      </c>
      <c r="CG12" s="1"/>
      <c r="CH12" s="1">
        <f>SUM(Table4[[#This Row],[SUB TOTAL 1]],Table4[[#This Row],[SUB TOTAL 2]],Table4[[#This Row],[SUB TOTAL 3]],Table4[[#This Row],[POM BONUS]])</f>
        <v>0</v>
      </c>
      <c r="CI12" s="1"/>
      <c r="CJ12" s="1"/>
      <c r="CK12" s="1"/>
      <c r="CL12" s="1"/>
      <c r="CM12" s="1">
        <f>IFERROR(_xlfn.NUMBERVALUE(SUBSTITUTE(Table5[[#This Row],[RUNS SCORED]],"*",""))/Table5[[#This Row],[BALLS FACED]]*100,0)</f>
        <v>0</v>
      </c>
      <c r="CN1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2" s="1">
        <f>IF(Table5[[#This Row],[RUNS SCORED]]="", 0, VALUE(SUBSTITUTE(Table5[[#This Row],[RUNS SCORED]],"*","")) + Table5[[#This Row],[BONUS 1]])</f>
        <v>0</v>
      </c>
      <c r="CP12" s="1"/>
      <c r="CQ12" s="1"/>
      <c r="CR12" s="1"/>
      <c r="CS12" s="1"/>
      <c r="CT12" s="1">
        <f>IFERROR(Table5[[#This Row],[RUNS GIVEN]]/Table5[[#This Row],[OVERS]],0)</f>
        <v>0</v>
      </c>
      <c r="CU1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2" s="1">
        <f>IF(Table5[[#This Row],[WICKETS TAKEN]]="", 0, IF(Table5[[#This Row],[WICKETS TAKEN]] = 0, -25,
        Table5[[#This Row],[WICKETS TAKEN]] * 50)+Table5[[#This Row],[BONUS 2]])</f>
        <v>0</v>
      </c>
      <c r="CW12" s="1"/>
      <c r="CX12" s="1"/>
      <c r="CY12" s="1"/>
      <c r="CZ1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2" s="1">
        <f>IF(AND(Table5[[#This Row],[CATCHES TAKEN]]="",Table5[[#This Row],[RUNOUTS]]="",Table5[[#This Row],[STUMPINGS]]=""), 0, Table5[[#This Row],[BONUS 3]])</f>
        <v>0</v>
      </c>
      <c r="DB12" s="1"/>
      <c r="DC12" s="1">
        <f>SUM(Table5[[#This Row],[SUB TOTAL 1]],Table5[[#This Row],[SUB TOTAL 2]],Table5[[#This Row],[SUB TOTAL 3]],Table5[[#This Row],[POM BONUS]])</f>
        <v>0</v>
      </c>
      <c r="DD12" s="1"/>
      <c r="DE12" s="1"/>
      <c r="DF12" s="1"/>
      <c r="DG12" s="1"/>
      <c r="DH12" s="1">
        <f>IFERROR(_xlfn.NUMBERVALUE(SUBSTITUTE(Table6[[#This Row],[RUNS SCORED]],"*",""))/Table6[[#This Row],[BALLS FACED]]*100,0)</f>
        <v>0</v>
      </c>
      <c r="DI1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2" s="1">
        <f>IF(Table6[[#This Row],[RUNS SCORED]]="", 0, VALUE(SUBSTITUTE(Table6[[#This Row],[RUNS SCORED]],"*","")) + Table6[[#This Row],[BONUS 1]])</f>
        <v>0</v>
      </c>
      <c r="DK12" s="1"/>
      <c r="DL12" s="1"/>
      <c r="DM12" s="1"/>
      <c r="DN12" s="1"/>
      <c r="DO12" s="1">
        <f>IFERROR(Table6[[#This Row],[RUNS GIVEN]]/Table6[[#This Row],[OVERS]],0)</f>
        <v>0</v>
      </c>
      <c r="DP1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2" s="1">
        <f>IF(Table6[[#This Row],[WICKETS TAKEN]]="", 0, IF(Table6[[#This Row],[WICKETS TAKEN]] = 0, -25,
        Table6[[#This Row],[WICKETS TAKEN]] * 50)+Table6[[#This Row],[BONUS 2]])</f>
        <v>0</v>
      </c>
      <c r="DR12" s="1"/>
      <c r="DS12" s="1"/>
      <c r="DT12" s="1"/>
      <c r="DU1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2" s="1">
        <f>IF(AND(Table6[[#This Row],[CATCHES TAKEN]]="",Table6[[#This Row],[RUNOUTS]]="",Table6[[#This Row],[STUMPINGS]]=""), 0, Table6[[#This Row],[BONUS 3]])</f>
        <v>0</v>
      </c>
      <c r="DW12" s="1"/>
      <c r="DX12" s="1">
        <f>SUM(Table6[[#This Row],[SUB TOTAL 1]],Table6[[#This Row],[SUB TOTAL 2]],Table6[[#This Row],[SUB TOTAL 3]],Table6[[#This Row],[POM BONUS]])</f>
        <v>0</v>
      </c>
      <c r="DY12" s="1"/>
      <c r="DZ12" s="1"/>
      <c r="EA12" s="1"/>
      <c r="EB12" s="1"/>
      <c r="EC12" s="1">
        <f>IFERROR(_xlfn.NUMBERVALUE(SUBSTITUTE(Table7[[#This Row],[RUNS SCORED]],"*",""))/Table7[[#This Row],[BALLS FACED]]*100,0)</f>
        <v>0</v>
      </c>
      <c r="ED1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2" s="1">
        <f>IF(Table7[[#This Row],[RUNS SCORED]]="", 0, VALUE(SUBSTITUTE(Table7[[#This Row],[RUNS SCORED]],"*","")) + Table7[[#This Row],[BONUS 1]])</f>
        <v>0</v>
      </c>
      <c r="EF12" s="1"/>
      <c r="EG12" s="1"/>
      <c r="EH12" s="1"/>
      <c r="EI12" s="1"/>
      <c r="EJ12" s="1">
        <f>IFERROR(Table7[[#This Row],[RUNS GIVEN]]/Table7[[#This Row],[OVERS]],0)</f>
        <v>0</v>
      </c>
      <c r="EK1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2" s="1">
        <f>IF(Table7[[#This Row],[WICKETS TAKEN]]="", 0, IF(Table7[[#This Row],[WICKETS TAKEN]] = 0, -25,
        Table7[[#This Row],[WICKETS TAKEN]] * 50)+Table7[[#This Row],[BONUS 2]])</f>
        <v>0</v>
      </c>
      <c r="EM12" s="1"/>
      <c r="EN12" s="1"/>
      <c r="EO12" s="1"/>
      <c r="EP1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2" s="1">
        <f>IF(AND(Table7[[#This Row],[CATCHES TAKEN]]="",Table7[[#This Row],[RUNOUTS]]="",Table7[[#This Row],[STUMPINGS]]=""), 0, Table7[[#This Row],[BONUS 3]])</f>
        <v>0</v>
      </c>
      <c r="ER12" s="1"/>
      <c r="ES12" s="1">
        <f>SUM(Table7[[#This Row],[SUB TOTAL 1]],Table7[[#This Row],[SUB TOTAL 2]],Table7[[#This Row],[SUB TOTAL 3]],Table7[[#This Row],[POM BONUS]])</f>
        <v>0</v>
      </c>
    </row>
    <row r="13" spans="1:149" x14ac:dyDescent="0.3">
      <c r="A13" t="s">
        <v>76</v>
      </c>
      <c r="B13" s="1">
        <f>SUM(Table1[[#This Row],[GRAND TOTAL]],Table2[[#This Row],[GRAND TOTAL]],Table3[[#This Row],[GRAND TOTAL]],Table4[[#This Row],[GRAND TOTAL]],Table5[[#This Row],[GRAND TOTAL]],Table6[[#This Row],[GRAND TOTAL]],Table7[[#This Row],[GRAND TOTAL]])</f>
        <v>34</v>
      </c>
      <c r="C13" s="1">
        <v>19</v>
      </c>
      <c r="D13" s="1">
        <v>10</v>
      </c>
      <c r="E13" s="1">
        <v>4</v>
      </c>
      <c r="F13" s="1">
        <v>0</v>
      </c>
      <c r="G13" s="1">
        <f>IFERROR(_xlfn.NUMBERVALUE(SUBSTITUTE(Table1[[#This Row],[RUNS SCORED]],"*",""))/Table1[[#This Row],[BALLS FACED]]*100,0)</f>
        <v>190</v>
      </c>
      <c r="H1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3" s="1">
        <f>IF(Table1[[#This Row],[RUNS SCORED]]="", 0, VALUE(SUBSTITUTE(Table1[[#This Row],[RUNS SCORED]],"*","")) + Table1[[#This Row],[BONUS 1]])</f>
        <v>19</v>
      </c>
      <c r="J13" s="1">
        <v>2</v>
      </c>
      <c r="K13" s="1">
        <v>0</v>
      </c>
      <c r="L13" s="1">
        <v>13</v>
      </c>
      <c r="M13" s="1">
        <v>1</v>
      </c>
      <c r="N13" s="1">
        <f>IFERROR(Table1[[#This Row],[RUNS GIVEN]]/Table1[[#This Row],[OVERS]],0)</f>
        <v>6.5</v>
      </c>
      <c r="O1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3" s="1">
        <f>IF(Table1[[#This Row],[WICKETS TAKEN]]="", 0, IF(Table1[[#This Row],[WICKETS TAKEN]] = 0, -25,
        Table1[[#This Row],[WICKETS TAKEN]] * 50)+Table1[[#This Row],[BONUS 2]])</f>
        <v>50</v>
      </c>
      <c r="Q13" s="1"/>
      <c r="R13" s="1"/>
      <c r="S13" s="1"/>
      <c r="T1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3" s="1">
        <f>IF(AND(Table1[[#This Row],[CATCHES TAKEN]]="",Table1[[#This Row],[RUNOUTS]]="",Table1[[#This Row],[STUMPINGS]]=""), 0, Table1[[#This Row],[BONUS 3]])</f>
        <v>0</v>
      </c>
      <c r="V13" s="1"/>
      <c r="W13" s="1">
        <f>SUM(Table1[[#This Row],[SUB TOTAL 1]],Table1[[#This Row],[SUB TOTAL 2]],Table1[[#This Row],[SUB TOTAL 3]],Table1[[#This Row],[POM BONUS]])</f>
        <v>69</v>
      </c>
      <c r="X13" s="1">
        <v>0</v>
      </c>
      <c r="Y13" s="1">
        <v>1</v>
      </c>
      <c r="Z13" s="1">
        <v>0</v>
      </c>
      <c r="AA13" s="1">
        <v>0</v>
      </c>
      <c r="AB13" s="1">
        <f>IFERROR(_xlfn.NUMBERVALUE(SUBSTITUTE(Table2[[#This Row],[RUNS SCORED]],"*",""))/Table2[[#This Row],[BALLS FACED]]*100,0)</f>
        <v>0</v>
      </c>
      <c r="AC1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AD13" s="1">
        <f>IF(Table2[[#This Row],[RUNS SCORED]]="", 0, VALUE(SUBSTITUTE(Table2[[#This Row],[RUNS SCORED]],"*","")) + Table2[[#This Row],[BONUS 1]])</f>
        <v>-25</v>
      </c>
      <c r="AE13" s="1">
        <v>3</v>
      </c>
      <c r="AF13" s="1">
        <v>0</v>
      </c>
      <c r="AG13" s="1">
        <v>27</v>
      </c>
      <c r="AH13" s="1">
        <v>0</v>
      </c>
      <c r="AI13" s="1">
        <f>IFERROR(Table2[[#This Row],[RUNS GIVEN]]/Table2[[#This Row],[OVERS]],0)</f>
        <v>9</v>
      </c>
      <c r="AJ1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3" s="1">
        <f>IF(Table2[[#This Row],[WICKETS TAKEN]]="", 0, IF(Table2[[#This Row],[WICKETS TAKEN]] = 0, -25,
        Table2[[#This Row],[WICKETS TAKEN]] * 50)+Table2[[#This Row],[BONUS 2]])</f>
        <v>-25</v>
      </c>
      <c r="AL13" s="1"/>
      <c r="AM13" s="1"/>
      <c r="AN13" s="1"/>
      <c r="AO1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3" s="1">
        <f>IF(AND(Table2[[#This Row],[CATCHES TAKEN]]="",Table2[[#This Row],[RUNOUTS]]="",Table2[[#This Row],[STUMPINGS]]=""), 0, Table2[[#This Row],[BONUS 3]])</f>
        <v>0</v>
      </c>
      <c r="AQ13" s="1"/>
      <c r="AR13" s="1">
        <f>SUM(Table2[[#This Row],[SUB TOTAL 1]],Table2[[#This Row],[SUB TOTAL 2]],Table2[[#This Row],[SUB TOTAL 3]],Table2[[#This Row],[POM BONUS]])</f>
        <v>-50</v>
      </c>
      <c r="AS13" s="1">
        <v>4</v>
      </c>
      <c r="AT13" s="1">
        <v>5</v>
      </c>
      <c r="AU13" s="1">
        <v>0</v>
      </c>
      <c r="AV13" s="1">
        <v>0</v>
      </c>
      <c r="AW13" s="1">
        <f>IFERROR(_xlfn.NUMBERVALUE(SUBSTITUTE(Table3[[#This Row],[RUNS SCORED]],"*",""))/Table3[[#This Row],[BALLS FACED]]*100,0)</f>
        <v>80</v>
      </c>
      <c r="AX1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13" s="1">
        <f>IF(Table3[[#This Row],[RUNS SCORED]]="", 0, VALUE(SUBSTITUTE(Table3[[#This Row],[RUNS SCORED]],"*","")) + Table3[[#This Row],[BONUS 1]])</f>
        <v>-6</v>
      </c>
      <c r="AZ13" s="1">
        <v>3</v>
      </c>
      <c r="BA13" s="1">
        <v>0</v>
      </c>
      <c r="BB13" s="1">
        <v>27</v>
      </c>
      <c r="BC13" s="1">
        <v>0</v>
      </c>
      <c r="BD13" s="1">
        <f>IFERROR(Table3[[#This Row],[RUNS GIVEN]]/Table3[[#This Row],[OVERS]],0)</f>
        <v>9</v>
      </c>
      <c r="BE1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3" s="1">
        <f>IF(Table3[[#This Row],[WICKETS TAKEN]]="", 0, IF(Table3[[#This Row],[WICKETS TAKEN]] = 0, -25,
        Table3[[#This Row],[WICKETS TAKEN]] * 50)+Table3[[#This Row],[BONUS 2]])</f>
        <v>-25</v>
      </c>
      <c r="BG13" s="1">
        <v>1</v>
      </c>
      <c r="BH13" s="1"/>
      <c r="BI13" s="1"/>
      <c r="BJ1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13" s="1">
        <f>IF(AND(Table3[[#This Row],[CATCHES TAKEN]]="",Table3[[#This Row],[RUNOUTS]]="",Table3[[#This Row],[STUMPINGS]]=""), 0, Table3[[#This Row],[BONUS 3]])</f>
        <v>25</v>
      </c>
      <c r="BL13" s="1"/>
      <c r="BM13" s="1">
        <f>SUM(Table3[[#This Row],[SUB TOTAL 1]],Table3[[#This Row],[SUB TOTAL 2]],Table3[[#This Row],[SUB TOTAL 3]],Table3[[#This Row],[POM BONUS]])</f>
        <v>-6</v>
      </c>
      <c r="BN13" s="1">
        <v>21</v>
      </c>
      <c r="BO13" s="1">
        <v>19</v>
      </c>
      <c r="BP13" s="1">
        <v>1</v>
      </c>
      <c r="BQ13" s="1">
        <v>1</v>
      </c>
      <c r="BR13" s="1">
        <f>IFERROR(_xlfn.NUMBERVALUE(SUBSTITUTE(Table4[[#This Row],[RUNS SCORED]],"*",""))/Table4[[#This Row],[BALLS FACED]]*100,0)</f>
        <v>110.5263157894737</v>
      </c>
      <c r="BS1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3" s="1">
        <f>IF(Table4[[#This Row],[RUNS SCORED]]="", 0, VALUE(SUBSTITUTE(Table4[[#This Row],[RUNS SCORED]],"*","")) + Table4[[#This Row],[BONUS 1]])</f>
        <v>21</v>
      </c>
      <c r="BU13" s="1"/>
      <c r="BV13" s="1"/>
      <c r="BW13" s="1"/>
      <c r="BX13" s="1"/>
      <c r="BY13" s="1">
        <f>IFERROR(Table4[[#This Row],[RUNS GIVEN]]/Table4[[#This Row],[OVERS]],0)</f>
        <v>0</v>
      </c>
      <c r="BZ1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3" s="1">
        <f>IF(Table4[[#This Row],[WICKETS TAKEN]]="", 0, IF(Table4[[#This Row],[WICKETS TAKEN]] = 0, -25,
        Table4[[#This Row],[WICKETS TAKEN]] * 50)+Table4[[#This Row],[BONUS 2]])</f>
        <v>0</v>
      </c>
      <c r="CB13" s="1"/>
      <c r="CC13" s="1"/>
      <c r="CD13" s="1"/>
      <c r="CE1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3" s="1">
        <f>IF(AND(Table4[[#This Row],[CATCHES TAKEN]]="",Table4[[#This Row],[RUNOUTS]]="",Table4[[#This Row],[STUMPINGS]]=""), 0, Table4[[#This Row],[BONUS 3]])</f>
        <v>0</v>
      </c>
      <c r="CG13" s="1"/>
      <c r="CH13" s="1">
        <f>SUM(Table4[[#This Row],[SUB TOTAL 1]],Table4[[#This Row],[SUB TOTAL 2]],Table4[[#This Row],[SUB TOTAL 3]],Table4[[#This Row],[POM BONUS]])</f>
        <v>21</v>
      </c>
      <c r="CI13" s="1"/>
      <c r="CJ13" s="1"/>
      <c r="CK13" s="1"/>
      <c r="CL13" s="1"/>
      <c r="CM13" s="1">
        <f>IFERROR(_xlfn.NUMBERVALUE(SUBSTITUTE(Table5[[#This Row],[RUNS SCORED]],"*",""))/Table5[[#This Row],[BALLS FACED]]*100,0)</f>
        <v>0</v>
      </c>
      <c r="CN1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3" s="1">
        <f>IF(Table5[[#This Row],[RUNS SCORED]]="", 0, VALUE(SUBSTITUTE(Table5[[#This Row],[RUNS SCORED]],"*","")) + Table5[[#This Row],[BONUS 1]])</f>
        <v>0</v>
      </c>
      <c r="CP13" s="1"/>
      <c r="CQ13" s="1"/>
      <c r="CR13" s="1"/>
      <c r="CS13" s="1"/>
      <c r="CT13" s="1">
        <f>IFERROR(Table5[[#This Row],[RUNS GIVEN]]/Table5[[#This Row],[OVERS]],0)</f>
        <v>0</v>
      </c>
      <c r="CU1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3" s="1">
        <f>IF(Table5[[#This Row],[WICKETS TAKEN]]="", 0, IF(Table5[[#This Row],[WICKETS TAKEN]] = 0, -25,
        Table5[[#This Row],[WICKETS TAKEN]] * 50)+Table5[[#This Row],[BONUS 2]])</f>
        <v>0</v>
      </c>
      <c r="CW13" s="1"/>
      <c r="CX13" s="1"/>
      <c r="CY13" s="1"/>
      <c r="CZ1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3" s="1">
        <f>IF(AND(Table5[[#This Row],[CATCHES TAKEN]]="",Table5[[#This Row],[RUNOUTS]]="",Table5[[#This Row],[STUMPINGS]]=""), 0, Table5[[#This Row],[BONUS 3]])</f>
        <v>0</v>
      </c>
      <c r="DB13" s="1"/>
      <c r="DC13" s="1">
        <f>SUM(Table5[[#This Row],[SUB TOTAL 1]],Table5[[#This Row],[SUB TOTAL 2]],Table5[[#This Row],[SUB TOTAL 3]],Table5[[#This Row],[POM BONUS]])</f>
        <v>0</v>
      </c>
      <c r="DD13" s="1"/>
      <c r="DE13" s="1"/>
      <c r="DF13" s="1"/>
      <c r="DG13" s="1"/>
      <c r="DH13" s="1">
        <f>IFERROR(_xlfn.NUMBERVALUE(SUBSTITUTE(Table6[[#This Row],[RUNS SCORED]],"*",""))/Table6[[#This Row],[BALLS FACED]]*100,0)</f>
        <v>0</v>
      </c>
      <c r="DI1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3" s="1">
        <f>IF(Table6[[#This Row],[RUNS SCORED]]="", 0, VALUE(SUBSTITUTE(Table6[[#This Row],[RUNS SCORED]],"*","")) + Table6[[#This Row],[BONUS 1]])</f>
        <v>0</v>
      </c>
      <c r="DK13" s="1"/>
      <c r="DL13" s="1"/>
      <c r="DM13" s="1"/>
      <c r="DN13" s="1"/>
      <c r="DO13" s="1">
        <f>IFERROR(Table6[[#This Row],[RUNS GIVEN]]/Table6[[#This Row],[OVERS]],0)</f>
        <v>0</v>
      </c>
      <c r="DP1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3" s="1">
        <f>IF(Table6[[#This Row],[WICKETS TAKEN]]="", 0, IF(Table6[[#This Row],[WICKETS TAKEN]] = 0, -25,
        Table6[[#This Row],[WICKETS TAKEN]] * 50)+Table6[[#This Row],[BONUS 2]])</f>
        <v>0</v>
      </c>
      <c r="DR13" s="1"/>
      <c r="DS13" s="1"/>
      <c r="DT13" s="1"/>
      <c r="DU1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3" s="1">
        <f>IF(AND(Table6[[#This Row],[CATCHES TAKEN]]="",Table6[[#This Row],[RUNOUTS]]="",Table6[[#This Row],[STUMPINGS]]=""), 0, Table6[[#This Row],[BONUS 3]])</f>
        <v>0</v>
      </c>
      <c r="DW13" s="1"/>
      <c r="DX13" s="1">
        <f>SUM(Table6[[#This Row],[SUB TOTAL 1]],Table6[[#This Row],[SUB TOTAL 2]],Table6[[#This Row],[SUB TOTAL 3]],Table6[[#This Row],[POM BONUS]])</f>
        <v>0</v>
      </c>
      <c r="DY13" s="1"/>
      <c r="DZ13" s="1"/>
      <c r="EA13" s="1"/>
      <c r="EB13" s="1"/>
      <c r="EC13" s="1">
        <f>IFERROR(_xlfn.NUMBERVALUE(SUBSTITUTE(Table7[[#This Row],[RUNS SCORED]],"*",""))/Table7[[#This Row],[BALLS FACED]]*100,0)</f>
        <v>0</v>
      </c>
      <c r="ED1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3" s="1">
        <f>IF(Table7[[#This Row],[RUNS SCORED]]="", 0, VALUE(SUBSTITUTE(Table7[[#This Row],[RUNS SCORED]],"*","")) + Table7[[#This Row],[BONUS 1]])</f>
        <v>0</v>
      </c>
      <c r="EF13" s="1"/>
      <c r="EG13" s="1"/>
      <c r="EH13" s="1"/>
      <c r="EI13" s="1"/>
      <c r="EJ13" s="1">
        <f>IFERROR(Table7[[#This Row],[RUNS GIVEN]]/Table7[[#This Row],[OVERS]],0)</f>
        <v>0</v>
      </c>
      <c r="EK1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3" s="1">
        <f>IF(Table7[[#This Row],[WICKETS TAKEN]]="", 0, IF(Table7[[#This Row],[WICKETS TAKEN]] = 0, -25,
        Table7[[#This Row],[WICKETS TAKEN]] * 50)+Table7[[#This Row],[BONUS 2]])</f>
        <v>0</v>
      </c>
      <c r="EM13" s="1"/>
      <c r="EN13" s="1"/>
      <c r="EO13" s="1"/>
      <c r="EP1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3" s="1">
        <f>IF(AND(Table7[[#This Row],[CATCHES TAKEN]]="",Table7[[#This Row],[RUNOUTS]]="",Table7[[#This Row],[STUMPINGS]]=""), 0, Table7[[#This Row],[BONUS 3]])</f>
        <v>0</v>
      </c>
      <c r="ER13" s="1"/>
      <c r="ES13" s="1">
        <f>SUM(Table7[[#This Row],[SUB TOTAL 1]],Table7[[#This Row],[SUB TOTAL 2]],Table7[[#This Row],[SUB TOTAL 3]],Table7[[#This Row],[POM BONUS]])</f>
        <v>0</v>
      </c>
    </row>
    <row r="14" spans="1:149" x14ac:dyDescent="0.3">
      <c r="A14" t="s">
        <v>71</v>
      </c>
      <c r="B14" s="1">
        <f>SUM(Table1[[#This Row],[GRAND TOTAL]],Table2[[#This Row],[GRAND TOTAL]],Table3[[#This Row],[GRAND TOTAL]],Table4[[#This Row],[GRAND TOTAL]],Table5[[#This Row],[GRAND TOTAL]],Table6[[#This Row],[GRAND TOTAL]],Table7[[#This Row],[GRAND TOTAL]])</f>
        <v>650</v>
      </c>
      <c r="C14" s="1"/>
      <c r="D14" s="1"/>
      <c r="E14" s="1"/>
      <c r="F14" s="1"/>
      <c r="G14" s="1">
        <f>IFERROR(_xlfn.NUMBERVALUE(SUBSTITUTE(Table1[[#This Row],[RUNS SCORED]],"*",""))/Table1[[#This Row],[BALLS FACED]]*100,0)</f>
        <v>0</v>
      </c>
      <c r="H1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4" s="1">
        <f>IF(Table1[[#This Row],[RUNS SCORED]]="", 0, VALUE(SUBSTITUTE(Table1[[#This Row],[RUNS SCORED]],"*","")) + Table1[[#This Row],[BONUS 1]])</f>
        <v>0</v>
      </c>
      <c r="J14" s="1">
        <v>4</v>
      </c>
      <c r="K14" s="1">
        <v>0</v>
      </c>
      <c r="L14" s="1">
        <v>22</v>
      </c>
      <c r="M14" s="1">
        <v>0</v>
      </c>
      <c r="N14" s="1">
        <f>IFERROR(Table1[[#This Row],[RUNS GIVEN]]/Table1[[#This Row],[OVERS]],0)</f>
        <v>5.5</v>
      </c>
      <c r="O1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4" s="1">
        <f>IF(Table1[[#This Row],[WICKETS TAKEN]]="", 0, IF(Table1[[#This Row],[WICKETS TAKEN]] = 0, -25,
        Table1[[#This Row],[WICKETS TAKEN]] * 50)+Table1[[#This Row],[BONUS 2]])</f>
        <v>-25</v>
      </c>
      <c r="Q14" s="1">
        <v>1</v>
      </c>
      <c r="R14" s="1"/>
      <c r="S14" s="1"/>
      <c r="T1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4" s="1">
        <f>IF(AND(Table1[[#This Row],[CATCHES TAKEN]]="",Table1[[#This Row],[RUNOUTS]]="",Table1[[#This Row],[STUMPINGS]]=""), 0, Table1[[#This Row],[BONUS 3]])</f>
        <v>25</v>
      </c>
      <c r="V14" s="1"/>
      <c r="W14" s="1">
        <f>SUM(Table1[[#This Row],[SUB TOTAL 1]],Table1[[#This Row],[SUB TOTAL 2]],Table1[[#This Row],[SUB TOTAL 3]],Table1[[#This Row],[POM BONUS]])</f>
        <v>0</v>
      </c>
      <c r="X14" s="1"/>
      <c r="Y14" s="1"/>
      <c r="Z14" s="1"/>
      <c r="AA14" s="1"/>
      <c r="AB14" s="1">
        <f>IFERROR(_xlfn.NUMBERVALUE(SUBSTITUTE(Table2[[#This Row],[RUNS SCORED]],"*",""))/Table2[[#This Row],[BALLS FACED]]*100,0)</f>
        <v>0</v>
      </c>
      <c r="AC1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4" s="1">
        <f>IF(Table2[[#This Row],[RUNS SCORED]]="", 0, VALUE(SUBSTITUTE(Table2[[#This Row],[RUNS SCORED]],"*","")) + Table2[[#This Row],[BONUS 1]])</f>
        <v>0</v>
      </c>
      <c r="AE14" s="1">
        <v>3</v>
      </c>
      <c r="AF14" s="1">
        <v>0</v>
      </c>
      <c r="AG14" s="1">
        <v>35</v>
      </c>
      <c r="AH14" s="1">
        <v>1</v>
      </c>
      <c r="AI14" s="1">
        <f>IFERROR(Table2[[#This Row],[RUNS GIVEN]]/Table2[[#This Row],[OVERS]],0)</f>
        <v>11.666666666666666</v>
      </c>
      <c r="AJ1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4" s="1">
        <f>IF(Table2[[#This Row],[WICKETS TAKEN]]="", 0, IF(Table2[[#This Row],[WICKETS TAKEN]] = 0, -25,
        Table2[[#This Row],[WICKETS TAKEN]] * 50)+Table2[[#This Row],[BONUS 2]])</f>
        <v>25</v>
      </c>
      <c r="AL14" s="1">
        <v>1</v>
      </c>
      <c r="AM14" s="1"/>
      <c r="AN14" s="1"/>
      <c r="AO1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4" s="1">
        <f>IF(AND(Table2[[#This Row],[CATCHES TAKEN]]="",Table2[[#This Row],[RUNOUTS]]="",Table2[[#This Row],[STUMPINGS]]=""), 0, Table2[[#This Row],[BONUS 3]])</f>
        <v>25</v>
      </c>
      <c r="AQ14" s="1"/>
      <c r="AR14" s="1">
        <f>SUM(Table2[[#This Row],[SUB TOTAL 1]],Table2[[#This Row],[SUB TOTAL 2]],Table2[[#This Row],[SUB TOTAL 3]],Table2[[#This Row],[POM BONUS]])</f>
        <v>50</v>
      </c>
      <c r="AS14" s="1"/>
      <c r="AT14" s="1"/>
      <c r="AU14" s="1"/>
      <c r="AV14" s="1"/>
      <c r="AW14" s="1">
        <f>IFERROR(_xlfn.NUMBERVALUE(SUBSTITUTE(Table3[[#This Row],[RUNS SCORED]],"*",""))/Table3[[#This Row],[BALLS FACED]]*100,0)</f>
        <v>0</v>
      </c>
      <c r="AX1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4" s="1">
        <f>IF(Table3[[#This Row],[RUNS SCORED]]="", 0, VALUE(SUBSTITUTE(Table3[[#This Row],[RUNS SCORED]],"*","")) + Table3[[#This Row],[BONUS 1]])</f>
        <v>0</v>
      </c>
      <c r="AZ14" s="1">
        <v>4</v>
      </c>
      <c r="BA14" s="1">
        <v>0</v>
      </c>
      <c r="BB14" s="1">
        <v>28</v>
      </c>
      <c r="BC14" s="1">
        <v>3</v>
      </c>
      <c r="BD14" s="1">
        <f>IFERROR(Table3[[#This Row],[RUNS GIVEN]]/Table3[[#This Row],[OVERS]],0)</f>
        <v>7</v>
      </c>
      <c r="BE1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BF14" s="1">
        <f>IF(Table3[[#This Row],[WICKETS TAKEN]]="", 0, IF(Table3[[#This Row],[WICKETS TAKEN]] = 0, -25,
        Table3[[#This Row],[WICKETS TAKEN]] * 50)+Table3[[#This Row],[BONUS 2]])</f>
        <v>250</v>
      </c>
      <c r="BG14" s="1"/>
      <c r="BH14" s="1"/>
      <c r="BI14" s="1"/>
      <c r="BJ1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4" s="1">
        <f>IF(AND(Table3[[#This Row],[CATCHES TAKEN]]="",Table3[[#This Row],[RUNOUTS]]="",Table3[[#This Row],[STUMPINGS]]=""), 0, Table3[[#This Row],[BONUS 3]])</f>
        <v>0</v>
      </c>
      <c r="BL14" s="1"/>
      <c r="BM14" s="1">
        <f>SUM(Table3[[#This Row],[SUB TOTAL 1]],Table3[[#This Row],[SUB TOTAL 2]],Table3[[#This Row],[SUB TOTAL 3]],Table3[[#This Row],[POM BONUS]])</f>
        <v>250</v>
      </c>
      <c r="BN14" s="1"/>
      <c r="BO14" s="1"/>
      <c r="BP14" s="1"/>
      <c r="BQ14" s="1"/>
      <c r="BR14" s="1">
        <f>IFERROR(_xlfn.NUMBERVALUE(SUBSTITUTE(Table4[[#This Row],[RUNS SCORED]],"*",""))/Table4[[#This Row],[BALLS FACED]]*100,0)</f>
        <v>0</v>
      </c>
      <c r="BS1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4" s="1">
        <f>IF(Table4[[#This Row],[RUNS SCORED]]="", 0, VALUE(SUBSTITUTE(Table4[[#This Row],[RUNS SCORED]],"*","")) + Table4[[#This Row],[BONUS 1]])</f>
        <v>0</v>
      </c>
      <c r="BU14" s="1">
        <v>4</v>
      </c>
      <c r="BV14" s="1">
        <v>0</v>
      </c>
      <c r="BW14" s="1">
        <v>20</v>
      </c>
      <c r="BX14" s="1">
        <v>3</v>
      </c>
      <c r="BY14" s="1">
        <f>IFERROR(Table4[[#This Row],[RUNS GIVEN]]/Table4[[#This Row],[OVERS]],0)</f>
        <v>5</v>
      </c>
      <c r="BZ1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200</v>
      </c>
      <c r="CA14" s="1">
        <f>IF(Table4[[#This Row],[WICKETS TAKEN]]="", 0, IF(Table4[[#This Row],[WICKETS TAKEN]] = 0, -25,
        Table4[[#This Row],[WICKETS TAKEN]] * 50)+Table4[[#This Row],[BONUS 2]])</f>
        <v>350</v>
      </c>
      <c r="CB14" s="1"/>
      <c r="CC14" s="1"/>
      <c r="CD14" s="1"/>
      <c r="CE1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4" s="1">
        <f>IF(AND(Table4[[#This Row],[CATCHES TAKEN]]="",Table4[[#This Row],[RUNOUTS]]="",Table4[[#This Row],[STUMPINGS]]=""), 0, Table4[[#This Row],[BONUS 3]])</f>
        <v>0</v>
      </c>
      <c r="CG14" s="1"/>
      <c r="CH14" s="1">
        <f>SUM(Table4[[#This Row],[SUB TOTAL 1]],Table4[[#This Row],[SUB TOTAL 2]],Table4[[#This Row],[SUB TOTAL 3]],Table4[[#This Row],[POM BONUS]])</f>
        <v>350</v>
      </c>
      <c r="CI14" s="1"/>
      <c r="CJ14" s="1"/>
      <c r="CK14" s="1"/>
      <c r="CL14" s="1"/>
      <c r="CM14" s="1">
        <f>IFERROR(_xlfn.NUMBERVALUE(SUBSTITUTE(Table5[[#This Row],[RUNS SCORED]],"*",""))/Table5[[#This Row],[BALLS FACED]]*100,0)</f>
        <v>0</v>
      </c>
      <c r="CN1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4" s="1">
        <f>IF(Table5[[#This Row],[RUNS SCORED]]="", 0, VALUE(SUBSTITUTE(Table5[[#This Row],[RUNS SCORED]],"*","")) + Table5[[#This Row],[BONUS 1]])</f>
        <v>0</v>
      </c>
      <c r="CP14" s="1"/>
      <c r="CQ14" s="1"/>
      <c r="CR14" s="1"/>
      <c r="CS14" s="1"/>
      <c r="CT14" s="1">
        <f>IFERROR(Table5[[#This Row],[RUNS GIVEN]]/Table5[[#This Row],[OVERS]],0)</f>
        <v>0</v>
      </c>
      <c r="CU1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4" s="1">
        <f>IF(Table5[[#This Row],[WICKETS TAKEN]]="", 0, IF(Table5[[#This Row],[WICKETS TAKEN]] = 0, -25,
        Table5[[#This Row],[WICKETS TAKEN]] * 50)+Table5[[#This Row],[BONUS 2]])</f>
        <v>0</v>
      </c>
      <c r="CW14" s="1"/>
      <c r="CX14" s="1"/>
      <c r="CY14" s="1"/>
      <c r="CZ1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4" s="1">
        <f>IF(AND(Table5[[#This Row],[CATCHES TAKEN]]="",Table5[[#This Row],[RUNOUTS]]="",Table5[[#This Row],[STUMPINGS]]=""), 0, Table5[[#This Row],[BONUS 3]])</f>
        <v>0</v>
      </c>
      <c r="DB14" s="1"/>
      <c r="DC14" s="1">
        <f>SUM(Table5[[#This Row],[SUB TOTAL 1]],Table5[[#This Row],[SUB TOTAL 2]],Table5[[#This Row],[SUB TOTAL 3]],Table5[[#This Row],[POM BONUS]])</f>
        <v>0</v>
      </c>
      <c r="DD14" s="1"/>
      <c r="DE14" s="1"/>
      <c r="DF14" s="1"/>
      <c r="DG14" s="1"/>
      <c r="DH14" s="1">
        <f>IFERROR(_xlfn.NUMBERVALUE(SUBSTITUTE(Table6[[#This Row],[RUNS SCORED]],"*",""))/Table6[[#This Row],[BALLS FACED]]*100,0)</f>
        <v>0</v>
      </c>
      <c r="DI1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4" s="1">
        <f>IF(Table6[[#This Row],[RUNS SCORED]]="", 0, VALUE(SUBSTITUTE(Table6[[#This Row],[RUNS SCORED]],"*","")) + Table6[[#This Row],[BONUS 1]])</f>
        <v>0</v>
      </c>
      <c r="DK14" s="1"/>
      <c r="DL14" s="1"/>
      <c r="DM14" s="1"/>
      <c r="DN14" s="1"/>
      <c r="DO14" s="1">
        <f>IFERROR(Table6[[#This Row],[RUNS GIVEN]]/Table6[[#This Row],[OVERS]],0)</f>
        <v>0</v>
      </c>
      <c r="DP1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4" s="1">
        <f>IF(Table6[[#This Row],[WICKETS TAKEN]]="", 0, IF(Table6[[#This Row],[WICKETS TAKEN]] = 0, -25,
        Table6[[#This Row],[WICKETS TAKEN]] * 50)+Table6[[#This Row],[BONUS 2]])</f>
        <v>0</v>
      </c>
      <c r="DR14" s="1"/>
      <c r="DS14" s="1"/>
      <c r="DT14" s="1"/>
      <c r="DU1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4" s="1">
        <f>IF(AND(Table6[[#This Row],[CATCHES TAKEN]]="",Table6[[#This Row],[RUNOUTS]]="",Table6[[#This Row],[STUMPINGS]]=""), 0, Table6[[#This Row],[BONUS 3]])</f>
        <v>0</v>
      </c>
      <c r="DW14" s="1"/>
      <c r="DX14" s="1">
        <f>SUM(Table6[[#This Row],[SUB TOTAL 1]],Table6[[#This Row],[SUB TOTAL 2]],Table6[[#This Row],[SUB TOTAL 3]],Table6[[#This Row],[POM BONUS]])</f>
        <v>0</v>
      </c>
      <c r="DY14" s="1"/>
      <c r="DZ14" s="1"/>
      <c r="EA14" s="1"/>
      <c r="EB14" s="1"/>
      <c r="EC14" s="1">
        <f>IFERROR(_xlfn.NUMBERVALUE(SUBSTITUTE(Table7[[#This Row],[RUNS SCORED]],"*",""))/Table7[[#This Row],[BALLS FACED]]*100,0)</f>
        <v>0</v>
      </c>
      <c r="ED1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4" s="1">
        <f>IF(Table7[[#This Row],[RUNS SCORED]]="", 0, VALUE(SUBSTITUTE(Table7[[#This Row],[RUNS SCORED]],"*","")) + Table7[[#This Row],[BONUS 1]])</f>
        <v>0</v>
      </c>
      <c r="EF14" s="1"/>
      <c r="EG14" s="1"/>
      <c r="EH14" s="1"/>
      <c r="EI14" s="1"/>
      <c r="EJ14" s="1">
        <f>IFERROR(Table7[[#This Row],[RUNS GIVEN]]/Table7[[#This Row],[OVERS]],0)</f>
        <v>0</v>
      </c>
      <c r="EK1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4" s="1">
        <f>IF(Table7[[#This Row],[WICKETS TAKEN]]="", 0, IF(Table7[[#This Row],[WICKETS TAKEN]] = 0, -25,
        Table7[[#This Row],[WICKETS TAKEN]] * 50)+Table7[[#This Row],[BONUS 2]])</f>
        <v>0</v>
      </c>
      <c r="EM14" s="1"/>
      <c r="EN14" s="1"/>
      <c r="EO14" s="1"/>
      <c r="EP1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4" s="1">
        <f>IF(AND(Table7[[#This Row],[CATCHES TAKEN]]="",Table7[[#This Row],[RUNOUTS]]="",Table7[[#This Row],[STUMPINGS]]=""), 0, Table7[[#This Row],[BONUS 3]])</f>
        <v>0</v>
      </c>
      <c r="ER14" s="1"/>
      <c r="ES14" s="1">
        <f>SUM(Table7[[#This Row],[SUB TOTAL 1]],Table7[[#This Row],[SUB TOTAL 2]],Table7[[#This Row],[SUB TOTAL 3]],Table7[[#This Row],[POM BONUS]])</f>
        <v>0</v>
      </c>
    </row>
    <row r="15" spans="1:149" x14ac:dyDescent="0.3">
      <c r="A15" s="10" t="s">
        <v>75</v>
      </c>
      <c r="B15" s="1">
        <f>SUM(Table1[[#This Row],[GRAND TOTAL]],Table2[[#This Row],[GRAND TOTAL]],Table3[[#This Row],[GRAND TOTAL]],Table4[[#This Row],[GRAND TOTAL]],Table5[[#This Row],[GRAND TOTAL]],Table6[[#This Row],[GRAND TOTAL]],Table7[[#This Row],[GRAND TOTAL]])</f>
        <v>310</v>
      </c>
      <c r="C15" s="1"/>
      <c r="D15" s="1"/>
      <c r="E15" s="1"/>
      <c r="F15" s="1"/>
      <c r="G15" s="1">
        <f>IFERROR(_xlfn.NUMBERVALUE(SUBSTITUTE(Table1[[#This Row],[RUNS SCORED]],"*",""))/Table1[[#This Row],[BALLS FACED]]*100,0)</f>
        <v>0</v>
      </c>
      <c r="H1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5" s="1">
        <f>IF(Table1[[#This Row],[RUNS SCORED]]="", 0, VALUE(SUBSTITUTE(Table1[[#This Row],[RUNS SCORED]],"*","")) + Table1[[#This Row],[BONUS 1]])</f>
        <v>0</v>
      </c>
      <c r="J15" s="1">
        <v>4</v>
      </c>
      <c r="K15" s="1">
        <v>0</v>
      </c>
      <c r="L15" s="1">
        <v>16</v>
      </c>
      <c r="M15" s="1">
        <v>1</v>
      </c>
      <c r="N15" s="1">
        <f>IFERROR(Table1[[#This Row],[RUNS GIVEN]]/Table1[[#This Row],[OVERS]],0)</f>
        <v>4</v>
      </c>
      <c r="O1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5" s="1">
        <f>IF(Table1[[#This Row],[WICKETS TAKEN]]="", 0, IF(Table1[[#This Row],[WICKETS TAKEN]] = 0, -25,
        Table1[[#This Row],[WICKETS TAKEN]] * 50)+Table1[[#This Row],[BONUS 2]])</f>
        <v>150</v>
      </c>
      <c r="Q15" s="1"/>
      <c r="R15" s="1"/>
      <c r="S15" s="1"/>
      <c r="T1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5" s="1">
        <f>IF(AND(Table1[[#This Row],[CATCHES TAKEN]]="",Table1[[#This Row],[RUNOUTS]]="",Table1[[#This Row],[STUMPINGS]]=""), 0, Table1[[#This Row],[BONUS 3]])</f>
        <v>0</v>
      </c>
      <c r="V15" s="1"/>
      <c r="W15" s="1">
        <f>SUM(Table1[[#This Row],[SUB TOTAL 1]],Table1[[#This Row],[SUB TOTAL 2]],Table1[[#This Row],[SUB TOTAL 3]],Table1[[#This Row],[POM BONUS]])</f>
        <v>150</v>
      </c>
      <c r="X15" s="1">
        <v>14</v>
      </c>
      <c r="Y15" s="1">
        <v>9</v>
      </c>
      <c r="Z15" s="1">
        <v>0</v>
      </c>
      <c r="AA15" s="1">
        <v>2</v>
      </c>
      <c r="AB15" s="1">
        <f>IFERROR(_xlfn.NUMBERVALUE(SUBSTITUTE(Table2[[#This Row],[RUNS SCORED]],"*",""))/Table2[[#This Row],[BALLS FACED]]*100,0)</f>
        <v>155.55555555555557</v>
      </c>
      <c r="AC1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5" s="1">
        <f>IF(Table2[[#This Row],[RUNS SCORED]]="", 0, VALUE(SUBSTITUTE(Table2[[#This Row],[RUNS SCORED]],"*","")) + Table2[[#This Row],[BONUS 1]])</f>
        <v>14</v>
      </c>
      <c r="AE15" s="1">
        <v>4</v>
      </c>
      <c r="AF15" s="1">
        <v>0</v>
      </c>
      <c r="AG15" s="1">
        <v>23</v>
      </c>
      <c r="AH15" s="1">
        <v>2</v>
      </c>
      <c r="AI15" s="1">
        <f>IFERROR(Table2[[#This Row],[RUNS GIVEN]]/Table2[[#This Row],[OVERS]],0)</f>
        <v>5.75</v>
      </c>
      <c r="AJ1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5" s="1">
        <f>IF(Table2[[#This Row],[WICKETS TAKEN]]="", 0, IF(Table2[[#This Row],[WICKETS TAKEN]] = 0, -25,
        Table2[[#This Row],[WICKETS TAKEN]] * 50)+Table2[[#This Row],[BONUS 2]])</f>
        <v>100</v>
      </c>
      <c r="AL15" s="1"/>
      <c r="AM15" s="1"/>
      <c r="AN15" s="1"/>
      <c r="AO1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5" s="1">
        <f>IF(AND(Table2[[#This Row],[CATCHES TAKEN]]="",Table2[[#This Row],[RUNOUTS]]="",Table2[[#This Row],[STUMPINGS]]=""), 0, Table2[[#This Row],[BONUS 3]])</f>
        <v>0</v>
      </c>
      <c r="AQ15" s="1"/>
      <c r="AR15" s="1">
        <f>SUM(Table2[[#This Row],[SUB TOTAL 1]],Table2[[#This Row],[SUB TOTAL 2]],Table2[[#This Row],[SUB TOTAL 3]],Table2[[#This Row],[POM BONUS]])</f>
        <v>114</v>
      </c>
      <c r="AS15" s="1" t="s">
        <v>311</v>
      </c>
      <c r="AT15" s="1">
        <v>4</v>
      </c>
      <c r="AU15" s="1">
        <v>0</v>
      </c>
      <c r="AV15" s="1">
        <v>0</v>
      </c>
      <c r="AW15" s="1">
        <f>IFERROR(_xlfn.NUMBERVALUE(SUBSTITUTE(Table3[[#This Row],[RUNS SCORED]],"*",""))/Table3[[#This Row],[BALLS FACED]]*100,0)</f>
        <v>150</v>
      </c>
      <c r="AX1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AY15" s="1">
        <f>IF(Table3[[#This Row],[RUNS SCORED]]="", 0, VALUE(SUBSTITUTE(Table3[[#This Row],[RUNS SCORED]],"*","")) + Table3[[#This Row],[BONUS 1]])</f>
        <v>21</v>
      </c>
      <c r="AZ15" s="1">
        <v>3</v>
      </c>
      <c r="BA15" s="1">
        <v>0</v>
      </c>
      <c r="BB15" s="1">
        <v>37</v>
      </c>
      <c r="BC15" s="1">
        <v>1</v>
      </c>
      <c r="BD15" s="1">
        <f>IFERROR(Table3[[#This Row],[RUNS GIVEN]]/Table3[[#This Row],[OVERS]],0)</f>
        <v>12.333333333333334</v>
      </c>
      <c r="BE1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15" s="1">
        <f>IF(Table3[[#This Row],[WICKETS TAKEN]]="", 0, IF(Table3[[#This Row],[WICKETS TAKEN]] = 0, -25,
        Table3[[#This Row],[WICKETS TAKEN]] * 50)+Table3[[#This Row],[BONUS 2]])</f>
        <v>25</v>
      </c>
      <c r="BG15" s="1"/>
      <c r="BH15" s="1"/>
      <c r="BI15" s="1"/>
      <c r="BJ1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5" s="1">
        <f>IF(AND(Table3[[#This Row],[CATCHES TAKEN]]="",Table3[[#This Row],[RUNOUTS]]="",Table3[[#This Row],[STUMPINGS]]=""), 0, Table3[[#This Row],[BONUS 3]])</f>
        <v>0</v>
      </c>
      <c r="BL15" s="1"/>
      <c r="BM15" s="1">
        <f>SUM(Table3[[#This Row],[SUB TOTAL 1]],Table3[[#This Row],[SUB TOTAL 2]],Table3[[#This Row],[SUB TOTAL 3]],Table3[[#This Row],[POM BONUS]])</f>
        <v>46</v>
      </c>
      <c r="BN15" s="1"/>
      <c r="BO15" s="1"/>
      <c r="BP15" s="1"/>
      <c r="BQ15" s="1"/>
      <c r="BR15" s="1">
        <f>IFERROR(_xlfn.NUMBERVALUE(SUBSTITUTE(Table4[[#This Row],[RUNS SCORED]],"*",""))/Table4[[#This Row],[BALLS FACED]]*100,0)</f>
        <v>0</v>
      </c>
      <c r="BS1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5" s="1">
        <f>IF(Table4[[#This Row],[RUNS SCORED]]="", 0, VALUE(SUBSTITUTE(Table4[[#This Row],[RUNS SCORED]],"*","")) + Table4[[#This Row],[BONUS 1]])</f>
        <v>0</v>
      </c>
      <c r="BU15" s="1"/>
      <c r="BV15" s="1"/>
      <c r="BW15" s="1"/>
      <c r="BX15" s="1"/>
      <c r="BY15" s="1">
        <f>IFERROR(Table4[[#This Row],[RUNS GIVEN]]/Table4[[#This Row],[OVERS]],0)</f>
        <v>0</v>
      </c>
      <c r="BZ1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5" s="1">
        <f>IF(Table4[[#This Row],[WICKETS TAKEN]]="", 0, IF(Table4[[#This Row],[WICKETS TAKEN]] = 0, -25,
        Table4[[#This Row],[WICKETS TAKEN]] * 50)+Table4[[#This Row],[BONUS 2]])</f>
        <v>0</v>
      </c>
      <c r="CB15" s="1"/>
      <c r="CC15" s="1"/>
      <c r="CD15" s="1"/>
      <c r="CE1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5" s="1">
        <f>IF(AND(Table4[[#This Row],[CATCHES TAKEN]]="",Table4[[#This Row],[RUNOUTS]]="",Table4[[#This Row],[STUMPINGS]]=""), 0, Table4[[#This Row],[BONUS 3]])</f>
        <v>0</v>
      </c>
      <c r="CG15" s="1"/>
      <c r="CH15" s="1">
        <f>SUM(Table4[[#This Row],[SUB TOTAL 1]],Table4[[#This Row],[SUB TOTAL 2]],Table4[[#This Row],[SUB TOTAL 3]],Table4[[#This Row],[POM BONUS]])</f>
        <v>0</v>
      </c>
      <c r="CI15" s="1"/>
      <c r="CJ15" s="1"/>
      <c r="CK15" s="1"/>
      <c r="CL15" s="1"/>
      <c r="CM15" s="1">
        <f>IFERROR(_xlfn.NUMBERVALUE(SUBSTITUTE(Table5[[#This Row],[RUNS SCORED]],"*",""))/Table5[[#This Row],[BALLS FACED]]*100,0)</f>
        <v>0</v>
      </c>
      <c r="CN1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5" s="1">
        <f>IF(Table5[[#This Row],[RUNS SCORED]]="", 0, VALUE(SUBSTITUTE(Table5[[#This Row],[RUNS SCORED]],"*","")) + Table5[[#This Row],[BONUS 1]])</f>
        <v>0</v>
      </c>
      <c r="CP15" s="1"/>
      <c r="CQ15" s="1"/>
      <c r="CR15" s="1"/>
      <c r="CS15" s="1"/>
      <c r="CT15" s="1">
        <f>IFERROR(Table5[[#This Row],[RUNS GIVEN]]/Table5[[#This Row],[OVERS]],0)</f>
        <v>0</v>
      </c>
      <c r="CU1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5" s="1">
        <f>IF(Table5[[#This Row],[WICKETS TAKEN]]="", 0, IF(Table5[[#This Row],[WICKETS TAKEN]] = 0, -25,
        Table5[[#This Row],[WICKETS TAKEN]] * 50)+Table5[[#This Row],[BONUS 2]])</f>
        <v>0</v>
      </c>
      <c r="CW15" s="1"/>
      <c r="CX15" s="1"/>
      <c r="CY15" s="1"/>
      <c r="CZ1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5" s="1">
        <f>IF(AND(Table5[[#This Row],[CATCHES TAKEN]]="",Table5[[#This Row],[RUNOUTS]]="",Table5[[#This Row],[STUMPINGS]]=""), 0, Table5[[#This Row],[BONUS 3]])</f>
        <v>0</v>
      </c>
      <c r="DB15" s="1"/>
      <c r="DC15" s="1">
        <f>SUM(Table5[[#This Row],[SUB TOTAL 1]],Table5[[#This Row],[SUB TOTAL 2]],Table5[[#This Row],[SUB TOTAL 3]],Table5[[#This Row],[POM BONUS]])</f>
        <v>0</v>
      </c>
      <c r="DD15" s="1"/>
      <c r="DE15" s="1"/>
      <c r="DF15" s="1"/>
      <c r="DG15" s="1"/>
      <c r="DH15" s="1">
        <f>IFERROR(_xlfn.NUMBERVALUE(SUBSTITUTE(Table6[[#This Row],[RUNS SCORED]],"*",""))/Table6[[#This Row],[BALLS FACED]]*100,0)</f>
        <v>0</v>
      </c>
      <c r="DI1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5" s="1">
        <f>IF(Table6[[#This Row],[RUNS SCORED]]="", 0, VALUE(SUBSTITUTE(Table6[[#This Row],[RUNS SCORED]],"*","")) + Table6[[#This Row],[BONUS 1]])</f>
        <v>0</v>
      </c>
      <c r="DK15" s="1"/>
      <c r="DL15" s="1"/>
      <c r="DM15" s="1"/>
      <c r="DN15" s="1"/>
      <c r="DO15" s="1">
        <f>IFERROR(Table6[[#This Row],[RUNS GIVEN]]/Table6[[#This Row],[OVERS]],0)</f>
        <v>0</v>
      </c>
      <c r="DP1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5" s="1">
        <f>IF(Table6[[#This Row],[WICKETS TAKEN]]="", 0, IF(Table6[[#This Row],[WICKETS TAKEN]] = 0, -25,
        Table6[[#This Row],[WICKETS TAKEN]] * 50)+Table6[[#This Row],[BONUS 2]])</f>
        <v>0</v>
      </c>
      <c r="DR15" s="1"/>
      <c r="DS15" s="1"/>
      <c r="DT15" s="1"/>
      <c r="DU1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5" s="1">
        <f>IF(AND(Table6[[#This Row],[CATCHES TAKEN]]="",Table6[[#This Row],[RUNOUTS]]="",Table6[[#This Row],[STUMPINGS]]=""), 0, Table6[[#This Row],[BONUS 3]])</f>
        <v>0</v>
      </c>
      <c r="DW15" s="1"/>
      <c r="DX15" s="1">
        <f>SUM(Table6[[#This Row],[SUB TOTAL 1]],Table6[[#This Row],[SUB TOTAL 2]],Table6[[#This Row],[SUB TOTAL 3]],Table6[[#This Row],[POM BONUS]])</f>
        <v>0</v>
      </c>
      <c r="DY15" s="1"/>
      <c r="DZ15" s="1"/>
      <c r="EA15" s="1"/>
      <c r="EB15" s="1"/>
      <c r="EC15" s="1">
        <f>IFERROR(_xlfn.NUMBERVALUE(SUBSTITUTE(Table7[[#This Row],[RUNS SCORED]],"*",""))/Table7[[#This Row],[BALLS FACED]]*100,0)</f>
        <v>0</v>
      </c>
      <c r="ED1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5" s="1">
        <f>IF(Table7[[#This Row],[RUNS SCORED]]="", 0, VALUE(SUBSTITUTE(Table7[[#This Row],[RUNS SCORED]],"*","")) + Table7[[#This Row],[BONUS 1]])</f>
        <v>0</v>
      </c>
      <c r="EF15" s="1"/>
      <c r="EG15" s="1"/>
      <c r="EH15" s="1"/>
      <c r="EI15" s="1"/>
      <c r="EJ15" s="1">
        <f>IFERROR(Table7[[#This Row],[RUNS GIVEN]]/Table7[[#This Row],[OVERS]],0)</f>
        <v>0</v>
      </c>
      <c r="EK1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5" s="1">
        <f>IF(Table7[[#This Row],[WICKETS TAKEN]]="", 0, IF(Table7[[#This Row],[WICKETS TAKEN]] = 0, -25,
        Table7[[#This Row],[WICKETS TAKEN]] * 50)+Table7[[#This Row],[BONUS 2]])</f>
        <v>0</v>
      </c>
      <c r="EM15" s="1"/>
      <c r="EN15" s="1"/>
      <c r="EO15" s="1"/>
      <c r="EP1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5" s="1">
        <f>IF(AND(Table7[[#This Row],[CATCHES TAKEN]]="",Table7[[#This Row],[RUNOUTS]]="",Table7[[#This Row],[STUMPINGS]]=""), 0, Table7[[#This Row],[BONUS 3]])</f>
        <v>0</v>
      </c>
      <c r="ER15" s="1"/>
      <c r="ES15" s="1">
        <f>SUM(Table7[[#This Row],[SUB TOTAL 1]],Table7[[#This Row],[SUB TOTAL 2]],Table7[[#This Row],[SUB TOTAL 3]],Table7[[#This Row],[POM BONUS]])</f>
        <v>0</v>
      </c>
    </row>
    <row r="16" spans="1:149" x14ac:dyDescent="0.3">
      <c r="A16" t="s">
        <v>70</v>
      </c>
      <c r="B16" s="1">
        <f>SUM(Table1[[#This Row],[GRAND TOTAL]],Table2[[#This Row],[GRAND TOTAL]],Table3[[#This Row],[GRAND TOTAL]],Table4[[#This Row],[GRAND TOTAL]],Table5[[#This Row],[GRAND TOTAL]],Table6[[#This Row],[GRAND TOTAL]],Table7[[#This Row],[GRAND TOTAL]])</f>
        <v>461</v>
      </c>
      <c r="C16" s="1">
        <v>50</v>
      </c>
      <c r="D16" s="1">
        <v>34</v>
      </c>
      <c r="E16" s="1">
        <v>6</v>
      </c>
      <c r="F16" s="1">
        <v>1</v>
      </c>
      <c r="G16" s="1">
        <f>IFERROR(_xlfn.NUMBERVALUE(SUBSTITUTE(Table1[[#This Row],[RUNS SCORED]],"*",""))/Table1[[#This Row],[BALLS FACED]]*100,0)</f>
        <v>147.05882352941177</v>
      </c>
      <c r="H1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I16" s="1">
        <f>IF(Table1[[#This Row],[RUNS SCORED]]="", 0, VALUE(SUBSTITUTE(Table1[[#This Row],[RUNS SCORED]],"*","")) + Table1[[#This Row],[BONUS 1]])</f>
        <v>150</v>
      </c>
      <c r="J16" s="1"/>
      <c r="K16" s="1"/>
      <c r="L16" s="1"/>
      <c r="M16" s="1"/>
      <c r="N16" s="1">
        <f>IFERROR(Table1[[#This Row],[RUNS GIVEN]]/Table1[[#This Row],[OVERS]],0)</f>
        <v>0</v>
      </c>
      <c r="O1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6" s="1">
        <f>IF(Table1[[#This Row],[WICKETS TAKEN]]="", 0, IF(Table1[[#This Row],[WICKETS TAKEN]] = 0, -25,
        Table1[[#This Row],[WICKETS TAKEN]] * 50)+Table1[[#This Row],[BONUS 2]])</f>
        <v>0</v>
      </c>
      <c r="Q16" s="1"/>
      <c r="R16" s="1"/>
      <c r="S16" s="1"/>
      <c r="T1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6" s="1">
        <f>IF(AND(Table1[[#This Row],[CATCHES TAKEN]]="",Table1[[#This Row],[RUNOUTS]]="",Table1[[#This Row],[STUMPINGS]]=""), 0, Table1[[#This Row],[BONUS 3]])</f>
        <v>0</v>
      </c>
      <c r="V16" s="1"/>
      <c r="W16" s="1">
        <f>SUM(Table1[[#This Row],[SUB TOTAL 1]],Table1[[#This Row],[SUB TOTAL 2]],Table1[[#This Row],[SUB TOTAL 3]],Table1[[#This Row],[POM BONUS]])</f>
        <v>150</v>
      </c>
      <c r="X16" s="1">
        <v>68</v>
      </c>
      <c r="Y16" s="1">
        <v>44</v>
      </c>
      <c r="Z16" s="1">
        <v>6</v>
      </c>
      <c r="AA16" s="1">
        <v>2</v>
      </c>
      <c r="AB16" s="1">
        <f>IFERROR(_xlfn.NUMBERVALUE(SUBSTITUTE(Table2[[#This Row],[RUNS SCORED]],"*",""))/Table2[[#This Row],[BALLS FACED]]*100,0)</f>
        <v>154.54545454545453</v>
      </c>
      <c r="AC1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AD16" s="1">
        <f>IF(Table2[[#This Row],[RUNS SCORED]]="", 0, VALUE(SUBSTITUTE(Table2[[#This Row],[RUNS SCORED]],"*","")) + Table2[[#This Row],[BONUS 1]])</f>
        <v>168</v>
      </c>
      <c r="AE16" s="1"/>
      <c r="AF16" s="1"/>
      <c r="AG16" s="1"/>
      <c r="AH16" s="1"/>
      <c r="AI16" s="1">
        <f>IFERROR(Table2[[#This Row],[RUNS GIVEN]]/Table2[[#This Row],[OVERS]],0)</f>
        <v>0</v>
      </c>
      <c r="AJ1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6" s="1">
        <f>IF(Table2[[#This Row],[WICKETS TAKEN]]="", 0, IF(Table2[[#This Row],[WICKETS TAKEN]] = 0, -25,
        Table2[[#This Row],[WICKETS TAKEN]] * 50)+Table2[[#This Row],[BONUS 2]])</f>
        <v>0</v>
      </c>
      <c r="AL16" s="1"/>
      <c r="AM16" s="1"/>
      <c r="AN16" s="1"/>
      <c r="AO1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6" s="1">
        <f>IF(AND(Table2[[#This Row],[CATCHES TAKEN]]="",Table2[[#This Row],[RUNOUTS]]="",Table2[[#This Row],[STUMPINGS]]=""), 0, Table2[[#This Row],[BONUS 3]])</f>
        <v>0</v>
      </c>
      <c r="AQ16" s="1">
        <v>100</v>
      </c>
      <c r="AR16" s="1">
        <f>SUM(Table2[[#This Row],[SUB TOTAL 1]],Table2[[#This Row],[SUB TOTAL 2]],Table2[[#This Row],[SUB TOTAL 3]],Table2[[#This Row],[POM BONUS]])</f>
        <v>268</v>
      </c>
      <c r="AS16" s="1">
        <v>6</v>
      </c>
      <c r="AT16" s="1">
        <v>5</v>
      </c>
      <c r="AU16" s="1">
        <v>1</v>
      </c>
      <c r="AV16" s="1">
        <v>0</v>
      </c>
      <c r="AW16" s="1">
        <f>IFERROR(_xlfn.NUMBERVALUE(SUBSTITUTE(Table3[[#This Row],[RUNS SCORED]],"*",""))/Table3[[#This Row],[BALLS FACED]]*100,0)</f>
        <v>120</v>
      </c>
      <c r="AX1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16" s="1">
        <f>IF(Table3[[#This Row],[RUNS SCORED]]="", 0, VALUE(SUBSTITUTE(Table3[[#This Row],[RUNS SCORED]],"*","")) + Table3[[#This Row],[BONUS 1]])</f>
        <v>-4</v>
      </c>
      <c r="AZ16" s="1"/>
      <c r="BA16" s="1"/>
      <c r="BB16" s="1"/>
      <c r="BC16" s="1"/>
      <c r="BD16" s="1">
        <f>IFERROR(Table3[[#This Row],[RUNS GIVEN]]/Table3[[#This Row],[OVERS]],0)</f>
        <v>0</v>
      </c>
      <c r="BE1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6" s="1">
        <f>IF(Table3[[#This Row],[WICKETS TAKEN]]="", 0, IF(Table3[[#This Row],[WICKETS TAKEN]] = 0, -25,
        Table3[[#This Row],[WICKETS TAKEN]] * 50)+Table3[[#This Row],[BONUS 2]])</f>
        <v>0</v>
      </c>
      <c r="BG16" s="1"/>
      <c r="BH16" s="1"/>
      <c r="BI16" s="1"/>
      <c r="BJ1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6" s="1">
        <f>IF(AND(Table3[[#This Row],[CATCHES TAKEN]]="",Table3[[#This Row],[RUNOUTS]]="",Table3[[#This Row],[STUMPINGS]]=""), 0, Table3[[#This Row],[BONUS 3]])</f>
        <v>0</v>
      </c>
      <c r="BL16" s="1"/>
      <c r="BM16" s="1">
        <f>SUM(Table3[[#This Row],[SUB TOTAL 1]],Table3[[#This Row],[SUB TOTAL 2]],Table3[[#This Row],[SUB TOTAL 3]],Table3[[#This Row],[POM BONUS]])</f>
        <v>-4</v>
      </c>
      <c r="BN16" s="1">
        <v>22</v>
      </c>
      <c r="BO16" s="1">
        <v>15</v>
      </c>
      <c r="BP16" s="1">
        <v>3</v>
      </c>
      <c r="BQ16" s="1">
        <v>1</v>
      </c>
      <c r="BR16" s="1">
        <f>IFERROR(_xlfn.NUMBERVALUE(SUBSTITUTE(Table4[[#This Row],[RUNS SCORED]],"*",""))/Table4[[#This Row],[BALLS FACED]]*100,0)</f>
        <v>146.66666666666666</v>
      </c>
      <c r="BS1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6" s="1">
        <f>IF(Table4[[#This Row],[RUNS SCORED]]="", 0, VALUE(SUBSTITUTE(Table4[[#This Row],[RUNS SCORED]],"*","")) + Table4[[#This Row],[BONUS 1]])</f>
        <v>22</v>
      </c>
      <c r="BU16" s="1"/>
      <c r="BV16" s="1"/>
      <c r="BW16" s="1"/>
      <c r="BX16" s="1"/>
      <c r="BY16" s="1">
        <f>IFERROR(Table4[[#This Row],[RUNS GIVEN]]/Table4[[#This Row],[OVERS]],0)</f>
        <v>0</v>
      </c>
      <c r="BZ1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6" s="1">
        <f>IF(Table4[[#This Row],[WICKETS TAKEN]]="", 0, IF(Table4[[#This Row],[WICKETS TAKEN]] = 0, -25,
        Table4[[#This Row],[WICKETS TAKEN]] * 50)+Table4[[#This Row],[BONUS 2]])</f>
        <v>0</v>
      </c>
      <c r="CB16" s="1">
        <v>1</v>
      </c>
      <c r="CC16" s="1"/>
      <c r="CD16" s="1"/>
      <c r="CE1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16" s="1">
        <f>IF(AND(Table4[[#This Row],[CATCHES TAKEN]]="",Table4[[#This Row],[RUNOUTS]]="",Table4[[#This Row],[STUMPINGS]]=""), 0, Table4[[#This Row],[BONUS 3]])</f>
        <v>25</v>
      </c>
      <c r="CG16" s="1"/>
      <c r="CH16" s="1">
        <f>SUM(Table4[[#This Row],[SUB TOTAL 1]],Table4[[#This Row],[SUB TOTAL 2]],Table4[[#This Row],[SUB TOTAL 3]],Table4[[#This Row],[POM BONUS]])</f>
        <v>47</v>
      </c>
      <c r="CI16" s="1"/>
      <c r="CJ16" s="1"/>
      <c r="CK16" s="1"/>
      <c r="CL16" s="1"/>
      <c r="CM16" s="1">
        <f>IFERROR(_xlfn.NUMBERVALUE(SUBSTITUTE(Table5[[#This Row],[RUNS SCORED]],"*",""))/Table5[[#This Row],[BALLS FACED]]*100,0)</f>
        <v>0</v>
      </c>
      <c r="CN1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6" s="1">
        <f>IF(Table5[[#This Row],[RUNS SCORED]]="", 0, VALUE(SUBSTITUTE(Table5[[#This Row],[RUNS SCORED]],"*","")) + Table5[[#This Row],[BONUS 1]])</f>
        <v>0</v>
      </c>
      <c r="CP16" s="1"/>
      <c r="CQ16" s="1"/>
      <c r="CR16" s="1"/>
      <c r="CS16" s="1"/>
      <c r="CT16" s="1">
        <f>IFERROR(Table5[[#This Row],[RUNS GIVEN]]/Table5[[#This Row],[OVERS]],0)</f>
        <v>0</v>
      </c>
      <c r="CU1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6" s="1">
        <f>IF(Table5[[#This Row],[WICKETS TAKEN]]="", 0, IF(Table5[[#This Row],[WICKETS TAKEN]] = 0, -25,
        Table5[[#This Row],[WICKETS TAKEN]] * 50)+Table5[[#This Row],[BONUS 2]])</f>
        <v>0</v>
      </c>
      <c r="CW16" s="1"/>
      <c r="CX16" s="1"/>
      <c r="CY16" s="1"/>
      <c r="CZ1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6" s="1">
        <f>IF(AND(Table5[[#This Row],[CATCHES TAKEN]]="",Table5[[#This Row],[RUNOUTS]]="",Table5[[#This Row],[STUMPINGS]]=""), 0, Table5[[#This Row],[BONUS 3]])</f>
        <v>0</v>
      </c>
      <c r="DB16" s="1"/>
      <c r="DC16" s="1">
        <f>SUM(Table5[[#This Row],[SUB TOTAL 1]],Table5[[#This Row],[SUB TOTAL 2]],Table5[[#This Row],[SUB TOTAL 3]],Table5[[#This Row],[POM BONUS]])</f>
        <v>0</v>
      </c>
      <c r="DD16" s="1"/>
      <c r="DE16" s="1"/>
      <c r="DF16" s="1"/>
      <c r="DG16" s="1"/>
      <c r="DH16" s="1">
        <f>IFERROR(_xlfn.NUMBERVALUE(SUBSTITUTE(Table6[[#This Row],[RUNS SCORED]],"*",""))/Table6[[#This Row],[BALLS FACED]]*100,0)</f>
        <v>0</v>
      </c>
      <c r="DI1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6" s="1">
        <f>IF(Table6[[#This Row],[RUNS SCORED]]="", 0, VALUE(SUBSTITUTE(Table6[[#This Row],[RUNS SCORED]],"*","")) + Table6[[#This Row],[BONUS 1]])</f>
        <v>0</v>
      </c>
      <c r="DK16" s="1"/>
      <c r="DL16" s="1"/>
      <c r="DM16" s="1"/>
      <c r="DN16" s="1"/>
      <c r="DO16" s="1">
        <f>IFERROR(Table6[[#This Row],[RUNS GIVEN]]/Table6[[#This Row],[OVERS]],0)</f>
        <v>0</v>
      </c>
      <c r="DP1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6" s="1">
        <f>IF(Table6[[#This Row],[WICKETS TAKEN]]="", 0, IF(Table6[[#This Row],[WICKETS TAKEN]] = 0, -25,
        Table6[[#This Row],[WICKETS TAKEN]] * 50)+Table6[[#This Row],[BONUS 2]])</f>
        <v>0</v>
      </c>
      <c r="DR16" s="1"/>
      <c r="DS16" s="1"/>
      <c r="DT16" s="1"/>
      <c r="DU1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6" s="1">
        <f>IF(AND(Table6[[#This Row],[CATCHES TAKEN]]="",Table6[[#This Row],[RUNOUTS]]="",Table6[[#This Row],[STUMPINGS]]=""), 0, Table6[[#This Row],[BONUS 3]])</f>
        <v>0</v>
      </c>
      <c r="DW16" s="1"/>
      <c r="DX16" s="1">
        <f>SUM(Table6[[#This Row],[SUB TOTAL 1]],Table6[[#This Row],[SUB TOTAL 2]],Table6[[#This Row],[SUB TOTAL 3]],Table6[[#This Row],[POM BONUS]])</f>
        <v>0</v>
      </c>
      <c r="DY16" s="1"/>
      <c r="DZ16" s="1"/>
      <c r="EA16" s="1"/>
      <c r="EB16" s="1"/>
      <c r="EC16" s="1">
        <f>IFERROR(_xlfn.NUMBERVALUE(SUBSTITUTE(Table7[[#This Row],[RUNS SCORED]],"*",""))/Table7[[#This Row],[BALLS FACED]]*100,0)</f>
        <v>0</v>
      </c>
      <c r="ED1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6" s="1">
        <f>IF(Table7[[#This Row],[RUNS SCORED]]="", 0, VALUE(SUBSTITUTE(Table7[[#This Row],[RUNS SCORED]],"*","")) + Table7[[#This Row],[BONUS 1]])</f>
        <v>0</v>
      </c>
      <c r="EF16" s="1"/>
      <c r="EG16" s="1"/>
      <c r="EH16" s="1"/>
      <c r="EI16" s="1"/>
      <c r="EJ16" s="1">
        <f>IFERROR(Table7[[#This Row],[RUNS GIVEN]]/Table7[[#This Row],[OVERS]],0)</f>
        <v>0</v>
      </c>
      <c r="EK1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6" s="1">
        <f>IF(Table7[[#This Row],[WICKETS TAKEN]]="", 0, IF(Table7[[#This Row],[WICKETS TAKEN]] = 0, -25,
        Table7[[#This Row],[WICKETS TAKEN]] * 50)+Table7[[#This Row],[BONUS 2]])</f>
        <v>0</v>
      </c>
      <c r="EM16" s="1"/>
      <c r="EN16" s="1"/>
      <c r="EO16" s="1"/>
      <c r="EP1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6" s="1">
        <f>IF(AND(Table7[[#This Row],[CATCHES TAKEN]]="",Table7[[#This Row],[RUNOUTS]]="",Table7[[#This Row],[STUMPINGS]]=""), 0, Table7[[#This Row],[BONUS 3]])</f>
        <v>0</v>
      </c>
      <c r="ER16" s="1"/>
      <c r="ES16" s="1">
        <f>SUM(Table7[[#This Row],[SUB TOTAL 1]],Table7[[#This Row],[SUB TOTAL 2]],Table7[[#This Row],[SUB TOTAL 3]],Table7[[#This Row],[POM BONUS]])</f>
        <v>0</v>
      </c>
    </row>
    <row r="17" spans="1:149" x14ac:dyDescent="0.3">
      <c r="A17" t="s">
        <v>69</v>
      </c>
      <c r="B17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</v>
      </c>
      <c r="C17" s="1"/>
      <c r="D17" s="1"/>
      <c r="E17" s="1"/>
      <c r="F17" s="1"/>
      <c r="G17" s="1">
        <f>IFERROR(_xlfn.NUMBERVALUE(SUBSTITUTE(Table1[[#This Row],[RUNS SCORED]],"*",""))/Table1[[#This Row],[BALLS FACED]]*100,0)</f>
        <v>0</v>
      </c>
      <c r="H1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7" s="1">
        <f>IF(Table1[[#This Row],[RUNS SCORED]]="", 0, VALUE(SUBSTITUTE(Table1[[#This Row],[RUNS SCORED]],"*","")) + Table1[[#This Row],[BONUS 1]])</f>
        <v>0</v>
      </c>
      <c r="J17" s="1"/>
      <c r="K17" s="1"/>
      <c r="L17" s="1"/>
      <c r="M17" s="1"/>
      <c r="N17" s="1">
        <f>IFERROR(Table1[[#This Row],[RUNS GIVEN]]/Table1[[#This Row],[OVERS]],0)</f>
        <v>0</v>
      </c>
      <c r="O1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7" s="1">
        <f>IF(Table1[[#This Row],[WICKETS TAKEN]]="", 0, IF(Table1[[#This Row],[WICKETS TAKEN]] = 0, -25,
        Table1[[#This Row],[WICKETS TAKEN]] * 50)+Table1[[#This Row],[BONUS 2]])</f>
        <v>0</v>
      </c>
      <c r="Q17" s="1"/>
      <c r="R17" s="1"/>
      <c r="S17" s="1"/>
      <c r="T1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7" s="1">
        <f>IF(AND(Table1[[#This Row],[CATCHES TAKEN]]="",Table1[[#This Row],[RUNOUTS]]="",Table1[[#This Row],[STUMPINGS]]=""), 0, Table1[[#This Row],[BONUS 3]])</f>
        <v>0</v>
      </c>
      <c r="V17" s="1"/>
      <c r="W17" s="1">
        <f>SUM(Table1[[#This Row],[SUB TOTAL 1]],Table1[[#This Row],[SUB TOTAL 2]],Table1[[#This Row],[SUB TOTAL 3]],Table1[[#This Row],[POM BONUS]])</f>
        <v>0</v>
      </c>
      <c r="X17" s="1"/>
      <c r="Y17" s="1"/>
      <c r="Z17" s="1"/>
      <c r="AA17" s="1"/>
      <c r="AB17" s="1">
        <f>IFERROR(_xlfn.NUMBERVALUE(SUBSTITUTE(Table2[[#This Row],[RUNS SCORED]],"*",""))/Table2[[#This Row],[BALLS FACED]]*100,0)</f>
        <v>0</v>
      </c>
      <c r="AC1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7" s="1">
        <f>IF(Table2[[#This Row],[RUNS SCORED]]="", 0, VALUE(SUBSTITUTE(Table2[[#This Row],[RUNS SCORED]],"*","")) + Table2[[#This Row],[BONUS 1]])</f>
        <v>0</v>
      </c>
      <c r="AE17" s="1"/>
      <c r="AF17" s="1"/>
      <c r="AG17" s="1"/>
      <c r="AH17" s="1"/>
      <c r="AI17" s="1">
        <f>IFERROR(Table2[[#This Row],[RUNS GIVEN]]/Table2[[#This Row],[OVERS]],0)</f>
        <v>0</v>
      </c>
      <c r="AJ1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7" s="1">
        <f>IF(Table2[[#This Row],[WICKETS TAKEN]]="", 0, IF(Table2[[#This Row],[WICKETS TAKEN]] = 0, -25,
        Table2[[#This Row],[WICKETS TAKEN]] * 50)+Table2[[#This Row],[BONUS 2]])</f>
        <v>0</v>
      </c>
      <c r="AL17" s="1"/>
      <c r="AM17" s="1"/>
      <c r="AN17" s="1"/>
      <c r="AO1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7" s="1">
        <f>IF(AND(Table2[[#This Row],[CATCHES TAKEN]]="",Table2[[#This Row],[RUNOUTS]]="",Table2[[#This Row],[STUMPINGS]]=""), 0, Table2[[#This Row],[BONUS 3]])</f>
        <v>0</v>
      </c>
      <c r="AQ17" s="1"/>
      <c r="AR17" s="1">
        <f>SUM(Table2[[#This Row],[SUB TOTAL 1]],Table2[[#This Row],[SUB TOTAL 2]],Table2[[#This Row],[SUB TOTAL 3]],Table2[[#This Row],[POM BONUS]])</f>
        <v>0</v>
      </c>
      <c r="AS17" s="1"/>
      <c r="AT17" s="1"/>
      <c r="AU17" s="1"/>
      <c r="AV17" s="1"/>
      <c r="AW17" s="1">
        <f>IFERROR(_xlfn.NUMBERVALUE(SUBSTITUTE(Table3[[#This Row],[RUNS SCORED]],"*",""))/Table3[[#This Row],[BALLS FACED]]*100,0)</f>
        <v>0</v>
      </c>
      <c r="AX1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7" s="1">
        <f>IF(Table3[[#This Row],[RUNS SCORED]]="", 0, VALUE(SUBSTITUTE(Table3[[#This Row],[RUNS SCORED]],"*","")) + Table3[[#This Row],[BONUS 1]])</f>
        <v>0</v>
      </c>
      <c r="AZ17" s="1"/>
      <c r="BA17" s="1"/>
      <c r="BB17" s="1"/>
      <c r="BC17" s="1"/>
      <c r="BD17" s="1">
        <f>IFERROR(Table3[[#This Row],[RUNS GIVEN]]/Table3[[#This Row],[OVERS]],0)</f>
        <v>0</v>
      </c>
      <c r="BE1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7" s="1">
        <f>IF(Table3[[#This Row],[WICKETS TAKEN]]="", 0, IF(Table3[[#This Row],[WICKETS TAKEN]] = 0, -25,
        Table3[[#This Row],[WICKETS TAKEN]] * 50)+Table3[[#This Row],[BONUS 2]])</f>
        <v>0</v>
      </c>
      <c r="BG17" s="1">
        <v>2</v>
      </c>
      <c r="BH17" s="1"/>
      <c r="BI17" s="1"/>
      <c r="BJ1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BK17" s="1">
        <f>IF(AND(Table3[[#This Row],[CATCHES TAKEN]]="",Table3[[#This Row],[RUNOUTS]]="",Table3[[#This Row],[STUMPINGS]]=""), 0, Table3[[#This Row],[BONUS 3]])</f>
        <v>50</v>
      </c>
      <c r="BL17" s="1"/>
      <c r="BM17" s="1">
        <f>SUM(Table3[[#This Row],[SUB TOTAL 1]],Table3[[#This Row],[SUB TOTAL 2]],Table3[[#This Row],[SUB TOTAL 3]],Table3[[#This Row],[POM BONUS]])</f>
        <v>50</v>
      </c>
      <c r="BN17" s="1"/>
      <c r="BO17" s="1"/>
      <c r="BP17" s="1"/>
      <c r="BQ17" s="1"/>
      <c r="BR17" s="1">
        <f>IFERROR(_xlfn.NUMBERVALUE(SUBSTITUTE(Table4[[#This Row],[RUNS SCORED]],"*",""))/Table4[[#This Row],[BALLS FACED]]*100,0)</f>
        <v>0</v>
      </c>
      <c r="BS1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7" s="1">
        <f>IF(Table4[[#This Row],[RUNS SCORED]]="", 0, VALUE(SUBSTITUTE(Table4[[#This Row],[RUNS SCORED]],"*","")) + Table4[[#This Row],[BONUS 1]])</f>
        <v>0</v>
      </c>
      <c r="BU17" s="1"/>
      <c r="BV17" s="1"/>
      <c r="BW17" s="1"/>
      <c r="BX17" s="1"/>
      <c r="BY17" s="1">
        <f>IFERROR(Table4[[#This Row],[RUNS GIVEN]]/Table4[[#This Row],[OVERS]],0)</f>
        <v>0</v>
      </c>
      <c r="BZ1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7" s="1">
        <f>IF(Table4[[#This Row],[WICKETS TAKEN]]="", 0, IF(Table4[[#This Row],[WICKETS TAKEN]] = 0, -25,
        Table4[[#This Row],[WICKETS TAKEN]] * 50)+Table4[[#This Row],[BONUS 2]])</f>
        <v>0</v>
      </c>
      <c r="CB17" s="1"/>
      <c r="CC17" s="1"/>
      <c r="CD17" s="1"/>
      <c r="CE1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7" s="1">
        <f>IF(AND(Table4[[#This Row],[CATCHES TAKEN]]="",Table4[[#This Row],[RUNOUTS]]="",Table4[[#This Row],[STUMPINGS]]=""), 0, Table4[[#This Row],[BONUS 3]])</f>
        <v>0</v>
      </c>
      <c r="CG17" s="1"/>
      <c r="CH17" s="1">
        <f>SUM(Table4[[#This Row],[SUB TOTAL 1]],Table4[[#This Row],[SUB TOTAL 2]],Table4[[#This Row],[SUB TOTAL 3]],Table4[[#This Row],[POM BONUS]])</f>
        <v>0</v>
      </c>
      <c r="CI17" s="1"/>
      <c r="CJ17" s="1"/>
      <c r="CK17" s="1"/>
      <c r="CL17" s="1"/>
      <c r="CM17" s="1">
        <f>IFERROR(_xlfn.NUMBERVALUE(SUBSTITUTE(Table5[[#This Row],[RUNS SCORED]],"*",""))/Table5[[#This Row],[BALLS FACED]]*100,0)</f>
        <v>0</v>
      </c>
      <c r="CN1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7" s="1">
        <f>IF(Table5[[#This Row],[RUNS SCORED]]="", 0, VALUE(SUBSTITUTE(Table5[[#This Row],[RUNS SCORED]],"*","")) + Table5[[#This Row],[BONUS 1]])</f>
        <v>0</v>
      </c>
      <c r="CP17" s="1"/>
      <c r="CQ17" s="1"/>
      <c r="CR17" s="1"/>
      <c r="CS17" s="1"/>
      <c r="CT17" s="1">
        <f>IFERROR(Table5[[#This Row],[RUNS GIVEN]]/Table5[[#This Row],[OVERS]],0)</f>
        <v>0</v>
      </c>
      <c r="CU1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7" s="1">
        <f>IF(Table5[[#This Row],[WICKETS TAKEN]]="", 0, IF(Table5[[#This Row],[WICKETS TAKEN]] = 0, -25,
        Table5[[#This Row],[WICKETS TAKEN]] * 50)+Table5[[#This Row],[BONUS 2]])</f>
        <v>0</v>
      </c>
      <c r="CW17" s="1"/>
      <c r="CX17" s="1"/>
      <c r="CY17" s="1"/>
      <c r="CZ1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7" s="1">
        <f>IF(AND(Table5[[#This Row],[CATCHES TAKEN]]="",Table5[[#This Row],[RUNOUTS]]="",Table5[[#This Row],[STUMPINGS]]=""), 0, Table5[[#This Row],[BONUS 3]])</f>
        <v>0</v>
      </c>
      <c r="DB17" s="1"/>
      <c r="DC17" s="1">
        <f>SUM(Table5[[#This Row],[SUB TOTAL 1]],Table5[[#This Row],[SUB TOTAL 2]],Table5[[#This Row],[SUB TOTAL 3]],Table5[[#This Row],[POM BONUS]])</f>
        <v>0</v>
      </c>
      <c r="DD17" s="1"/>
      <c r="DE17" s="1"/>
      <c r="DF17" s="1"/>
      <c r="DG17" s="1"/>
      <c r="DH17" s="1">
        <f>IFERROR(_xlfn.NUMBERVALUE(SUBSTITUTE(Table6[[#This Row],[RUNS SCORED]],"*",""))/Table6[[#This Row],[BALLS FACED]]*100,0)</f>
        <v>0</v>
      </c>
      <c r="DI1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7" s="1">
        <f>IF(Table6[[#This Row],[RUNS SCORED]]="", 0, VALUE(SUBSTITUTE(Table6[[#This Row],[RUNS SCORED]],"*","")) + Table6[[#This Row],[BONUS 1]])</f>
        <v>0</v>
      </c>
      <c r="DK17" s="1"/>
      <c r="DL17" s="1"/>
      <c r="DM17" s="1"/>
      <c r="DN17" s="1"/>
      <c r="DO17" s="1">
        <f>IFERROR(Table6[[#This Row],[RUNS GIVEN]]/Table6[[#This Row],[OVERS]],0)</f>
        <v>0</v>
      </c>
      <c r="DP1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7" s="1">
        <f>IF(Table6[[#This Row],[WICKETS TAKEN]]="", 0, IF(Table6[[#This Row],[WICKETS TAKEN]] = 0, -25,
        Table6[[#This Row],[WICKETS TAKEN]] * 50)+Table6[[#This Row],[BONUS 2]])</f>
        <v>0</v>
      </c>
      <c r="DR17" s="1"/>
      <c r="DS17" s="1"/>
      <c r="DT17" s="1"/>
      <c r="DU1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7" s="1">
        <f>IF(AND(Table6[[#This Row],[CATCHES TAKEN]]="",Table6[[#This Row],[RUNOUTS]]="",Table6[[#This Row],[STUMPINGS]]=""), 0, Table6[[#This Row],[BONUS 3]])</f>
        <v>0</v>
      </c>
      <c r="DW17" s="1"/>
      <c r="DX17" s="1">
        <f>SUM(Table6[[#This Row],[SUB TOTAL 1]],Table6[[#This Row],[SUB TOTAL 2]],Table6[[#This Row],[SUB TOTAL 3]],Table6[[#This Row],[POM BONUS]])</f>
        <v>0</v>
      </c>
      <c r="DY17" s="1"/>
      <c r="DZ17" s="1"/>
      <c r="EA17" s="1"/>
      <c r="EB17" s="1"/>
      <c r="EC17" s="1">
        <f>IFERROR(_xlfn.NUMBERVALUE(SUBSTITUTE(Table7[[#This Row],[RUNS SCORED]],"*",""))/Table7[[#This Row],[BALLS FACED]]*100,0)</f>
        <v>0</v>
      </c>
      <c r="ED1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7" s="1">
        <f>IF(Table7[[#This Row],[RUNS SCORED]]="", 0, VALUE(SUBSTITUTE(Table7[[#This Row],[RUNS SCORED]],"*","")) + Table7[[#This Row],[BONUS 1]])</f>
        <v>0</v>
      </c>
      <c r="EF17" s="1"/>
      <c r="EG17" s="1"/>
      <c r="EH17" s="1"/>
      <c r="EI17" s="1"/>
      <c r="EJ17" s="1">
        <f>IFERROR(Table7[[#This Row],[RUNS GIVEN]]/Table7[[#This Row],[OVERS]],0)</f>
        <v>0</v>
      </c>
      <c r="EK1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7" s="1">
        <f>IF(Table7[[#This Row],[WICKETS TAKEN]]="", 0, IF(Table7[[#This Row],[WICKETS TAKEN]] = 0, -25,
        Table7[[#This Row],[WICKETS TAKEN]] * 50)+Table7[[#This Row],[BONUS 2]])</f>
        <v>0</v>
      </c>
      <c r="EM17" s="1"/>
      <c r="EN17" s="1"/>
      <c r="EO17" s="1"/>
      <c r="EP1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7" s="1">
        <f>IF(AND(Table7[[#This Row],[CATCHES TAKEN]]="",Table7[[#This Row],[RUNOUTS]]="",Table7[[#This Row],[STUMPINGS]]=""), 0, Table7[[#This Row],[BONUS 3]])</f>
        <v>0</v>
      </c>
      <c r="ER17" s="1"/>
      <c r="ES17" s="1">
        <f>SUM(Table7[[#This Row],[SUB TOTAL 1]],Table7[[#This Row],[SUB TOTAL 2]],Table7[[#This Row],[SUB TOTAL 3]],Table7[[#This Row],[POM BONUS]])</f>
        <v>0</v>
      </c>
    </row>
    <row r="18" spans="1:149" x14ac:dyDescent="0.3">
      <c r="A18" t="s">
        <v>73</v>
      </c>
      <c r="B18" s="1">
        <f>SUM(Table1[[#This Row],[GRAND TOTAL]],Table2[[#This Row],[GRAND TOTAL]],Table3[[#This Row],[GRAND TOTAL]],Table4[[#This Row],[GRAND TOTAL]],Table5[[#This Row],[GRAND TOTAL]],Table6[[#This Row],[GRAND TOTAL]],Table7[[#This Row],[GRAND TOTAL]])</f>
        <v>105</v>
      </c>
      <c r="C18" s="1">
        <v>0</v>
      </c>
      <c r="D18" s="1">
        <v>1</v>
      </c>
      <c r="E18" s="1">
        <v>0</v>
      </c>
      <c r="F18" s="1">
        <v>0</v>
      </c>
      <c r="G18" s="1">
        <f>IFERROR(_xlfn.NUMBERVALUE(SUBSTITUTE(Table1[[#This Row],[RUNS SCORED]],"*",""))/Table1[[#This Row],[BALLS FACED]]*100,0)</f>
        <v>0</v>
      </c>
      <c r="H1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I18" s="1">
        <f>IF(Table1[[#This Row],[RUNS SCORED]]="", 0, VALUE(SUBSTITUTE(Table1[[#This Row],[RUNS SCORED]],"*","")) + Table1[[#This Row],[BONUS 1]])</f>
        <v>-25</v>
      </c>
      <c r="J18" s="1"/>
      <c r="K18" s="1"/>
      <c r="L18" s="1"/>
      <c r="M18" s="1"/>
      <c r="N18" s="1">
        <f>IFERROR(Table1[[#This Row],[RUNS GIVEN]]/Table1[[#This Row],[OVERS]],0)</f>
        <v>0</v>
      </c>
      <c r="O1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8" s="1">
        <f>IF(Table1[[#This Row],[WICKETS TAKEN]]="", 0, IF(Table1[[#This Row],[WICKETS TAKEN]] = 0, -25,
        Table1[[#This Row],[WICKETS TAKEN]] * 50)+Table1[[#This Row],[BONUS 2]])</f>
        <v>0</v>
      </c>
      <c r="Q18" s="1">
        <v>1</v>
      </c>
      <c r="R18" s="1"/>
      <c r="S18" s="1"/>
      <c r="T1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8" s="1">
        <f>IF(AND(Table1[[#This Row],[CATCHES TAKEN]]="",Table1[[#This Row],[RUNOUTS]]="",Table1[[#This Row],[STUMPINGS]]=""), 0, Table1[[#This Row],[BONUS 3]])</f>
        <v>25</v>
      </c>
      <c r="V18" s="1"/>
      <c r="W18" s="1">
        <f>SUM(Table1[[#This Row],[SUB TOTAL 1]],Table1[[#This Row],[SUB TOTAL 2]],Table1[[#This Row],[SUB TOTAL 3]],Table1[[#This Row],[POM BONUS]])</f>
        <v>0</v>
      </c>
      <c r="X18" s="1">
        <v>3</v>
      </c>
      <c r="Y18" s="1">
        <v>12</v>
      </c>
      <c r="Z18" s="1">
        <v>0</v>
      </c>
      <c r="AA18" s="1">
        <v>0</v>
      </c>
      <c r="AB18" s="1">
        <f>IFERROR(_xlfn.NUMBERVALUE(SUBSTITUTE(Table2[[#This Row],[RUNS SCORED]],"*",""))/Table2[[#This Row],[BALLS FACED]]*100,0)</f>
        <v>25</v>
      </c>
      <c r="AC1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8" s="1">
        <f>IF(Table2[[#This Row],[RUNS SCORED]]="", 0, VALUE(SUBSTITUTE(Table2[[#This Row],[RUNS SCORED]],"*","")) + Table2[[#This Row],[BONUS 1]])</f>
        <v>-7</v>
      </c>
      <c r="AE18" s="1"/>
      <c r="AF18" s="1"/>
      <c r="AG18" s="1"/>
      <c r="AH18" s="1"/>
      <c r="AI18" s="1">
        <f>IFERROR(Table2[[#This Row],[RUNS GIVEN]]/Table2[[#This Row],[OVERS]],0)</f>
        <v>0</v>
      </c>
      <c r="AJ1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8" s="1">
        <f>IF(Table2[[#This Row],[WICKETS TAKEN]]="", 0, IF(Table2[[#This Row],[WICKETS TAKEN]] = 0, -25,
        Table2[[#This Row],[WICKETS TAKEN]] * 50)+Table2[[#This Row],[BONUS 2]])</f>
        <v>0</v>
      </c>
      <c r="AL18" s="1"/>
      <c r="AM18" s="1"/>
      <c r="AN18" s="1"/>
      <c r="AO1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8" s="1">
        <f>IF(AND(Table2[[#This Row],[CATCHES TAKEN]]="",Table2[[#This Row],[RUNOUTS]]="",Table2[[#This Row],[STUMPINGS]]=""), 0, Table2[[#This Row],[BONUS 3]])</f>
        <v>0</v>
      </c>
      <c r="AQ18" s="1"/>
      <c r="AR18" s="1">
        <f>SUM(Table2[[#This Row],[SUB TOTAL 1]],Table2[[#This Row],[SUB TOTAL 2]],Table2[[#This Row],[SUB TOTAL 3]],Table2[[#This Row],[POM BONUS]])</f>
        <v>-7</v>
      </c>
      <c r="AS18" s="1">
        <v>20</v>
      </c>
      <c r="AT18" s="1">
        <v>27</v>
      </c>
      <c r="AU18" s="1">
        <v>2</v>
      </c>
      <c r="AV18" s="1">
        <v>0</v>
      </c>
      <c r="AW18" s="1">
        <f>IFERROR(_xlfn.NUMBERVALUE(SUBSTITUTE(Table3[[#This Row],[RUNS SCORED]],"*",""))/Table3[[#This Row],[BALLS FACED]]*100,0)</f>
        <v>74.074074074074076</v>
      </c>
      <c r="AX1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8" s="1">
        <f>IF(Table3[[#This Row],[RUNS SCORED]]="", 0, VALUE(SUBSTITUTE(Table3[[#This Row],[RUNS SCORED]],"*","")) + Table3[[#This Row],[BONUS 1]])</f>
        <v>20</v>
      </c>
      <c r="AZ18" s="1">
        <v>1</v>
      </c>
      <c r="BA18" s="1">
        <v>0</v>
      </c>
      <c r="BB18" s="1">
        <v>9</v>
      </c>
      <c r="BC18" s="1">
        <v>1</v>
      </c>
      <c r="BD18" s="1">
        <f>IFERROR(Table3[[#This Row],[RUNS GIVEN]]/Table3[[#This Row],[OVERS]],0)</f>
        <v>9</v>
      </c>
      <c r="BE1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8" s="1">
        <f>IF(Table3[[#This Row],[WICKETS TAKEN]]="", 0, IF(Table3[[#This Row],[WICKETS TAKEN]] = 0, -25,
        Table3[[#This Row],[WICKETS TAKEN]] * 50)+Table3[[#This Row],[BONUS 2]])</f>
        <v>50</v>
      </c>
      <c r="BG18" s="1"/>
      <c r="BH18" s="1"/>
      <c r="BI18" s="1"/>
      <c r="BJ1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8" s="1">
        <f>IF(AND(Table3[[#This Row],[CATCHES TAKEN]]="",Table3[[#This Row],[RUNOUTS]]="",Table3[[#This Row],[STUMPINGS]]=""), 0, Table3[[#This Row],[BONUS 3]])</f>
        <v>0</v>
      </c>
      <c r="BL18" s="1"/>
      <c r="BM18" s="1">
        <f>SUM(Table3[[#This Row],[SUB TOTAL 1]],Table3[[#This Row],[SUB TOTAL 2]],Table3[[#This Row],[SUB TOTAL 3]],Table3[[#This Row],[POM BONUS]])</f>
        <v>70</v>
      </c>
      <c r="BN18" s="1" t="s">
        <v>313</v>
      </c>
      <c r="BO18" s="1">
        <v>13</v>
      </c>
      <c r="BP18" s="1">
        <v>0</v>
      </c>
      <c r="BQ18" s="1">
        <v>1</v>
      </c>
      <c r="BR18" s="1">
        <f>IFERROR(_xlfn.NUMBERVALUE(SUBSTITUTE(Table4[[#This Row],[RUNS SCORED]],"*",""))/Table4[[#This Row],[BALLS FACED]]*100,0)</f>
        <v>130.76923076923077</v>
      </c>
      <c r="BS1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BT18" s="1">
        <f>IF(Table4[[#This Row],[RUNS SCORED]]="", 0, VALUE(SUBSTITUTE(Table4[[#This Row],[RUNS SCORED]],"*","")) + Table4[[#This Row],[BONUS 1]])</f>
        <v>42</v>
      </c>
      <c r="BU18" s="1"/>
      <c r="BV18" s="1"/>
      <c r="BW18" s="1"/>
      <c r="BX18" s="1"/>
      <c r="BY18" s="1">
        <f>IFERROR(Table4[[#This Row],[RUNS GIVEN]]/Table4[[#This Row],[OVERS]],0)</f>
        <v>0</v>
      </c>
      <c r="BZ1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8" s="1">
        <f>IF(Table4[[#This Row],[WICKETS TAKEN]]="", 0, IF(Table4[[#This Row],[WICKETS TAKEN]] = 0, -25,
        Table4[[#This Row],[WICKETS TAKEN]] * 50)+Table4[[#This Row],[BONUS 2]])</f>
        <v>0</v>
      </c>
      <c r="CB18" s="1"/>
      <c r="CC18" s="1"/>
      <c r="CD18" s="1"/>
      <c r="CE1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8" s="1">
        <f>IF(AND(Table4[[#This Row],[CATCHES TAKEN]]="",Table4[[#This Row],[RUNOUTS]]="",Table4[[#This Row],[STUMPINGS]]=""), 0, Table4[[#This Row],[BONUS 3]])</f>
        <v>0</v>
      </c>
      <c r="CG18" s="1"/>
      <c r="CH18" s="1">
        <f>SUM(Table4[[#This Row],[SUB TOTAL 1]],Table4[[#This Row],[SUB TOTAL 2]],Table4[[#This Row],[SUB TOTAL 3]],Table4[[#This Row],[POM BONUS]])</f>
        <v>42</v>
      </c>
      <c r="CI18" s="1"/>
      <c r="CJ18" s="1"/>
      <c r="CK18" s="1"/>
      <c r="CL18" s="1"/>
      <c r="CM18" s="1">
        <f>IFERROR(_xlfn.NUMBERVALUE(SUBSTITUTE(Table5[[#This Row],[RUNS SCORED]],"*",""))/Table5[[#This Row],[BALLS FACED]]*100,0)</f>
        <v>0</v>
      </c>
      <c r="CN1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8" s="1">
        <f>IF(Table5[[#This Row],[RUNS SCORED]]="", 0, VALUE(SUBSTITUTE(Table5[[#This Row],[RUNS SCORED]],"*","")) + Table5[[#This Row],[BONUS 1]])</f>
        <v>0</v>
      </c>
      <c r="CP18" s="1"/>
      <c r="CQ18" s="1"/>
      <c r="CR18" s="1"/>
      <c r="CS18" s="1"/>
      <c r="CT18" s="1">
        <f>IFERROR(Table5[[#This Row],[RUNS GIVEN]]/Table5[[#This Row],[OVERS]],0)</f>
        <v>0</v>
      </c>
      <c r="CU1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8" s="1">
        <f>IF(Table5[[#This Row],[WICKETS TAKEN]]="", 0, IF(Table5[[#This Row],[WICKETS TAKEN]] = 0, -25,
        Table5[[#This Row],[WICKETS TAKEN]] * 50)+Table5[[#This Row],[BONUS 2]])</f>
        <v>0</v>
      </c>
      <c r="CW18" s="1"/>
      <c r="CX18" s="1"/>
      <c r="CY18" s="1"/>
      <c r="CZ1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8" s="1">
        <f>IF(AND(Table5[[#This Row],[CATCHES TAKEN]]="",Table5[[#This Row],[RUNOUTS]]="",Table5[[#This Row],[STUMPINGS]]=""), 0, Table5[[#This Row],[BONUS 3]])</f>
        <v>0</v>
      </c>
      <c r="DB18" s="1"/>
      <c r="DC18" s="1">
        <f>SUM(Table5[[#This Row],[SUB TOTAL 1]],Table5[[#This Row],[SUB TOTAL 2]],Table5[[#This Row],[SUB TOTAL 3]],Table5[[#This Row],[POM BONUS]])</f>
        <v>0</v>
      </c>
      <c r="DD18" s="1"/>
      <c r="DE18" s="1"/>
      <c r="DF18" s="1"/>
      <c r="DG18" s="1"/>
      <c r="DH18" s="1">
        <f>IFERROR(_xlfn.NUMBERVALUE(SUBSTITUTE(Table6[[#This Row],[RUNS SCORED]],"*",""))/Table6[[#This Row],[BALLS FACED]]*100,0)</f>
        <v>0</v>
      </c>
      <c r="DI1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8" s="1">
        <f>IF(Table6[[#This Row],[RUNS SCORED]]="", 0, VALUE(SUBSTITUTE(Table6[[#This Row],[RUNS SCORED]],"*","")) + Table6[[#This Row],[BONUS 1]])</f>
        <v>0</v>
      </c>
      <c r="DK18" s="1"/>
      <c r="DL18" s="1"/>
      <c r="DM18" s="1"/>
      <c r="DN18" s="1"/>
      <c r="DO18" s="1">
        <f>IFERROR(Table6[[#This Row],[RUNS GIVEN]]/Table6[[#This Row],[OVERS]],0)</f>
        <v>0</v>
      </c>
      <c r="DP1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8" s="1">
        <f>IF(Table6[[#This Row],[WICKETS TAKEN]]="", 0, IF(Table6[[#This Row],[WICKETS TAKEN]] = 0, -25,
        Table6[[#This Row],[WICKETS TAKEN]] * 50)+Table6[[#This Row],[BONUS 2]])</f>
        <v>0</v>
      </c>
      <c r="DR18" s="1"/>
      <c r="DS18" s="1"/>
      <c r="DT18" s="1"/>
      <c r="DU1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8" s="1">
        <f>IF(AND(Table6[[#This Row],[CATCHES TAKEN]]="",Table6[[#This Row],[RUNOUTS]]="",Table6[[#This Row],[STUMPINGS]]=""), 0, Table6[[#This Row],[BONUS 3]])</f>
        <v>0</v>
      </c>
      <c r="DW18" s="1"/>
      <c r="DX18" s="1">
        <f>SUM(Table6[[#This Row],[SUB TOTAL 1]],Table6[[#This Row],[SUB TOTAL 2]],Table6[[#This Row],[SUB TOTAL 3]],Table6[[#This Row],[POM BONUS]])</f>
        <v>0</v>
      </c>
      <c r="DY18" s="1"/>
      <c r="DZ18" s="1"/>
      <c r="EA18" s="1"/>
      <c r="EB18" s="1"/>
      <c r="EC18" s="1">
        <f>IFERROR(_xlfn.NUMBERVALUE(SUBSTITUTE(Table7[[#This Row],[RUNS SCORED]],"*",""))/Table7[[#This Row],[BALLS FACED]]*100,0)</f>
        <v>0</v>
      </c>
      <c r="ED1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8" s="1">
        <f>IF(Table7[[#This Row],[RUNS SCORED]]="", 0, VALUE(SUBSTITUTE(Table7[[#This Row],[RUNS SCORED]],"*","")) + Table7[[#This Row],[BONUS 1]])</f>
        <v>0</v>
      </c>
      <c r="EF18" s="1"/>
      <c r="EG18" s="1"/>
      <c r="EH18" s="1"/>
      <c r="EI18" s="1"/>
      <c r="EJ18" s="1">
        <f>IFERROR(Table7[[#This Row],[RUNS GIVEN]]/Table7[[#This Row],[OVERS]],0)</f>
        <v>0</v>
      </c>
      <c r="EK1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8" s="1">
        <f>IF(Table7[[#This Row],[WICKETS TAKEN]]="", 0, IF(Table7[[#This Row],[WICKETS TAKEN]] = 0, -25,
        Table7[[#This Row],[WICKETS TAKEN]] * 50)+Table7[[#This Row],[BONUS 2]])</f>
        <v>0</v>
      </c>
      <c r="EM18" s="1"/>
      <c r="EN18" s="1"/>
      <c r="EO18" s="1"/>
      <c r="EP1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8" s="1">
        <f>IF(AND(Table7[[#This Row],[CATCHES TAKEN]]="",Table7[[#This Row],[RUNOUTS]]="",Table7[[#This Row],[STUMPINGS]]=""), 0, Table7[[#This Row],[BONUS 3]])</f>
        <v>0</v>
      </c>
      <c r="ER18" s="1"/>
      <c r="ES18" s="1">
        <f>SUM(Table7[[#This Row],[SUB TOTAL 1]],Table7[[#This Row],[SUB TOTAL 2]],Table7[[#This Row],[SUB TOTAL 3]],Table7[[#This Row],[POM BONUS]])</f>
        <v>0</v>
      </c>
    </row>
    <row r="19" spans="1:149" x14ac:dyDescent="0.3">
      <c r="A19" t="s">
        <v>67</v>
      </c>
      <c r="B19" s="1">
        <f>SUM(Table1[[#This Row],[GRAND TOTAL]],Table2[[#This Row],[GRAND TOTAL]],Table3[[#This Row],[GRAND TOTAL]],Table4[[#This Row],[GRAND TOTAL]],Table5[[#This Row],[GRAND TOTAL]],Table6[[#This Row],[GRAND TOTAL]],Table7[[#This Row],[GRAND TOTAL]])</f>
        <v>754</v>
      </c>
      <c r="C19" s="1" t="s">
        <v>295</v>
      </c>
      <c r="D19" s="1">
        <v>1</v>
      </c>
      <c r="E19" s="1">
        <v>0</v>
      </c>
      <c r="F19" s="1">
        <v>0</v>
      </c>
      <c r="G19" s="1">
        <f>IFERROR(_xlfn.NUMBERVALUE(SUBSTITUTE(Table1[[#This Row],[RUNS SCORED]],"*",""))/Table1[[#This Row],[BALLS FACED]]*100,0)</f>
        <v>200</v>
      </c>
      <c r="H1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19" s="1">
        <f>IF(Table1[[#This Row],[RUNS SCORED]]="", 0, VALUE(SUBSTITUTE(Table1[[#This Row],[RUNS SCORED]],"*","")) + Table1[[#This Row],[BONUS 1]])</f>
        <v>17</v>
      </c>
      <c r="J19" s="1">
        <v>4</v>
      </c>
      <c r="K19" s="1">
        <v>0</v>
      </c>
      <c r="L19" s="1">
        <v>20</v>
      </c>
      <c r="M19" s="1">
        <v>1</v>
      </c>
      <c r="N19" s="1">
        <f>IFERROR(Table1[[#This Row],[RUNS GIVEN]]/Table1[[#This Row],[OVERS]],0)</f>
        <v>5</v>
      </c>
      <c r="O1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9" s="1">
        <f>IF(Table1[[#This Row],[WICKETS TAKEN]]="", 0, IF(Table1[[#This Row],[WICKETS TAKEN]] = 0, -25,
        Table1[[#This Row],[WICKETS TAKEN]] * 50)+Table1[[#This Row],[BONUS 2]])</f>
        <v>150</v>
      </c>
      <c r="Q19" s="1">
        <v>1</v>
      </c>
      <c r="R19" s="1">
        <v>1</v>
      </c>
      <c r="S19" s="1"/>
      <c r="T1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U19" s="1">
        <f>IF(AND(Table1[[#This Row],[CATCHES TAKEN]]="",Table1[[#This Row],[RUNOUTS]]="",Table1[[#This Row],[STUMPINGS]]=""), 0, Table1[[#This Row],[BONUS 3]])</f>
        <v>75</v>
      </c>
      <c r="V19" s="1"/>
      <c r="W19" s="1">
        <f>SUM(Table1[[#This Row],[SUB TOTAL 1]],Table1[[#This Row],[SUB TOTAL 2]],Table1[[#This Row],[SUB TOTAL 3]],Table1[[#This Row],[POM BONUS]])</f>
        <v>242</v>
      </c>
      <c r="X19" s="1" t="s">
        <v>297</v>
      </c>
      <c r="Y19" s="1">
        <v>16</v>
      </c>
      <c r="Z19" s="1">
        <v>0</v>
      </c>
      <c r="AA19" s="1">
        <v>0</v>
      </c>
      <c r="AB19" s="1">
        <f>IFERROR(_xlfn.NUMBERVALUE(SUBSTITUTE(Table2[[#This Row],[RUNS SCORED]],"*",""))/Table2[[#This Row],[BALLS FACED]]*100,0)</f>
        <v>206.25</v>
      </c>
      <c r="AC1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D19" s="1">
        <f>IF(Table2[[#This Row],[RUNS SCORED]]="", 0, VALUE(SUBSTITUTE(Table2[[#This Row],[RUNS SCORED]],"*","")) + Table2[[#This Row],[BONUS 1]])</f>
        <v>208</v>
      </c>
      <c r="AE19" s="1">
        <v>2</v>
      </c>
      <c r="AF19" s="1">
        <v>0</v>
      </c>
      <c r="AG19" s="1">
        <v>23</v>
      </c>
      <c r="AH19" s="1">
        <v>0</v>
      </c>
      <c r="AI19" s="1">
        <f>IFERROR(Table2[[#This Row],[RUNS GIVEN]]/Table2[[#This Row],[OVERS]],0)</f>
        <v>11.5</v>
      </c>
      <c r="AJ1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9" s="1">
        <f>IF(Table2[[#This Row],[WICKETS TAKEN]]="", 0, IF(Table2[[#This Row],[WICKETS TAKEN]] = 0, -25,
        Table2[[#This Row],[WICKETS TAKEN]] * 50)+Table2[[#This Row],[BONUS 2]])</f>
        <v>-50</v>
      </c>
      <c r="AL19" s="1"/>
      <c r="AM19" s="1"/>
      <c r="AN19" s="1"/>
      <c r="AO1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9" s="1">
        <f>IF(AND(Table2[[#This Row],[CATCHES TAKEN]]="",Table2[[#This Row],[RUNOUTS]]="",Table2[[#This Row],[STUMPINGS]]=""), 0, Table2[[#This Row],[BONUS 3]])</f>
        <v>0</v>
      </c>
      <c r="AQ19" s="1"/>
      <c r="AR19" s="1">
        <f>SUM(Table2[[#This Row],[SUB TOTAL 1]],Table2[[#This Row],[SUB TOTAL 2]],Table2[[#This Row],[SUB TOTAL 3]],Table2[[#This Row],[POM BONUS]])</f>
        <v>158</v>
      </c>
      <c r="AS19" s="1" t="s">
        <v>310</v>
      </c>
      <c r="AT19" s="1">
        <v>14</v>
      </c>
      <c r="AU19" s="1">
        <v>3</v>
      </c>
      <c r="AV19" s="1">
        <v>2</v>
      </c>
      <c r="AW19" s="1">
        <f>IFERROR(_xlfn.NUMBERVALUE(SUBSTITUTE(Table3[[#This Row],[RUNS SCORED]],"*",""))/Table3[[#This Row],[BALLS FACED]]*100,0)</f>
        <v>207.14285714285717</v>
      </c>
      <c r="AX1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Y19" s="1">
        <f>IF(Table3[[#This Row],[RUNS SCORED]]="", 0, VALUE(SUBSTITUTE(Table3[[#This Row],[RUNS SCORED]],"*","")) + Table3[[#This Row],[BONUS 1]])</f>
        <v>204</v>
      </c>
      <c r="AZ19" s="1">
        <v>3</v>
      </c>
      <c r="BA19" s="1">
        <v>0</v>
      </c>
      <c r="BB19" s="1">
        <v>16</v>
      </c>
      <c r="BC19" s="1">
        <v>2</v>
      </c>
      <c r="BD19" s="1">
        <f>IFERROR(Table3[[#This Row],[RUNS GIVEN]]/Table3[[#This Row],[OVERS]],0)</f>
        <v>5.333333333333333</v>
      </c>
      <c r="BE1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9" s="1">
        <f>IF(Table3[[#This Row],[WICKETS TAKEN]]="", 0, IF(Table3[[#This Row],[WICKETS TAKEN]] = 0, -25,
        Table3[[#This Row],[WICKETS TAKEN]] * 50)+Table3[[#This Row],[BONUS 2]])</f>
        <v>100</v>
      </c>
      <c r="BG19" s="1"/>
      <c r="BH19" s="1"/>
      <c r="BI19" s="1"/>
      <c r="BJ1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9" s="1">
        <f>IF(AND(Table3[[#This Row],[CATCHES TAKEN]]="",Table3[[#This Row],[RUNOUTS]]="",Table3[[#This Row],[STUMPINGS]]=""), 0, Table3[[#This Row],[BONUS 3]])</f>
        <v>0</v>
      </c>
      <c r="BL19" s="1">
        <v>100</v>
      </c>
      <c r="BM19" s="1">
        <f>SUM(Table3[[#This Row],[SUB TOTAL 1]],Table3[[#This Row],[SUB TOTAL 2]],Table3[[#This Row],[SUB TOTAL 3]],Table3[[#This Row],[POM BONUS]])</f>
        <v>404</v>
      </c>
      <c r="BN19" s="1"/>
      <c r="BO19" s="1"/>
      <c r="BP19" s="1"/>
      <c r="BQ19" s="1"/>
      <c r="BR19" s="1">
        <f>IFERROR(_xlfn.NUMBERVALUE(SUBSTITUTE(Table4[[#This Row],[RUNS SCORED]],"*",""))/Table4[[#This Row],[BALLS FACED]]*100,0)</f>
        <v>0</v>
      </c>
      <c r="BS1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9" s="1">
        <f>IF(Table4[[#This Row],[RUNS SCORED]]="", 0, VALUE(SUBSTITUTE(Table4[[#This Row],[RUNS SCORED]],"*","")) + Table4[[#This Row],[BONUS 1]])</f>
        <v>0</v>
      </c>
      <c r="BU19" s="1">
        <v>3.5</v>
      </c>
      <c r="BV19" s="1">
        <v>0</v>
      </c>
      <c r="BW19" s="1">
        <v>40</v>
      </c>
      <c r="BX19" s="1">
        <v>0</v>
      </c>
      <c r="BY19" s="1">
        <f>IFERROR(Table4[[#This Row],[RUNS GIVEN]]/Table4[[#This Row],[OVERS]],0)</f>
        <v>11.428571428571429</v>
      </c>
      <c r="BZ1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CA19" s="1">
        <f>IF(Table4[[#This Row],[WICKETS TAKEN]]="", 0, IF(Table4[[#This Row],[WICKETS TAKEN]] = 0, -25,
        Table4[[#This Row],[WICKETS TAKEN]] * 50)+Table4[[#This Row],[BONUS 2]])</f>
        <v>-50</v>
      </c>
      <c r="CB19" s="1"/>
      <c r="CC19" s="1"/>
      <c r="CD19" s="1"/>
      <c r="CE1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9" s="1">
        <f>IF(AND(Table4[[#This Row],[CATCHES TAKEN]]="",Table4[[#This Row],[RUNOUTS]]="",Table4[[#This Row],[STUMPINGS]]=""), 0, Table4[[#This Row],[BONUS 3]])</f>
        <v>0</v>
      </c>
      <c r="CG19" s="1"/>
      <c r="CH19" s="1">
        <f>SUM(Table4[[#This Row],[SUB TOTAL 1]],Table4[[#This Row],[SUB TOTAL 2]],Table4[[#This Row],[SUB TOTAL 3]],Table4[[#This Row],[POM BONUS]])</f>
        <v>-50</v>
      </c>
      <c r="CI19" s="1"/>
      <c r="CJ19" s="1"/>
      <c r="CK19" s="1"/>
      <c r="CL19" s="1"/>
      <c r="CM19" s="1">
        <f>IFERROR(_xlfn.NUMBERVALUE(SUBSTITUTE(Table5[[#This Row],[RUNS SCORED]],"*",""))/Table5[[#This Row],[BALLS FACED]]*100,0)</f>
        <v>0</v>
      </c>
      <c r="CN1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9" s="1">
        <f>IF(Table5[[#This Row],[RUNS SCORED]]="", 0, VALUE(SUBSTITUTE(Table5[[#This Row],[RUNS SCORED]],"*","")) + Table5[[#This Row],[BONUS 1]])</f>
        <v>0</v>
      </c>
      <c r="CP19" s="1"/>
      <c r="CQ19" s="1"/>
      <c r="CR19" s="1"/>
      <c r="CS19" s="1"/>
      <c r="CT19" s="1">
        <f>IFERROR(Table5[[#This Row],[RUNS GIVEN]]/Table5[[#This Row],[OVERS]],0)</f>
        <v>0</v>
      </c>
      <c r="CU1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9" s="1">
        <f>IF(Table5[[#This Row],[WICKETS TAKEN]]="", 0, IF(Table5[[#This Row],[WICKETS TAKEN]] = 0, -25,
        Table5[[#This Row],[WICKETS TAKEN]] * 50)+Table5[[#This Row],[BONUS 2]])</f>
        <v>0</v>
      </c>
      <c r="CW19" s="1"/>
      <c r="CX19" s="1"/>
      <c r="CY19" s="1"/>
      <c r="CZ1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9" s="1">
        <f>IF(AND(Table5[[#This Row],[CATCHES TAKEN]]="",Table5[[#This Row],[RUNOUTS]]="",Table5[[#This Row],[STUMPINGS]]=""), 0, Table5[[#This Row],[BONUS 3]])</f>
        <v>0</v>
      </c>
      <c r="DB19" s="1"/>
      <c r="DC19" s="1">
        <f>SUM(Table5[[#This Row],[SUB TOTAL 1]],Table5[[#This Row],[SUB TOTAL 2]],Table5[[#This Row],[SUB TOTAL 3]],Table5[[#This Row],[POM BONUS]])</f>
        <v>0</v>
      </c>
      <c r="DD19" s="1"/>
      <c r="DE19" s="1"/>
      <c r="DF19" s="1"/>
      <c r="DG19" s="1"/>
      <c r="DH19" s="1">
        <f>IFERROR(_xlfn.NUMBERVALUE(SUBSTITUTE(Table6[[#This Row],[RUNS SCORED]],"*",""))/Table6[[#This Row],[BALLS FACED]]*100,0)</f>
        <v>0</v>
      </c>
      <c r="DI1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9" s="1">
        <f>IF(Table6[[#This Row],[RUNS SCORED]]="", 0, VALUE(SUBSTITUTE(Table6[[#This Row],[RUNS SCORED]],"*","")) + Table6[[#This Row],[BONUS 1]])</f>
        <v>0</v>
      </c>
      <c r="DK19" s="1"/>
      <c r="DL19" s="1"/>
      <c r="DM19" s="1"/>
      <c r="DN19" s="1"/>
      <c r="DO19" s="1">
        <f>IFERROR(Table6[[#This Row],[RUNS GIVEN]]/Table6[[#This Row],[OVERS]],0)</f>
        <v>0</v>
      </c>
      <c r="DP1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9" s="1">
        <f>IF(Table6[[#This Row],[WICKETS TAKEN]]="", 0, IF(Table6[[#This Row],[WICKETS TAKEN]] = 0, -25,
        Table6[[#This Row],[WICKETS TAKEN]] * 50)+Table6[[#This Row],[BONUS 2]])</f>
        <v>0</v>
      </c>
      <c r="DR19" s="1"/>
      <c r="DS19" s="1"/>
      <c r="DT19" s="1"/>
      <c r="DU1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9" s="1">
        <f>IF(AND(Table6[[#This Row],[CATCHES TAKEN]]="",Table6[[#This Row],[RUNOUTS]]="",Table6[[#This Row],[STUMPINGS]]=""), 0, Table6[[#This Row],[BONUS 3]])</f>
        <v>0</v>
      </c>
      <c r="DW19" s="1"/>
      <c r="DX19" s="1">
        <f>SUM(Table6[[#This Row],[SUB TOTAL 1]],Table6[[#This Row],[SUB TOTAL 2]],Table6[[#This Row],[SUB TOTAL 3]],Table6[[#This Row],[POM BONUS]])</f>
        <v>0</v>
      </c>
      <c r="DY19" s="1"/>
      <c r="DZ19" s="1"/>
      <c r="EA19" s="1"/>
      <c r="EB19" s="1"/>
      <c r="EC19" s="1">
        <f>IFERROR(_xlfn.NUMBERVALUE(SUBSTITUTE(Table7[[#This Row],[RUNS SCORED]],"*",""))/Table7[[#This Row],[BALLS FACED]]*100,0)</f>
        <v>0</v>
      </c>
      <c r="ED1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9" s="1">
        <f>IF(Table7[[#This Row],[RUNS SCORED]]="", 0, VALUE(SUBSTITUTE(Table7[[#This Row],[RUNS SCORED]],"*","")) + Table7[[#This Row],[BONUS 1]])</f>
        <v>0</v>
      </c>
      <c r="EF19" s="1"/>
      <c r="EG19" s="1"/>
      <c r="EH19" s="1"/>
      <c r="EI19" s="1"/>
      <c r="EJ19" s="1">
        <f>IFERROR(Table7[[#This Row],[RUNS GIVEN]]/Table7[[#This Row],[OVERS]],0)</f>
        <v>0</v>
      </c>
      <c r="EK1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9" s="1">
        <f>IF(Table7[[#This Row],[WICKETS TAKEN]]="", 0, IF(Table7[[#This Row],[WICKETS TAKEN]] = 0, -25,
        Table7[[#This Row],[WICKETS TAKEN]] * 50)+Table7[[#This Row],[BONUS 2]])</f>
        <v>0</v>
      </c>
      <c r="EM19" s="1"/>
      <c r="EN19" s="1"/>
      <c r="EO19" s="1"/>
      <c r="EP1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9" s="1">
        <f>IF(AND(Table7[[#This Row],[CATCHES TAKEN]]="",Table7[[#This Row],[RUNOUTS]]="",Table7[[#This Row],[STUMPINGS]]=""), 0, Table7[[#This Row],[BONUS 3]])</f>
        <v>0</v>
      </c>
      <c r="ER19" s="1"/>
      <c r="ES19" s="1">
        <f>SUM(Table7[[#This Row],[SUB TOTAL 1]],Table7[[#This Row],[SUB TOTAL 2]],Table7[[#This Row],[SUB TOTAL 3]],Table7[[#This Row],[POM BONUS]])</f>
        <v>0</v>
      </c>
    </row>
    <row r="20" spans="1:149" x14ac:dyDescent="0.3">
      <c r="A20" t="s">
        <v>28</v>
      </c>
      <c r="B20" s="1">
        <f>SUM(Table1[[#This Row],[GRAND TOTAL]],Table2[[#This Row],[GRAND TOTAL]],Table3[[#This Row],[GRAND TOTAL]],Table4[[#This Row],[GRAND TOTAL]],Table5[[#This Row],[GRAND TOTAL]],Table6[[#This Row],[GRAND TOTAL]],Table7[[#This Row],[GRAND TOTAL]])</f>
        <v>172</v>
      </c>
      <c r="C20" s="1" t="s">
        <v>294</v>
      </c>
      <c r="D20" s="1">
        <v>9</v>
      </c>
      <c r="E20" s="1">
        <v>2</v>
      </c>
      <c r="F20" s="1">
        <v>1</v>
      </c>
      <c r="G20" s="1">
        <f>IFERROR(_xlfn.NUMBERVALUE(SUBSTITUTE(Table1[[#This Row],[RUNS SCORED]],"*",""))/Table1[[#This Row],[BALLS FACED]]*100,0)</f>
        <v>222.22222222222223</v>
      </c>
      <c r="H2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20" s="1">
        <f>IF(Table1[[#This Row],[RUNS SCORED]]="", 0, VALUE(SUBSTITUTE(Table1[[#This Row],[RUNS SCORED]],"*","")) + Table1[[#This Row],[BONUS 1]])</f>
        <v>45</v>
      </c>
      <c r="J20" s="1"/>
      <c r="K20" s="1"/>
      <c r="L20" s="1"/>
      <c r="M20" s="1"/>
      <c r="N20" s="1">
        <f>IFERROR(Table1[[#This Row],[RUNS GIVEN]]/Table1[[#This Row],[OVERS]],0)</f>
        <v>0</v>
      </c>
      <c r="O2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0" s="1">
        <f>IF(Table1[[#This Row],[WICKETS TAKEN]]="", 0, IF(Table1[[#This Row],[WICKETS TAKEN]] = 0, -25,
        Table1[[#This Row],[WICKETS TAKEN]] * 50)+Table1[[#This Row],[BONUS 2]])</f>
        <v>0</v>
      </c>
      <c r="Q20" s="1">
        <v>1</v>
      </c>
      <c r="R20" s="1"/>
      <c r="S20" s="1"/>
      <c r="T2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0" s="1">
        <f>IF(AND(Table1[[#This Row],[CATCHES TAKEN]]="",Table1[[#This Row],[RUNOUTS]]="",Table1[[#This Row],[STUMPINGS]]=""), 0, Table1[[#This Row],[BONUS 3]])</f>
        <v>25</v>
      </c>
      <c r="V20" s="1"/>
      <c r="W20" s="1">
        <f>SUM(Table1[[#This Row],[SUB TOTAL 1]],Table1[[#This Row],[SUB TOTAL 2]],Table1[[#This Row],[SUB TOTAL 3]],Table1[[#This Row],[POM BONUS]])</f>
        <v>70</v>
      </c>
      <c r="X20" s="1">
        <v>10</v>
      </c>
      <c r="Y20" s="1">
        <v>7</v>
      </c>
      <c r="Z20" s="1">
        <v>2</v>
      </c>
      <c r="AA20" s="1">
        <v>0</v>
      </c>
      <c r="AB20" s="1">
        <f>IFERROR(_xlfn.NUMBERVALUE(SUBSTITUTE(Table2[[#This Row],[RUNS SCORED]],"*",""))/Table2[[#This Row],[BALLS FACED]]*100,0)</f>
        <v>142.85714285714286</v>
      </c>
      <c r="AC2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0" s="1">
        <f>IF(Table2[[#This Row],[RUNS SCORED]]="", 0, VALUE(SUBSTITUTE(Table2[[#This Row],[RUNS SCORED]],"*","")) + Table2[[#This Row],[BONUS 1]])</f>
        <v>10</v>
      </c>
      <c r="AE20" s="1"/>
      <c r="AF20" s="1"/>
      <c r="AG20" s="1"/>
      <c r="AH20" s="1"/>
      <c r="AI20" s="1">
        <f>IFERROR(Table2[[#This Row],[RUNS GIVEN]]/Table2[[#This Row],[OVERS]],0)</f>
        <v>0</v>
      </c>
      <c r="AJ2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0" s="1">
        <f>IF(Table2[[#This Row],[WICKETS TAKEN]]="", 0, IF(Table2[[#This Row],[WICKETS TAKEN]] = 0, -25,
        Table2[[#This Row],[WICKETS TAKEN]] * 50)+Table2[[#This Row],[BONUS 2]])</f>
        <v>0</v>
      </c>
      <c r="AL20" s="1"/>
      <c r="AM20" s="1"/>
      <c r="AN20" s="1"/>
      <c r="AO2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0" s="1">
        <f>IF(AND(Table2[[#This Row],[CATCHES TAKEN]]="",Table2[[#This Row],[RUNOUTS]]="",Table2[[#This Row],[STUMPINGS]]=""), 0, Table2[[#This Row],[BONUS 3]])</f>
        <v>0</v>
      </c>
      <c r="AQ20" s="1"/>
      <c r="AR20" s="1">
        <f>SUM(Table2[[#This Row],[SUB TOTAL 1]],Table2[[#This Row],[SUB TOTAL 2]],Table2[[#This Row],[SUB TOTAL 3]],Table2[[#This Row],[POM BONUS]])</f>
        <v>10</v>
      </c>
      <c r="AS20" s="1">
        <v>5</v>
      </c>
      <c r="AT20" s="1">
        <v>8</v>
      </c>
      <c r="AU20" s="1">
        <v>1</v>
      </c>
      <c r="AV20" s="1">
        <v>0</v>
      </c>
      <c r="AW20" s="1">
        <f>IFERROR(_xlfn.NUMBERVALUE(SUBSTITUTE(Table3[[#This Row],[RUNS SCORED]],"*",""))/Table3[[#This Row],[BALLS FACED]]*100,0)</f>
        <v>62.5</v>
      </c>
      <c r="AX2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20" s="1">
        <f>IF(Table3[[#This Row],[RUNS SCORED]]="", 0, VALUE(SUBSTITUTE(Table3[[#This Row],[RUNS SCORED]],"*","")) + Table3[[#This Row],[BONUS 1]])</f>
        <v>-5</v>
      </c>
      <c r="AZ20" s="1"/>
      <c r="BA20" s="1"/>
      <c r="BB20" s="1"/>
      <c r="BC20" s="1"/>
      <c r="BD20" s="1">
        <f>IFERROR(Table3[[#This Row],[RUNS GIVEN]]/Table3[[#This Row],[OVERS]],0)</f>
        <v>0</v>
      </c>
      <c r="BE2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0" s="1">
        <f>IF(Table3[[#This Row],[WICKETS TAKEN]]="", 0, IF(Table3[[#This Row],[WICKETS TAKEN]] = 0, -25,
        Table3[[#This Row],[WICKETS TAKEN]] * 50)+Table3[[#This Row],[BONUS 2]])</f>
        <v>0</v>
      </c>
      <c r="BG20" s="1"/>
      <c r="BH20" s="1"/>
      <c r="BI20" s="1"/>
      <c r="BJ2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0" s="1">
        <f>IF(AND(Table3[[#This Row],[CATCHES TAKEN]]="",Table3[[#This Row],[RUNOUTS]]="",Table3[[#This Row],[STUMPINGS]]=""), 0, Table3[[#This Row],[BONUS 3]])</f>
        <v>0</v>
      </c>
      <c r="BL20" s="1"/>
      <c r="BM20" s="1">
        <f>SUM(Table3[[#This Row],[SUB TOTAL 1]],Table3[[#This Row],[SUB TOTAL 2]],Table3[[#This Row],[SUB TOTAL 3]],Table3[[#This Row],[POM BONUS]])</f>
        <v>-5</v>
      </c>
      <c r="BN20" s="1">
        <v>47</v>
      </c>
      <c r="BO20" s="1">
        <v>28</v>
      </c>
      <c r="BP20" s="1">
        <v>8</v>
      </c>
      <c r="BQ20" s="1">
        <v>0</v>
      </c>
      <c r="BR20" s="1">
        <f>IFERROR(_xlfn.NUMBERVALUE(SUBSTITUTE(Table4[[#This Row],[RUNS SCORED]],"*",""))/Table4[[#This Row],[BALLS FACED]]*100,0)</f>
        <v>167.85714285714286</v>
      </c>
      <c r="BS2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BT20" s="1">
        <f>IF(Table4[[#This Row],[RUNS SCORED]]="", 0, VALUE(SUBSTITUTE(Table4[[#This Row],[RUNS SCORED]],"*","")) + Table4[[#This Row],[BONUS 1]])</f>
        <v>97</v>
      </c>
      <c r="BU20" s="1"/>
      <c r="BV20" s="1"/>
      <c r="BW20" s="1"/>
      <c r="BX20" s="1"/>
      <c r="BY20" s="1">
        <f>IFERROR(Table4[[#This Row],[RUNS GIVEN]]/Table4[[#This Row],[OVERS]],0)</f>
        <v>0</v>
      </c>
      <c r="BZ2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0" s="1">
        <f>IF(Table4[[#This Row],[WICKETS TAKEN]]="", 0, IF(Table4[[#This Row],[WICKETS TAKEN]] = 0, -25,
        Table4[[#This Row],[WICKETS TAKEN]] * 50)+Table4[[#This Row],[BONUS 2]])</f>
        <v>0</v>
      </c>
      <c r="CB20" s="1"/>
      <c r="CC20" s="1"/>
      <c r="CD20" s="1"/>
      <c r="CE2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0" s="1">
        <f>IF(AND(Table4[[#This Row],[CATCHES TAKEN]]="",Table4[[#This Row],[RUNOUTS]]="",Table4[[#This Row],[STUMPINGS]]=""), 0, Table4[[#This Row],[BONUS 3]])</f>
        <v>0</v>
      </c>
      <c r="CG20" s="1"/>
      <c r="CH20" s="1">
        <f>SUM(Table4[[#This Row],[SUB TOTAL 1]],Table4[[#This Row],[SUB TOTAL 2]],Table4[[#This Row],[SUB TOTAL 3]],Table4[[#This Row],[POM BONUS]])</f>
        <v>97</v>
      </c>
      <c r="CI20" s="1"/>
      <c r="CJ20" s="1"/>
      <c r="CK20" s="1"/>
      <c r="CL20" s="1"/>
      <c r="CM20" s="1">
        <f>IFERROR(_xlfn.NUMBERVALUE(SUBSTITUTE(Table5[[#This Row],[RUNS SCORED]],"*",""))/Table5[[#This Row],[BALLS FACED]]*100,0)</f>
        <v>0</v>
      </c>
      <c r="CN2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0" s="1">
        <f>IF(Table5[[#This Row],[RUNS SCORED]]="", 0, VALUE(SUBSTITUTE(Table5[[#This Row],[RUNS SCORED]],"*","")) + Table5[[#This Row],[BONUS 1]])</f>
        <v>0</v>
      </c>
      <c r="CP20" s="1"/>
      <c r="CQ20" s="1"/>
      <c r="CR20" s="1"/>
      <c r="CS20" s="1"/>
      <c r="CT20" s="1">
        <f>IFERROR(Table5[[#This Row],[RUNS GIVEN]]/Table5[[#This Row],[OVERS]],0)</f>
        <v>0</v>
      </c>
      <c r="CU2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0" s="1">
        <f>IF(Table5[[#This Row],[WICKETS TAKEN]]="", 0, IF(Table5[[#This Row],[WICKETS TAKEN]] = 0, -25,
        Table5[[#This Row],[WICKETS TAKEN]] * 50)+Table5[[#This Row],[BONUS 2]])</f>
        <v>0</v>
      </c>
      <c r="CW20" s="1"/>
      <c r="CX20" s="1"/>
      <c r="CY20" s="1"/>
      <c r="CZ2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0" s="1">
        <f>IF(AND(Table5[[#This Row],[CATCHES TAKEN]]="",Table5[[#This Row],[RUNOUTS]]="",Table5[[#This Row],[STUMPINGS]]=""), 0, Table5[[#This Row],[BONUS 3]])</f>
        <v>0</v>
      </c>
      <c r="DB20" s="1"/>
      <c r="DC20" s="1">
        <f>SUM(Table5[[#This Row],[SUB TOTAL 1]],Table5[[#This Row],[SUB TOTAL 2]],Table5[[#This Row],[SUB TOTAL 3]],Table5[[#This Row],[POM BONUS]])</f>
        <v>0</v>
      </c>
      <c r="DD20" s="1"/>
      <c r="DE20" s="1"/>
      <c r="DF20" s="1"/>
      <c r="DG20" s="1"/>
      <c r="DH20" s="1">
        <f>IFERROR(_xlfn.NUMBERVALUE(SUBSTITUTE(Table6[[#This Row],[RUNS SCORED]],"*",""))/Table6[[#This Row],[BALLS FACED]]*100,0)</f>
        <v>0</v>
      </c>
      <c r="DI2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0" s="1">
        <f>IF(Table6[[#This Row],[RUNS SCORED]]="", 0, VALUE(SUBSTITUTE(Table6[[#This Row],[RUNS SCORED]],"*","")) + Table6[[#This Row],[BONUS 1]])</f>
        <v>0</v>
      </c>
      <c r="DK20" s="1"/>
      <c r="DL20" s="1"/>
      <c r="DM20" s="1"/>
      <c r="DN20" s="1"/>
      <c r="DO20" s="1">
        <f>IFERROR(Table6[[#This Row],[RUNS GIVEN]]/Table6[[#This Row],[OVERS]],0)</f>
        <v>0</v>
      </c>
      <c r="DP2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0" s="1">
        <f>IF(Table6[[#This Row],[WICKETS TAKEN]]="", 0, IF(Table6[[#This Row],[WICKETS TAKEN]] = 0, -25,
        Table6[[#This Row],[WICKETS TAKEN]] * 50)+Table6[[#This Row],[BONUS 2]])</f>
        <v>0</v>
      </c>
      <c r="DR20" s="1"/>
      <c r="DS20" s="1"/>
      <c r="DT20" s="1"/>
      <c r="DU2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0" s="1">
        <f>IF(AND(Table6[[#This Row],[CATCHES TAKEN]]="",Table6[[#This Row],[RUNOUTS]]="",Table6[[#This Row],[STUMPINGS]]=""), 0, Table6[[#This Row],[BONUS 3]])</f>
        <v>0</v>
      </c>
      <c r="DW20" s="1"/>
      <c r="DX20" s="1">
        <f>SUM(Table6[[#This Row],[SUB TOTAL 1]],Table6[[#This Row],[SUB TOTAL 2]],Table6[[#This Row],[SUB TOTAL 3]],Table6[[#This Row],[POM BONUS]])</f>
        <v>0</v>
      </c>
      <c r="DY20" s="1"/>
      <c r="DZ20" s="1"/>
      <c r="EA20" s="1"/>
      <c r="EB20" s="1"/>
      <c r="EC20" s="1">
        <f>IFERROR(_xlfn.NUMBERVALUE(SUBSTITUTE(Table7[[#This Row],[RUNS SCORED]],"*",""))/Table7[[#This Row],[BALLS FACED]]*100,0)</f>
        <v>0</v>
      </c>
      <c r="ED2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0" s="1">
        <f>IF(Table7[[#This Row],[RUNS SCORED]]="", 0, VALUE(SUBSTITUTE(Table7[[#This Row],[RUNS SCORED]],"*","")) + Table7[[#This Row],[BONUS 1]])</f>
        <v>0</v>
      </c>
      <c r="EF20" s="1"/>
      <c r="EG20" s="1"/>
      <c r="EH20" s="1"/>
      <c r="EI20" s="1"/>
      <c r="EJ20" s="1">
        <f>IFERROR(Table7[[#This Row],[RUNS GIVEN]]/Table7[[#This Row],[OVERS]],0)</f>
        <v>0</v>
      </c>
      <c r="EK2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0" s="1">
        <f>IF(Table7[[#This Row],[WICKETS TAKEN]]="", 0, IF(Table7[[#This Row],[WICKETS TAKEN]] = 0, -25,
        Table7[[#This Row],[WICKETS TAKEN]] * 50)+Table7[[#This Row],[BONUS 2]])</f>
        <v>0</v>
      </c>
      <c r="EM20" s="1"/>
      <c r="EN20" s="1"/>
      <c r="EO20" s="1"/>
      <c r="EP2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0" s="1">
        <f>IF(AND(Table7[[#This Row],[CATCHES TAKEN]]="",Table7[[#This Row],[RUNOUTS]]="",Table7[[#This Row],[STUMPINGS]]=""), 0, Table7[[#This Row],[BONUS 3]])</f>
        <v>0</v>
      </c>
      <c r="ER20" s="1"/>
      <c r="ES20" s="1">
        <f>SUM(Table7[[#This Row],[SUB TOTAL 1]],Table7[[#This Row],[SUB TOTAL 2]],Table7[[#This Row],[SUB TOTAL 3]],Table7[[#This Row],[POM BONUS]])</f>
        <v>0</v>
      </c>
    </row>
    <row r="21" spans="1:149" x14ac:dyDescent="0.3">
      <c r="A21" t="s">
        <v>58</v>
      </c>
      <c r="B21" s="1">
        <f>SUM(Table1[[#This Row],[GRAND TOTAL]],Table2[[#This Row],[GRAND TOTAL]],Table3[[#This Row],[GRAND TOTAL]],Table4[[#This Row],[GRAND TOTAL]],Table5[[#This Row],[GRAND TOTAL]],Table6[[#This Row],[GRAND TOTAL]],Table7[[#This Row],[GRAND TOTAL]])</f>
        <v>219</v>
      </c>
      <c r="C21" s="1" t="s">
        <v>293</v>
      </c>
      <c r="D21" s="1">
        <v>2</v>
      </c>
      <c r="E21" s="1">
        <v>0</v>
      </c>
      <c r="F21" s="1">
        <v>1</v>
      </c>
      <c r="G21" s="1">
        <f>IFERROR(_xlfn.NUMBERVALUE(SUBSTITUTE(Table1[[#This Row],[RUNS SCORED]],"*",""))/Table1[[#This Row],[BALLS FACED]]*100,0)</f>
        <v>350</v>
      </c>
      <c r="H2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21" s="1">
        <f>IF(Table1[[#This Row],[RUNS SCORED]]="", 0, VALUE(SUBSTITUTE(Table1[[#This Row],[RUNS SCORED]],"*","")) + Table1[[#This Row],[BONUS 1]])</f>
        <v>22</v>
      </c>
      <c r="J21" s="1"/>
      <c r="K21" s="1"/>
      <c r="L21" s="1"/>
      <c r="M21" s="1"/>
      <c r="N21" s="1">
        <f>IFERROR(Table1[[#This Row],[RUNS GIVEN]]/Table1[[#This Row],[OVERS]],0)</f>
        <v>0</v>
      </c>
      <c r="O2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1" s="1">
        <f>IF(Table1[[#This Row],[WICKETS TAKEN]]="", 0, IF(Table1[[#This Row],[WICKETS TAKEN]] = 0, -25,
        Table1[[#This Row],[WICKETS TAKEN]] * 50)+Table1[[#This Row],[BONUS 2]])</f>
        <v>0</v>
      </c>
      <c r="Q21" s="1">
        <v>1</v>
      </c>
      <c r="R21" s="1"/>
      <c r="S21" s="1"/>
      <c r="T2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1" s="1">
        <f>IF(AND(Table1[[#This Row],[CATCHES TAKEN]]="",Table1[[#This Row],[RUNOUTS]]="",Table1[[#This Row],[STUMPINGS]]=""), 0, Table1[[#This Row],[BONUS 3]])</f>
        <v>25</v>
      </c>
      <c r="V21" s="1"/>
      <c r="W21" s="1">
        <f>SUM(Table1[[#This Row],[SUB TOTAL 1]],Table1[[#This Row],[SUB TOTAL 2]],Table1[[#This Row],[SUB TOTAL 3]],Table1[[#This Row],[POM BONUS]])</f>
        <v>47</v>
      </c>
      <c r="X21" s="1" t="s">
        <v>298</v>
      </c>
      <c r="Y21" s="1">
        <v>37</v>
      </c>
      <c r="Z21" s="1">
        <v>5</v>
      </c>
      <c r="AA21" s="1">
        <v>1</v>
      </c>
      <c r="AB21" s="1">
        <f>IFERROR(_xlfn.NUMBERVALUE(SUBSTITUTE(Table2[[#This Row],[RUNS SCORED]],"*",""))/Table2[[#This Row],[BALLS FACED]]*100,0)</f>
        <v>127.02702702702702</v>
      </c>
      <c r="AC2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AD21" s="1">
        <f>IF(Table2[[#This Row],[RUNS SCORED]]="", 0, VALUE(SUBSTITUTE(Table2[[#This Row],[RUNS SCORED]],"*","")) + Table2[[#This Row],[BONUS 1]])</f>
        <v>122</v>
      </c>
      <c r="AE21" s="1"/>
      <c r="AF21" s="1"/>
      <c r="AG21" s="1"/>
      <c r="AH21" s="1"/>
      <c r="AI21" s="1">
        <f>IFERROR(Table2[[#This Row],[RUNS GIVEN]]/Table2[[#This Row],[OVERS]],0)</f>
        <v>0</v>
      </c>
      <c r="AJ2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1" s="1">
        <f>IF(Table2[[#This Row],[WICKETS TAKEN]]="", 0, IF(Table2[[#This Row],[WICKETS TAKEN]] = 0, -25,
        Table2[[#This Row],[WICKETS TAKEN]] * 50)+Table2[[#This Row],[BONUS 2]])</f>
        <v>0</v>
      </c>
      <c r="AL21" s="1"/>
      <c r="AM21" s="1"/>
      <c r="AN21" s="1"/>
      <c r="AO2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1" s="1">
        <f>IF(AND(Table2[[#This Row],[CATCHES TAKEN]]="",Table2[[#This Row],[RUNOUTS]]="",Table2[[#This Row],[STUMPINGS]]=""), 0, Table2[[#This Row],[BONUS 3]])</f>
        <v>0</v>
      </c>
      <c r="AQ21" s="1"/>
      <c r="AR21" s="1">
        <f>SUM(Table2[[#This Row],[SUB TOTAL 1]],Table2[[#This Row],[SUB TOTAL 2]],Table2[[#This Row],[SUB TOTAL 3]],Table2[[#This Row],[POM BONUS]])</f>
        <v>122</v>
      </c>
      <c r="AS21" s="1"/>
      <c r="AT21" s="1"/>
      <c r="AU21" s="1"/>
      <c r="AV21" s="1"/>
      <c r="AW21" s="1">
        <f>IFERROR(_xlfn.NUMBERVALUE(SUBSTITUTE(Table3[[#This Row],[RUNS SCORED]],"*",""))/Table3[[#This Row],[BALLS FACED]]*100,0)</f>
        <v>0</v>
      </c>
      <c r="AX2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1" s="1">
        <f>IF(Table3[[#This Row],[RUNS SCORED]]="", 0, VALUE(SUBSTITUTE(Table3[[#This Row],[RUNS SCORED]],"*","")) + Table3[[#This Row],[BONUS 1]])</f>
        <v>0</v>
      </c>
      <c r="AZ21" s="1"/>
      <c r="BA21" s="1"/>
      <c r="BB21" s="1"/>
      <c r="BC21" s="1"/>
      <c r="BD21" s="1">
        <f>IFERROR(Table3[[#This Row],[RUNS GIVEN]]/Table3[[#This Row],[OVERS]],0)</f>
        <v>0</v>
      </c>
      <c r="BE2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1" s="1">
        <f>IF(Table3[[#This Row],[WICKETS TAKEN]]="", 0, IF(Table3[[#This Row],[WICKETS TAKEN]] = 0, -25,
        Table3[[#This Row],[WICKETS TAKEN]] * 50)+Table3[[#This Row],[BONUS 2]])</f>
        <v>0</v>
      </c>
      <c r="BG21" s="1"/>
      <c r="BH21" s="1"/>
      <c r="BI21" s="1"/>
      <c r="BJ2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1" s="1">
        <f>IF(AND(Table3[[#This Row],[CATCHES TAKEN]]="",Table3[[#This Row],[RUNOUTS]]="",Table3[[#This Row],[STUMPINGS]]=""), 0, Table3[[#This Row],[BONUS 3]])</f>
        <v>0</v>
      </c>
      <c r="BL21" s="1"/>
      <c r="BM21" s="1">
        <f>SUM(Table3[[#This Row],[SUB TOTAL 1]],Table3[[#This Row],[SUB TOTAL 2]],Table3[[#This Row],[SUB TOTAL 3]],Table3[[#This Row],[POM BONUS]])</f>
        <v>0</v>
      </c>
      <c r="BN21" s="1">
        <v>0</v>
      </c>
      <c r="BO21" s="1">
        <v>3</v>
      </c>
      <c r="BP21" s="1">
        <v>0</v>
      </c>
      <c r="BQ21" s="1">
        <v>0</v>
      </c>
      <c r="BR21" s="1">
        <f>IFERROR(_xlfn.NUMBERVALUE(SUBSTITUTE(Table4[[#This Row],[RUNS SCORED]],"*",""))/Table4[[#This Row],[BALLS FACED]]*100,0)</f>
        <v>0</v>
      </c>
      <c r="BS2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BT21" s="1">
        <f>IF(Table4[[#This Row],[RUNS SCORED]]="", 0, VALUE(SUBSTITUTE(Table4[[#This Row],[RUNS SCORED]],"*","")) + Table4[[#This Row],[BONUS 1]])</f>
        <v>-25</v>
      </c>
      <c r="BU21" s="1"/>
      <c r="BV21" s="1"/>
      <c r="BW21" s="1"/>
      <c r="BX21" s="1"/>
      <c r="BY21" s="1">
        <f>IFERROR(Table4[[#This Row],[RUNS GIVEN]]/Table4[[#This Row],[OVERS]],0)</f>
        <v>0</v>
      </c>
      <c r="BZ2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1" s="1">
        <f>IF(Table4[[#This Row],[WICKETS TAKEN]]="", 0, IF(Table4[[#This Row],[WICKETS TAKEN]] = 0, -25,
        Table4[[#This Row],[WICKETS TAKEN]] * 50)+Table4[[#This Row],[BONUS 2]])</f>
        <v>0</v>
      </c>
      <c r="CB21" s="1">
        <v>1</v>
      </c>
      <c r="CC21" s="1">
        <v>1</v>
      </c>
      <c r="CD21" s="1"/>
      <c r="CE2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CF21" s="1">
        <f>IF(AND(Table4[[#This Row],[CATCHES TAKEN]]="",Table4[[#This Row],[RUNOUTS]]="",Table4[[#This Row],[STUMPINGS]]=""), 0, Table4[[#This Row],[BONUS 3]])</f>
        <v>75</v>
      </c>
      <c r="CG21" s="1"/>
      <c r="CH21" s="1">
        <f>SUM(Table4[[#This Row],[SUB TOTAL 1]],Table4[[#This Row],[SUB TOTAL 2]],Table4[[#This Row],[SUB TOTAL 3]],Table4[[#This Row],[POM BONUS]])</f>
        <v>50</v>
      </c>
      <c r="CI21" s="1"/>
      <c r="CJ21" s="1"/>
      <c r="CK21" s="1"/>
      <c r="CL21" s="1"/>
      <c r="CM21" s="1">
        <f>IFERROR(_xlfn.NUMBERVALUE(SUBSTITUTE(Table5[[#This Row],[RUNS SCORED]],"*",""))/Table5[[#This Row],[BALLS FACED]]*100,0)</f>
        <v>0</v>
      </c>
      <c r="CN2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1" s="1">
        <f>IF(Table5[[#This Row],[RUNS SCORED]]="", 0, VALUE(SUBSTITUTE(Table5[[#This Row],[RUNS SCORED]],"*","")) + Table5[[#This Row],[BONUS 1]])</f>
        <v>0</v>
      </c>
      <c r="CP21" s="1"/>
      <c r="CQ21" s="1"/>
      <c r="CR21" s="1"/>
      <c r="CS21" s="1"/>
      <c r="CT21" s="1">
        <f>IFERROR(Table5[[#This Row],[RUNS GIVEN]]/Table5[[#This Row],[OVERS]],0)</f>
        <v>0</v>
      </c>
      <c r="CU2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1" s="1">
        <f>IF(Table5[[#This Row],[WICKETS TAKEN]]="", 0, IF(Table5[[#This Row],[WICKETS TAKEN]] = 0, -25,
        Table5[[#This Row],[WICKETS TAKEN]] * 50)+Table5[[#This Row],[BONUS 2]])</f>
        <v>0</v>
      </c>
      <c r="CW21" s="1"/>
      <c r="CX21" s="1"/>
      <c r="CY21" s="1"/>
      <c r="CZ2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1" s="1">
        <f>IF(AND(Table5[[#This Row],[CATCHES TAKEN]]="",Table5[[#This Row],[RUNOUTS]]="",Table5[[#This Row],[STUMPINGS]]=""), 0, Table5[[#This Row],[BONUS 3]])</f>
        <v>0</v>
      </c>
      <c r="DB21" s="1"/>
      <c r="DC21" s="1">
        <f>SUM(Table5[[#This Row],[SUB TOTAL 1]],Table5[[#This Row],[SUB TOTAL 2]],Table5[[#This Row],[SUB TOTAL 3]],Table5[[#This Row],[POM BONUS]])</f>
        <v>0</v>
      </c>
      <c r="DD21" s="1"/>
      <c r="DE21" s="1"/>
      <c r="DF21" s="1"/>
      <c r="DG21" s="1"/>
      <c r="DH21" s="1">
        <f>IFERROR(_xlfn.NUMBERVALUE(SUBSTITUTE(Table6[[#This Row],[RUNS SCORED]],"*",""))/Table6[[#This Row],[BALLS FACED]]*100,0)</f>
        <v>0</v>
      </c>
      <c r="DI2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1" s="1">
        <f>IF(Table6[[#This Row],[RUNS SCORED]]="", 0, VALUE(SUBSTITUTE(Table6[[#This Row],[RUNS SCORED]],"*","")) + Table6[[#This Row],[BONUS 1]])</f>
        <v>0</v>
      </c>
      <c r="DK21" s="1"/>
      <c r="DL21" s="1"/>
      <c r="DM21" s="1"/>
      <c r="DN21" s="1"/>
      <c r="DO21" s="1">
        <f>IFERROR(Table6[[#This Row],[RUNS GIVEN]]/Table6[[#This Row],[OVERS]],0)</f>
        <v>0</v>
      </c>
      <c r="DP2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1" s="1">
        <f>IF(Table6[[#This Row],[WICKETS TAKEN]]="", 0, IF(Table6[[#This Row],[WICKETS TAKEN]] = 0, -25,
        Table6[[#This Row],[WICKETS TAKEN]] * 50)+Table6[[#This Row],[BONUS 2]])</f>
        <v>0</v>
      </c>
      <c r="DR21" s="1"/>
      <c r="DS21" s="1"/>
      <c r="DT21" s="1"/>
      <c r="DU2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1" s="1">
        <f>IF(AND(Table6[[#This Row],[CATCHES TAKEN]]="",Table6[[#This Row],[RUNOUTS]]="",Table6[[#This Row],[STUMPINGS]]=""), 0, Table6[[#This Row],[BONUS 3]])</f>
        <v>0</v>
      </c>
      <c r="DW21" s="1"/>
      <c r="DX21" s="1">
        <f>SUM(Table6[[#This Row],[SUB TOTAL 1]],Table6[[#This Row],[SUB TOTAL 2]],Table6[[#This Row],[SUB TOTAL 3]],Table6[[#This Row],[POM BONUS]])</f>
        <v>0</v>
      </c>
      <c r="DY21" s="1"/>
      <c r="DZ21" s="1"/>
      <c r="EA21" s="1"/>
      <c r="EB21" s="1"/>
      <c r="EC21" s="1">
        <f>IFERROR(_xlfn.NUMBERVALUE(SUBSTITUTE(Table7[[#This Row],[RUNS SCORED]],"*",""))/Table7[[#This Row],[BALLS FACED]]*100,0)</f>
        <v>0</v>
      </c>
      <c r="ED2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1" s="1">
        <f>IF(Table7[[#This Row],[RUNS SCORED]]="", 0, VALUE(SUBSTITUTE(Table7[[#This Row],[RUNS SCORED]],"*","")) + Table7[[#This Row],[BONUS 1]])</f>
        <v>0</v>
      </c>
      <c r="EF21" s="1"/>
      <c r="EG21" s="1"/>
      <c r="EH21" s="1"/>
      <c r="EI21" s="1"/>
      <c r="EJ21" s="1">
        <f>IFERROR(Table7[[#This Row],[RUNS GIVEN]]/Table7[[#This Row],[OVERS]],0)</f>
        <v>0</v>
      </c>
      <c r="EK2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1" s="1">
        <f>IF(Table7[[#This Row],[WICKETS TAKEN]]="", 0, IF(Table7[[#This Row],[WICKETS TAKEN]] = 0, -25,
        Table7[[#This Row],[WICKETS TAKEN]] * 50)+Table7[[#This Row],[BONUS 2]])</f>
        <v>0</v>
      </c>
      <c r="EM21" s="1"/>
      <c r="EN21" s="1"/>
      <c r="EO21" s="1"/>
      <c r="EP2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1" s="1">
        <f>IF(AND(Table7[[#This Row],[CATCHES TAKEN]]="",Table7[[#This Row],[RUNOUTS]]="",Table7[[#This Row],[STUMPINGS]]=""), 0, Table7[[#This Row],[BONUS 3]])</f>
        <v>0</v>
      </c>
      <c r="ER21" s="1"/>
      <c r="ES21" s="1">
        <f>SUM(Table7[[#This Row],[SUB TOTAL 1]],Table7[[#This Row],[SUB TOTAL 2]],Table7[[#This Row],[SUB TOTAL 3]],Table7[[#This Row],[POM BONUS]])</f>
        <v>0</v>
      </c>
    </row>
    <row r="22" spans="1:149" x14ac:dyDescent="0.3">
      <c r="A22" t="s">
        <v>74</v>
      </c>
      <c r="B22" s="1">
        <f>SUM(Table1[[#This Row],[GRAND TOTAL]],Table2[[#This Row],[GRAND TOTAL]],Table3[[#This Row],[GRAND TOTAL]],Table4[[#This Row],[GRAND TOTAL]],Table5[[#This Row],[GRAND TOTAL]],Table6[[#This Row],[GRAND TOTAL]],Table7[[#This Row],[GRAND TOTAL]])</f>
        <v>265</v>
      </c>
      <c r="C22" s="1"/>
      <c r="D22" s="1"/>
      <c r="E22" s="1"/>
      <c r="F22" s="1"/>
      <c r="G22" s="1">
        <f>IFERROR(_xlfn.NUMBERVALUE(SUBSTITUTE(Table1[[#This Row],[RUNS SCORED]],"*",""))/Table1[[#This Row],[BALLS FACED]]*100,0)</f>
        <v>0</v>
      </c>
      <c r="H2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2" s="1">
        <f>IF(Table1[[#This Row],[RUNS SCORED]]="", 0, VALUE(SUBSTITUTE(Table1[[#This Row],[RUNS SCORED]],"*","")) + Table1[[#This Row],[BONUS 1]])</f>
        <v>0</v>
      </c>
      <c r="J22" s="1"/>
      <c r="K22" s="1"/>
      <c r="L22" s="1"/>
      <c r="M22" s="1"/>
      <c r="N22" s="1">
        <f>IFERROR(Table1[[#This Row],[RUNS GIVEN]]/Table1[[#This Row],[OVERS]],0)</f>
        <v>0</v>
      </c>
      <c r="O2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2" s="1">
        <f>IF(Table1[[#This Row],[WICKETS TAKEN]]="", 0, IF(Table1[[#This Row],[WICKETS TAKEN]] = 0, -25,
        Table1[[#This Row],[WICKETS TAKEN]] * 50)+Table1[[#This Row],[BONUS 2]])</f>
        <v>0</v>
      </c>
      <c r="Q22" s="1"/>
      <c r="R22" s="1"/>
      <c r="S22" s="1"/>
      <c r="T2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2" s="1">
        <f>IF(AND(Table1[[#This Row],[CATCHES TAKEN]]="",Table1[[#This Row],[RUNOUTS]]="",Table1[[#This Row],[STUMPINGS]]=""), 0, Table1[[#This Row],[BONUS 3]])</f>
        <v>0</v>
      </c>
      <c r="V22" s="1"/>
      <c r="W22" s="1">
        <f>SUM(Table1[[#This Row],[SUB TOTAL 1]],Table1[[#This Row],[SUB TOTAL 2]],Table1[[#This Row],[SUB TOTAL 3]],Table1[[#This Row],[POM BONUS]])</f>
        <v>0</v>
      </c>
      <c r="X22" s="1">
        <v>31</v>
      </c>
      <c r="Y22" s="1">
        <v>31</v>
      </c>
      <c r="Z22" s="1">
        <v>0</v>
      </c>
      <c r="AA22" s="1">
        <v>0</v>
      </c>
      <c r="AB22" s="1">
        <f>IFERROR(_xlfn.NUMBERVALUE(SUBSTITUTE(Table2[[#This Row],[RUNS SCORED]],"*",""))/Table2[[#This Row],[BALLS FACED]]*100,0)</f>
        <v>100</v>
      </c>
      <c r="AC2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D22" s="1">
        <f>IF(Table2[[#This Row],[RUNS SCORED]]="", 0, VALUE(SUBSTITUTE(Table2[[#This Row],[RUNS SCORED]],"*","")) + Table2[[#This Row],[BONUS 1]])</f>
        <v>81</v>
      </c>
      <c r="AE22" s="1"/>
      <c r="AF22" s="1"/>
      <c r="AG22" s="1"/>
      <c r="AH22" s="1"/>
      <c r="AI22" s="1">
        <f>IFERROR(Table2[[#This Row],[RUNS GIVEN]]/Table2[[#This Row],[OVERS]],0)</f>
        <v>0</v>
      </c>
      <c r="AJ2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2" s="1">
        <f>IF(Table2[[#This Row],[WICKETS TAKEN]]="", 0, IF(Table2[[#This Row],[WICKETS TAKEN]] = 0, -25,
        Table2[[#This Row],[WICKETS TAKEN]] * 50)+Table2[[#This Row],[BONUS 2]])</f>
        <v>0</v>
      </c>
      <c r="AL22" s="1">
        <v>1</v>
      </c>
      <c r="AM22" s="1"/>
      <c r="AN22" s="1"/>
      <c r="AO2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22" s="1">
        <f>IF(AND(Table2[[#This Row],[CATCHES TAKEN]]="",Table2[[#This Row],[RUNOUTS]]="",Table2[[#This Row],[STUMPINGS]]=""), 0, Table2[[#This Row],[BONUS 3]])</f>
        <v>25</v>
      </c>
      <c r="AQ22" s="1"/>
      <c r="AR22" s="1">
        <f>SUM(Table2[[#This Row],[SUB TOTAL 1]],Table2[[#This Row],[SUB TOTAL 2]],Table2[[#This Row],[SUB TOTAL 3]],Table2[[#This Row],[POM BONUS]])</f>
        <v>106</v>
      </c>
      <c r="AS22" s="1">
        <v>29</v>
      </c>
      <c r="AT22" s="1">
        <v>18</v>
      </c>
      <c r="AU22" s="1">
        <v>1</v>
      </c>
      <c r="AV22" s="1">
        <v>2</v>
      </c>
      <c r="AW22" s="1">
        <f>IFERROR(_xlfn.NUMBERVALUE(SUBSTITUTE(Table3[[#This Row],[RUNS SCORED]],"*",""))/Table3[[#This Row],[BALLS FACED]]*100,0)</f>
        <v>161.11111111111111</v>
      </c>
      <c r="AX2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Y22" s="1">
        <f>IF(Table3[[#This Row],[RUNS SCORED]]="", 0, VALUE(SUBSTITUTE(Table3[[#This Row],[RUNS SCORED]],"*","")) + Table3[[#This Row],[BONUS 1]])</f>
        <v>79</v>
      </c>
      <c r="AZ22" s="1">
        <v>1</v>
      </c>
      <c r="BA22" s="1">
        <v>0</v>
      </c>
      <c r="BB22" s="1">
        <v>8</v>
      </c>
      <c r="BC22" s="1">
        <v>0</v>
      </c>
      <c r="BD22" s="1">
        <f>IFERROR(Table3[[#This Row],[RUNS GIVEN]]/Table3[[#This Row],[OVERS]],0)</f>
        <v>8</v>
      </c>
      <c r="BE2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2" s="1">
        <f>IF(Table3[[#This Row],[WICKETS TAKEN]]="", 0, IF(Table3[[#This Row],[WICKETS TAKEN]] = 0, -25,
        Table3[[#This Row],[WICKETS TAKEN]] * 50)+Table3[[#This Row],[BONUS 2]])</f>
        <v>-25</v>
      </c>
      <c r="BG22" s="1"/>
      <c r="BH22" s="1"/>
      <c r="BI22" s="1"/>
      <c r="BJ2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2" s="1">
        <f>IF(AND(Table3[[#This Row],[CATCHES TAKEN]]="",Table3[[#This Row],[RUNOUTS]]="",Table3[[#This Row],[STUMPINGS]]=""), 0, Table3[[#This Row],[BONUS 3]])</f>
        <v>0</v>
      </c>
      <c r="BL22" s="1"/>
      <c r="BM22" s="1">
        <f>SUM(Table3[[#This Row],[SUB TOTAL 1]],Table3[[#This Row],[SUB TOTAL 2]],Table3[[#This Row],[SUB TOTAL 3]],Table3[[#This Row],[POM BONUS]])</f>
        <v>54</v>
      </c>
      <c r="BN22" s="1" t="s">
        <v>314</v>
      </c>
      <c r="BO22" s="1">
        <v>19</v>
      </c>
      <c r="BP22" s="1">
        <v>2</v>
      </c>
      <c r="BQ22" s="1">
        <v>2</v>
      </c>
      <c r="BR22" s="1">
        <f>IFERROR(_xlfn.NUMBERVALUE(SUBSTITUTE(Table4[[#This Row],[RUNS SCORED]],"*",""))/Table4[[#This Row],[BALLS FACED]]*100,0)</f>
        <v>157.89473684210526</v>
      </c>
      <c r="BS2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BT22" s="1">
        <f>IF(Table4[[#This Row],[RUNS SCORED]]="", 0, VALUE(SUBSTITUTE(Table4[[#This Row],[RUNS SCORED]],"*","")) + Table4[[#This Row],[BONUS 1]])</f>
        <v>105</v>
      </c>
      <c r="BU22" s="1"/>
      <c r="BV22" s="1"/>
      <c r="BW22" s="1"/>
      <c r="BX22" s="1"/>
      <c r="BY22" s="1">
        <f>IFERROR(Table4[[#This Row],[RUNS GIVEN]]/Table4[[#This Row],[OVERS]],0)</f>
        <v>0</v>
      </c>
      <c r="BZ2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2" s="1">
        <f>IF(Table4[[#This Row],[WICKETS TAKEN]]="", 0, IF(Table4[[#This Row],[WICKETS TAKEN]] = 0, -25,
        Table4[[#This Row],[WICKETS TAKEN]] * 50)+Table4[[#This Row],[BONUS 2]])</f>
        <v>0</v>
      </c>
      <c r="CB22" s="1"/>
      <c r="CC22" s="1"/>
      <c r="CD22" s="1"/>
      <c r="CE2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2" s="1">
        <f>IF(AND(Table4[[#This Row],[CATCHES TAKEN]]="",Table4[[#This Row],[RUNOUTS]]="",Table4[[#This Row],[STUMPINGS]]=""), 0, Table4[[#This Row],[BONUS 3]])</f>
        <v>0</v>
      </c>
      <c r="CG22" s="1"/>
      <c r="CH22" s="1">
        <f>SUM(Table4[[#This Row],[SUB TOTAL 1]],Table4[[#This Row],[SUB TOTAL 2]],Table4[[#This Row],[SUB TOTAL 3]],Table4[[#This Row],[POM BONUS]])</f>
        <v>105</v>
      </c>
      <c r="CI22" s="1"/>
      <c r="CJ22" s="1"/>
      <c r="CK22" s="1"/>
      <c r="CL22" s="1"/>
      <c r="CM22" s="1">
        <f>IFERROR(_xlfn.NUMBERVALUE(SUBSTITUTE(Table5[[#This Row],[RUNS SCORED]],"*",""))/Table5[[#This Row],[BALLS FACED]]*100,0)</f>
        <v>0</v>
      </c>
      <c r="CN2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2" s="1">
        <f>IF(Table5[[#This Row],[RUNS SCORED]]="", 0, VALUE(SUBSTITUTE(Table5[[#This Row],[RUNS SCORED]],"*","")) + Table5[[#This Row],[BONUS 1]])</f>
        <v>0</v>
      </c>
      <c r="CP22" s="1"/>
      <c r="CQ22" s="1"/>
      <c r="CR22" s="1"/>
      <c r="CS22" s="1"/>
      <c r="CT22" s="1">
        <f>IFERROR(Table5[[#This Row],[RUNS GIVEN]]/Table5[[#This Row],[OVERS]],0)</f>
        <v>0</v>
      </c>
      <c r="CU2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2" s="1">
        <f>IF(Table5[[#This Row],[WICKETS TAKEN]]="", 0, IF(Table5[[#This Row],[WICKETS TAKEN]] = 0, -25,
        Table5[[#This Row],[WICKETS TAKEN]] * 50)+Table5[[#This Row],[BONUS 2]])</f>
        <v>0</v>
      </c>
      <c r="CW22" s="1"/>
      <c r="CX22" s="1"/>
      <c r="CY22" s="1"/>
      <c r="CZ2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2" s="1">
        <f>IF(AND(Table5[[#This Row],[CATCHES TAKEN]]="",Table5[[#This Row],[RUNOUTS]]="",Table5[[#This Row],[STUMPINGS]]=""), 0, Table5[[#This Row],[BONUS 3]])</f>
        <v>0</v>
      </c>
      <c r="DB22" s="1"/>
      <c r="DC22" s="1">
        <f>SUM(Table5[[#This Row],[SUB TOTAL 1]],Table5[[#This Row],[SUB TOTAL 2]],Table5[[#This Row],[SUB TOTAL 3]],Table5[[#This Row],[POM BONUS]])</f>
        <v>0</v>
      </c>
      <c r="DD22" s="1"/>
      <c r="DE22" s="1"/>
      <c r="DF22" s="1"/>
      <c r="DG22" s="1"/>
      <c r="DH22" s="1">
        <f>IFERROR(_xlfn.NUMBERVALUE(SUBSTITUTE(Table6[[#This Row],[RUNS SCORED]],"*",""))/Table6[[#This Row],[BALLS FACED]]*100,0)</f>
        <v>0</v>
      </c>
      <c r="DI2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2" s="1">
        <f>IF(Table6[[#This Row],[RUNS SCORED]]="", 0, VALUE(SUBSTITUTE(Table6[[#This Row],[RUNS SCORED]],"*","")) + Table6[[#This Row],[BONUS 1]])</f>
        <v>0</v>
      </c>
      <c r="DK22" s="1"/>
      <c r="DL22" s="1"/>
      <c r="DM22" s="1"/>
      <c r="DN22" s="1"/>
      <c r="DO22" s="1">
        <f>IFERROR(Table6[[#This Row],[RUNS GIVEN]]/Table6[[#This Row],[OVERS]],0)</f>
        <v>0</v>
      </c>
      <c r="DP2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2" s="1">
        <f>IF(Table6[[#This Row],[WICKETS TAKEN]]="", 0, IF(Table6[[#This Row],[WICKETS TAKEN]] = 0, -25,
        Table6[[#This Row],[WICKETS TAKEN]] * 50)+Table6[[#This Row],[BONUS 2]])</f>
        <v>0</v>
      </c>
      <c r="DR22" s="1"/>
      <c r="DS22" s="1"/>
      <c r="DT22" s="1"/>
      <c r="DU2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2" s="1">
        <f>IF(AND(Table6[[#This Row],[CATCHES TAKEN]]="",Table6[[#This Row],[RUNOUTS]]="",Table6[[#This Row],[STUMPINGS]]=""), 0, Table6[[#This Row],[BONUS 3]])</f>
        <v>0</v>
      </c>
      <c r="DW22" s="1"/>
      <c r="DX22" s="1">
        <f>SUM(Table6[[#This Row],[SUB TOTAL 1]],Table6[[#This Row],[SUB TOTAL 2]],Table6[[#This Row],[SUB TOTAL 3]],Table6[[#This Row],[POM BONUS]])</f>
        <v>0</v>
      </c>
      <c r="DY22" s="1"/>
      <c r="DZ22" s="1"/>
      <c r="EA22" s="1"/>
      <c r="EB22" s="1"/>
      <c r="EC22" s="1">
        <f>IFERROR(_xlfn.NUMBERVALUE(SUBSTITUTE(Table7[[#This Row],[RUNS SCORED]],"*",""))/Table7[[#This Row],[BALLS FACED]]*100,0)</f>
        <v>0</v>
      </c>
      <c r="ED2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2" s="1">
        <f>IF(Table7[[#This Row],[RUNS SCORED]]="", 0, VALUE(SUBSTITUTE(Table7[[#This Row],[RUNS SCORED]],"*","")) + Table7[[#This Row],[BONUS 1]])</f>
        <v>0</v>
      </c>
      <c r="EF22" s="1"/>
      <c r="EG22" s="1"/>
      <c r="EH22" s="1"/>
      <c r="EI22" s="1"/>
      <c r="EJ22" s="1">
        <f>IFERROR(Table7[[#This Row],[RUNS GIVEN]]/Table7[[#This Row],[OVERS]],0)</f>
        <v>0</v>
      </c>
      <c r="EK2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2" s="1">
        <f>IF(Table7[[#This Row],[WICKETS TAKEN]]="", 0, IF(Table7[[#This Row],[WICKETS TAKEN]] = 0, -25,
        Table7[[#This Row],[WICKETS TAKEN]] * 50)+Table7[[#This Row],[BONUS 2]])</f>
        <v>0</v>
      </c>
      <c r="EM22" s="1"/>
      <c r="EN22" s="1"/>
      <c r="EO22" s="1"/>
      <c r="EP2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2" s="1">
        <f>IF(AND(Table7[[#This Row],[CATCHES TAKEN]]="",Table7[[#This Row],[RUNOUTS]]="",Table7[[#This Row],[STUMPINGS]]=""), 0, Table7[[#This Row],[BONUS 3]])</f>
        <v>0</v>
      </c>
      <c r="ER22" s="1"/>
      <c r="ES22" s="1">
        <f>SUM(Table7[[#This Row],[SUB TOTAL 1]],Table7[[#This Row],[SUB TOTAL 2]],Table7[[#This Row],[SUB TOTAL 3]],Table7[[#This Row],[POM BONUS]])</f>
        <v>0</v>
      </c>
    </row>
    <row r="23" spans="1:149" x14ac:dyDescent="0.3">
      <c r="A23" t="s">
        <v>57</v>
      </c>
      <c r="B23" s="1">
        <f>SUM(Table1[[#This Row],[GRAND TOTAL]],Table2[[#This Row],[GRAND TOTAL]],Table3[[#This Row],[GRAND TOTAL]],Table4[[#This Row],[GRAND TOTAL]],Table5[[#This Row],[GRAND TOTAL]],Table6[[#This Row],[GRAND TOTAL]],Table7[[#This Row],[GRAND TOTAL]])</f>
        <v>367</v>
      </c>
      <c r="C23" s="1">
        <v>35</v>
      </c>
      <c r="D23" s="1">
        <v>36</v>
      </c>
      <c r="E23" s="1">
        <v>1</v>
      </c>
      <c r="F23" s="1">
        <v>0</v>
      </c>
      <c r="G23" s="1">
        <f>IFERROR(_xlfn.NUMBERVALUE(SUBSTITUTE(Table1[[#This Row],[RUNS SCORED]],"*",""))/Table1[[#This Row],[BALLS FACED]]*100,0)</f>
        <v>97.222222222222214</v>
      </c>
      <c r="H2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23" s="1">
        <f>IF(Table1[[#This Row],[RUNS SCORED]]="", 0, VALUE(SUBSTITUTE(Table1[[#This Row],[RUNS SCORED]],"*","")) + Table1[[#This Row],[BONUS 1]])</f>
        <v>85</v>
      </c>
      <c r="J23" s="1"/>
      <c r="K23" s="1"/>
      <c r="L23" s="1"/>
      <c r="M23" s="1"/>
      <c r="N23" s="1">
        <f>IFERROR(Table1[[#This Row],[RUNS GIVEN]]/Table1[[#This Row],[OVERS]],0)</f>
        <v>0</v>
      </c>
      <c r="O2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3" s="1">
        <f>IF(Table1[[#This Row],[WICKETS TAKEN]]="", 0, IF(Table1[[#This Row],[WICKETS TAKEN]] = 0, -25,
        Table1[[#This Row],[WICKETS TAKEN]] * 50)+Table1[[#This Row],[BONUS 2]])</f>
        <v>0</v>
      </c>
      <c r="Q23" s="1"/>
      <c r="R23" s="1"/>
      <c r="S23" s="1"/>
      <c r="T2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3" s="1">
        <f>IF(AND(Table1[[#This Row],[CATCHES TAKEN]]="",Table1[[#This Row],[RUNOUTS]]="",Table1[[#This Row],[STUMPINGS]]=""), 0, Table1[[#This Row],[BONUS 3]])</f>
        <v>0</v>
      </c>
      <c r="V23" s="1"/>
      <c r="W23" s="1">
        <f>SUM(Table1[[#This Row],[SUB TOTAL 1]],Table1[[#This Row],[SUB TOTAL 2]],Table1[[#This Row],[SUB TOTAL 3]],Table1[[#This Row],[POM BONUS]])</f>
        <v>85</v>
      </c>
      <c r="X23" s="1">
        <v>8</v>
      </c>
      <c r="Y23" s="1">
        <v>9</v>
      </c>
      <c r="Z23" s="1">
        <v>0</v>
      </c>
      <c r="AA23" s="1">
        <v>0</v>
      </c>
      <c r="AB23" s="1">
        <f>IFERROR(_xlfn.NUMBERVALUE(SUBSTITUTE(Table2[[#This Row],[RUNS SCORED]],"*",""))/Table2[[#This Row],[BALLS FACED]]*100,0)</f>
        <v>88.888888888888886</v>
      </c>
      <c r="AC2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23" s="1">
        <f>IF(Table2[[#This Row],[RUNS SCORED]]="", 0, VALUE(SUBSTITUTE(Table2[[#This Row],[RUNS SCORED]],"*","")) + Table2[[#This Row],[BONUS 1]])</f>
        <v>-2</v>
      </c>
      <c r="AE23" s="1"/>
      <c r="AF23" s="1"/>
      <c r="AG23" s="1"/>
      <c r="AH23" s="1"/>
      <c r="AI23" s="1">
        <f>IFERROR(Table2[[#This Row],[RUNS GIVEN]]/Table2[[#This Row],[OVERS]],0)</f>
        <v>0</v>
      </c>
      <c r="AJ2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3" s="1">
        <f>IF(Table2[[#This Row],[WICKETS TAKEN]]="", 0, IF(Table2[[#This Row],[WICKETS TAKEN]] = 0, -25,
        Table2[[#This Row],[WICKETS TAKEN]] * 50)+Table2[[#This Row],[BONUS 2]])</f>
        <v>0</v>
      </c>
      <c r="AL23" s="1"/>
      <c r="AM23" s="1"/>
      <c r="AN23" s="1"/>
      <c r="AO2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3" s="1">
        <f>IF(AND(Table2[[#This Row],[CATCHES TAKEN]]="",Table2[[#This Row],[RUNOUTS]]="",Table2[[#This Row],[STUMPINGS]]=""), 0, Table2[[#This Row],[BONUS 3]])</f>
        <v>0</v>
      </c>
      <c r="AQ23" s="1"/>
      <c r="AR23" s="1">
        <f>SUM(Table2[[#This Row],[SUB TOTAL 1]],Table2[[#This Row],[SUB TOTAL 2]],Table2[[#This Row],[SUB TOTAL 3]],Table2[[#This Row],[POM BONUS]])</f>
        <v>-2</v>
      </c>
      <c r="AS23" s="1">
        <v>26</v>
      </c>
      <c r="AT23" s="1">
        <v>20</v>
      </c>
      <c r="AU23" s="1">
        <v>1</v>
      </c>
      <c r="AV23" s="1">
        <v>1</v>
      </c>
      <c r="AW23" s="1">
        <f>IFERROR(_xlfn.NUMBERVALUE(SUBSTITUTE(Table3[[#This Row],[RUNS SCORED]],"*",""))/Table3[[#This Row],[BALLS FACED]]*100,0)</f>
        <v>130</v>
      </c>
      <c r="AX2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Y23" s="1">
        <f>IF(Table3[[#This Row],[RUNS SCORED]]="", 0, VALUE(SUBSTITUTE(Table3[[#This Row],[RUNS SCORED]],"*","")) + Table3[[#This Row],[BONUS 1]])</f>
        <v>76</v>
      </c>
      <c r="AZ23" s="1"/>
      <c r="BA23" s="1"/>
      <c r="BB23" s="1"/>
      <c r="BC23" s="1"/>
      <c r="BD23" s="1">
        <f>IFERROR(Table3[[#This Row],[RUNS GIVEN]]/Table3[[#This Row],[OVERS]],0)</f>
        <v>0</v>
      </c>
      <c r="BE2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3" s="1">
        <f>IF(Table3[[#This Row],[WICKETS TAKEN]]="", 0, IF(Table3[[#This Row],[WICKETS TAKEN]] = 0, -25,
        Table3[[#This Row],[WICKETS TAKEN]] * 50)+Table3[[#This Row],[BONUS 2]])</f>
        <v>0</v>
      </c>
      <c r="BG23" s="1"/>
      <c r="BH23" s="1"/>
      <c r="BI23" s="1"/>
      <c r="BJ2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3" s="1">
        <f>IF(AND(Table3[[#This Row],[CATCHES TAKEN]]="",Table3[[#This Row],[RUNOUTS]]="",Table3[[#This Row],[STUMPINGS]]=""), 0, Table3[[#This Row],[BONUS 3]])</f>
        <v>0</v>
      </c>
      <c r="BL23" s="1"/>
      <c r="BM23" s="1">
        <f>SUM(Table3[[#This Row],[SUB TOTAL 1]],Table3[[#This Row],[SUB TOTAL 2]],Table3[[#This Row],[SUB TOTAL 3]],Table3[[#This Row],[POM BONUS]])</f>
        <v>76</v>
      </c>
      <c r="BN23" s="1">
        <v>58</v>
      </c>
      <c r="BO23" s="1">
        <v>37</v>
      </c>
      <c r="BP23" s="1">
        <v>4</v>
      </c>
      <c r="BQ23" s="1">
        <v>2</v>
      </c>
      <c r="BR23" s="1">
        <f>IFERROR(_xlfn.NUMBERVALUE(SUBSTITUTE(Table4[[#This Row],[RUNS SCORED]],"*",""))/Table4[[#This Row],[BALLS FACED]]*100,0)</f>
        <v>156.75675675675674</v>
      </c>
      <c r="BS2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BT23" s="1">
        <f>IF(Table4[[#This Row],[RUNS SCORED]]="", 0, VALUE(SUBSTITUTE(Table4[[#This Row],[RUNS SCORED]],"*","")) + Table4[[#This Row],[BONUS 1]])</f>
        <v>158</v>
      </c>
      <c r="BU23" s="1"/>
      <c r="BV23" s="1"/>
      <c r="BW23" s="1"/>
      <c r="BX23" s="1"/>
      <c r="BY23" s="1">
        <f>IFERROR(Table4[[#This Row],[RUNS GIVEN]]/Table4[[#This Row],[OVERS]],0)</f>
        <v>0</v>
      </c>
      <c r="BZ2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3" s="1">
        <f>IF(Table4[[#This Row],[WICKETS TAKEN]]="", 0, IF(Table4[[#This Row],[WICKETS TAKEN]] = 0, -25,
        Table4[[#This Row],[WICKETS TAKEN]] * 50)+Table4[[#This Row],[BONUS 2]])</f>
        <v>0</v>
      </c>
      <c r="CB23" s="1"/>
      <c r="CC23" s="1">
        <v>1</v>
      </c>
      <c r="CD23" s="1"/>
      <c r="CE2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CF23" s="1">
        <f>IF(AND(Table4[[#This Row],[CATCHES TAKEN]]="",Table4[[#This Row],[RUNOUTS]]="",Table4[[#This Row],[STUMPINGS]]=""), 0, Table4[[#This Row],[BONUS 3]])</f>
        <v>50</v>
      </c>
      <c r="CG23" s="1"/>
      <c r="CH23" s="1">
        <f>SUM(Table4[[#This Row],[SUB TOTAL 1]],Table4[[#This Row],[SUB TOTAL 2]],Table4[[#This Row],[SUB TOTAL 3]],Table4[[#This Row],[POM BONUS]])</f>
        <v>208</v>
      </c>
      <c r="CI23" s="1"/>
      <c r="CJ23" s="1"/>
      <c r="CK23" s="1"/>
      <c r="CL23" s="1"/>
      <c r="CM23" s="1">
        <f>IFERROR(_xlfn.NUMBERVALUE(SUBSTITUTE(Table5[[#This Row],[RUNS SCORED]],"*",""))/Table5[[#This Row],[BALLS FACED]]*100,0)</f>
        <v>0</v>
      </c>
      <c r="CN2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3" s="1">
        <f>IF(Table5[[#This Row],[RUNS SCORED]]="", 0, VALUE(SUBSTITUTE(Table5[[#This Row],[RUNS SCORED]],"*","")) + Table5[[#This Row],[BONUS 1]])</f>
        <v>0</v>
      </c>
      <c r="CP23" s="1"/>
      <c r="CQ23" s="1"/>
      <c r="CR23" s="1"/>
      <c r="CS23" s="1"/>
      <c r="CT23" s="1">
        <f>IFERROR(Table5[[#This Row],[RUNS GIVEN]]/Table5[[#This Row],[OVERS]],0)</f>
        <v>0</v>
      </c>
      <c r="CU2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3" s="1">
        <f>IF(Table5[[#This Row],[WICKETS TAKEN]]="", 0, IF(Table5[[#This Row],[WICKETS TAKEN]] = 0, -25,
        Table5[[#This Row],[WICKETS TAKEN]] * 50)+Table5[[#This Row],[BONUS 2]])</f>
        <v>0</v>
      </c>
      <c r="CW23" s="1"/>
      <c r="CX23" s="1"/>
      <c r="CY23" s="1"/>
      <c r="CZ2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3" s="1">
        <f>IF(AND(Table5[[#This Row],[CATCHES TAKEN]]="",Table5[[#This Row],[RUNOUTS]]="",Table5[[#This Row],[STUMPINGS]]=""), 0, Table5[[#This Row],[BONUS 3]])</f>
        <v>0</v>
      </c>
      <c r="DB23" s="1"/>
      <c r="DC23" s="1">
        <f>SUM(Table5[[#This Row],[SUB TOTAL 1]],Table5[[#This Row],[SUB TOTAL 2]],Table5[[#This Row],[SUB TOTAL 3]],Table5[[#This Row],[POM BONUS]])</f>
        <v>0</v>
      </c>
      <c r="DD23" s="1"/>
      <c r="DE23" s="1"/>
      <c r="DF23" s="1"/>
      <c r="DG23" s="1"/>
      <c r="DH23" s="1">
        <f>IFERROR(_xlfn.NUMBERVALUE(SUBSTITUTE(Table6[[#This Row],[RUNS SCORED]],"*",""))/Table6[[#This Row],[BALLS FACED]]*100,0)</f>
        <v>0</v>
      </c>
      <c r="DI2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3" s="1">
        <f>IF(Table6[[#This Row],[RUNS SCORED]]="", 0, VALUE(SUBSTITUTE(Table6[[#This Row],[RUNS SCORED]],"*","")) + Table6[[#This Row],[BONUS 1]])</f>
        <v>0</v>
      </c>
      <c r="DK23" s="1"/>
      <c r="DL23" s="1"/>
      <c r="DM23" s="1"/>
      <c r="DN23" s="1"/>
      <c r="DO23" s="1">
        <f>IFERROR(Table6[[#This Row],[RUNS GIVEN]]/Table6[[#This Row],[OVERS]],0)</f>
        <v>0</v>
      </c>
      <c r="DP2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3" s="1">
        <f>IF(Table6[[#This Row],[WICKETS TAKEN]]="", 0, IF(Table6[[#This Row],[WICKETS TAKEN]] = 0, -25,
        Table6[[#This Row],[WICKETS TAKEN]] * 50)+Table6[[#This Row],[BONUS 2]])</f>
        <v>0</v>
      </c>
      <c r="DR23" s="1"/>
      <c r="DS23" s="1"/>
      <c r="DT23" s="1"/>
      <c r="DU2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3" s="1">
        <f>IF(AND(Table6[[#This Row],[CATCHES TAKEN]]="",Table6[[#This Row],[RUNOUTS]]="",Table6[[#This Row],[STUMPINGS]]=""), 0, Table6[[#This Row],[BONUS 3]])</f>
        <v>0</v>
      </c>
      <c r="DW23" s="1"/>
      <c r="DX23" s="1">
        <f>SUM(Table6[[#This Row],[SUB TOTAL 1]],Table6[[#This Row],[SUB TOTAL 2]],Table6[[#This Row],[SUB TOTAL 3]],Table6[[#This Row],[POM BONUS]])</f>
        <v>0</v>
      </c>
      <c r="DY23" s="1"/>
      <c r="DZ23" s="1"/>
      <c r="EA23" s="1"/>
      <c r="EB23" s="1"/>
      <c r="EC23" s="1">
        <f>IFERROR(_xlfn.NUMBERVALUE(SUBSTITUTE(Table7[[#This Row],[RUNS SCORED]],"*",""))/Table7[[#This Row],[BALLS FACED]]*100,0)</f>
        <v>0</v>
      </c>
      <c r="ED2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3" s="1">
        <f>IF(Table7[[#This Row],[RUNS SCORED]]="", 0, VALUE(SUBSTITUTE(Table7[[#This Row],[RUNS SCORED]],"*","")) + Table7[[#This Row],[BONUS 1]])</f>
        <v>0</v>
      </c>
      <c r="EF23" s="1"/>
      <c r="EG23" s="1"/>
      <c r="EH23" s="1"/>
      <c r="EI23" s="1"/>
      <c r="EJ23" s="1">
        <f>IFERROR(Table7[[#This Row],[RUNS GIVEN]]/Table7[[#This Row],[OVERS]],0)</f>
        <v>0</v>
      </c>
      <c r="EK2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3" s="1">
        <f>IF(Table7[[#This Row],[WICKETS TAKEN]]="", 0, IF(Table7[[#This Row],[WICKETS TAKEN]] = 0, -25,
        Table7[[#This Row],[WICKETS TAKEN]] * 50)+Table7[[#This Row],[BONUS 2]])</f>
        <v>0</v>
      </c>
      <c r="EM23" s="1"/>
      <c r="EN23" s="1"/>
      <c r="EO23" s="1"/>
      <c r="EP2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3" s="1">
        <f>IF(AND(Table7[[#This Row],[CATCHES TAKEN]]="",Table7[[#This Row],[RUNOUTS]]="",Table7[[#This Row],[STUMPINGS]]=""), 0, Table7[[#This Row],[BONUS 3]])</f>
        <v>0</v>
      </c>
      <c r="ER23" s="1"/>
      <c r="ES23" s="1">
        <f>SUM(Table7[[#This Row],[SUB TOTAL 1]],Table7[[#This Row],[SUB TOTAL 2]],Table7[[#This Row],[SUB TOTAL 3]],Table7[[#This Row],[POM BONUS]])</f>
        <v>0</v>
      </c>
    </row>
    <row r="24" spans="1:149" x14ac:dyDescent="0.3">
      <c r="A24" t="s">
        <v>206</v>
      </c>
      <c r="B24" s="1">
        <f>SUM(Table1[[#This Row],[GRAND TOTAL]],Table2[[#This Row],[GRAND TOTAL]],Table3[[#This Row],[GRAND TOTAL]],Table4[[#This Row],[GRAND TOTAL]],Table5[[#This Row],[GRAND TOTAL]],Table6[[#This Row],[GRAND TOTAL]],Table7[[#This Row],[GRAND TOTAL]])</f>
        <v>200</v>
      </c>
      <c r="C24" s="1"/>
      <c r="D24" s="1"/>
      <c r="E24" s="1"/>
      <c r="F24" s="1"/>
      <c r="G24" s="1">
        <f>IFERROR(_xlfn.NUMBERVALUE(SUBSTITUTE(Table1[[#This Row],[RUNS SCORED]],"*",""))/Table1[[#This Row],[BALLS FACED]]*100,0)</f>
        <v>0</v>
      </c>
      <c r="H2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4" s="1">
        <f>IF(Table1[[#This Row],[RUNS SCORED]]="", 0, VALUE(SUBSTITUTE(Table1[[#This Row],[RUNS SCORED]],"*","")) + Table1[[#This Row],[BONUS 1]])</f>
        <v>0</v>
      </c>
      <c r="J24" s="1">
        <v>2</v>
      </c>
      <c r="K24" s="1">
        <v>0</v>
      </c>
      <c r="L24" s="1">
        <v>4</v>
      </c>
      <c r="M24" s="1">
        <v>1</v>
      </c>
      <c r="N24" s="1">
        <f>IFERROR(Table1[[#This Row],[RUNS GIVEN]]/Table1[[#This Row],[OVERS]],0)</f>
        <v>2</v>
      </c>
      <c r="O2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24" s="1">
        <f>IF(Table1[[#This Row],[WICKETS TAKEN]]="", 0, IF(Table1[[#This Row],[WICKETS TAKEN]] = 0, -25,
        Table1[[#This Row],[WICKETS TAKEN]] * 50)+Table1[[#This Row],[BONUS 2]])</f>
        <v>150</v>
      </c>
      <c r="Q24" s="1"/>
      <c r="R24" s="1"/>
      <c r="S24" s="1"/>
      <c r="T2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4" s="1">
        <f>IF(AND(Table1[[#This Row],[CATCHES TAKEN]]="",Table1[[#This Row],[RUNOUTS]]="",Table1[[#This Row],[STUMPINGS]]=""), 0, Table1[[#This Row],[BONUS 3]])</f>
        <v>0</v>
      </c>
      <c r="V24" s="1"/>
      <c r="W24" s="1">
        <f>SUM(Table1[[#This Row],[SUB TOTAL 1]],Table1[[#This Row],[SUB TOTAL 2]],Table1[[#This Row],[SUB TOTAL 3]],Table1[[#This Row],[POM BONUS]])</f>
        <v>150</v>
      </c>
      <c r="X24" s="1"/>
      <c r="Y24" s="1"/>
      <c r="Z24" s="1"/>
      <c r="AA24" s="1"/>
      <c r="AB24" s="1">
        <f>IFERROR(_xlfn.NUMBERVALUE(SUBSTITUTE(Table2[[#This Row],[RUNS SCORED]],"*",""))/Table2[[#This Row],[BALLS FACED]]*100,0)</f>
        <v>0</v>
      </c>
      <c r="AC2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4" s="1">
        <f>IF(Table2[[#This Row],[RUNS SCORED]]="", 0, VALUE(SUBSTITUTE(Table2[[#This Row],[RUNS SCORED]],"*","")) + Table2[[#This Row],[BONUS 1]])</f>
        <v>0</v>
      </c>
      <c r="AE24" s="1">
        <v>4</v>
      </c>
      <c r="AF24" s="1">
        <v>0</v>
      </c>
      <c r="AG24" s="1">
        <v>24</v>
      </c>
      <c r="AH24" s="1">
        <v>1</v>
      </c>
      <c r="AI24" s="1">
        <f>IFERROR(Table2[[#This Row],[RUNS GIVEN]]/Table2[[#This Row],[OVERS]],0)</f>
        <v>6</v>
      </c>
      <c r="AJ2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4" s="1">
        <f>IF(Table2[[#This Row],[WICKETS TAKEN]]="", 0, IF(Table2[[#This Row],[WICKETS TAKEN]] = 0, -25,
        Table2[[#This Row],[WICKETS TAKEN]] * 50)+Table2[[#This Row],[BONUS 2]])</f>
        <v>50</v>
      </c>
      <c r="AL24" s="1"/>
      <c r="AM24" s="1"/>
      <c r="AN24" s="1"/>
      <c r="AO2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4" s="1">
        <f>IF(AND(Table2[[#This Row],[CATCHES TAKEN]]="",Table2[[#This Row],[RUNOUTS]]="",Table2[[#This Row],[STUMPINGS]]=""), 0, Table2[[#This Row],[BONUS 3]])</f>
        <v>0</v>
      </c>
      <c r="AQ24" s="1"/>
      <c r="AR24" s="1">
        <f>SUM(Table2[[#This Row],[SUB TOTAL 1]],Table2[[#This Row],[SUB TOTAL 2]],Table2[[#This Row],[SUB TOTAL 3]],Table2[[#This Row],[POM BONUS]])</f>
        <v>50</v>
      </c>
      <c r="AS24" s="1"/>
      <c r="AT24" s="1"/>
      <c r="AU24" s="1"/>
      <c r="AV24" s="1"/>
      <c r="AW24" s="1">
        <f>IFERROR(_xlfn.NUMBERVALUE(SUBSTITUTE(Table3[[#This Row],[RUNS SCORED]],"*",""))/Table3[[#This Row],[BALLS FACED]]*100,0)</f>
        <v>0</v>
      </c>
      <c r="AX2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4" s="1">
        <f>IF(Table3[[#This Row],[RUNS SCORED]]="", 0, VALUE(SUBSTITUTE(Table3[[#This Row],[RUNS SCORED]],"*","")) + Table3[[#This Row],[BONUS 1]])</f>
        <v>0</v>
      </c>
      <c r="AZ24" s="1"/>
      <c r="BA24" s="1"/>
      <c r="BB24" s="1"/>
      <c r="BC24" s="1"/>
      <c r="BD24" s="1">
        <f>IFERROR(Table3[[#This Row],[RUNS GIVEN]]/Table3[[#This Row],[OVERS]],0)</f>
        <v>0</v>
      </c>
      <c r="BE2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4" s="1">
        <f>IF(Table3[[#This Row],[WICKETS TAKEN]]="", 0, IF(Table3[[#This Row],[WICKETS TAKEN]] = 0, -25,
        Table3[[#This Row],[WICKETS TAKEN]] * 50)+Table3[[#This Row],[BONUS 2]])</f>
        <v>0</v>
      </c>
      <c r="BG24" s="1"/>
      <c r="BH24" s="1"/>
      <c r="BI24" s="1"/>
      <c r="BJ2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4" s="1">
        <f>IF(AND(Table3[[#This Row],[CATCHES TAKEN]]="",Table3[[#This Row],[RUNOUTS]]="",Table3[[#This Row],[STUMPINGS]]=""), 0, Table3[[#This Row],[BONUS 3]])</f>
        <v>0</v>
      </c>
      <c r="BL24" s="1"/>
      <c r="BM24" s="1">
        <f>SUM(Table3[[#This Row],[SUB TOTAL 1]],Table3[[#This Row],[SUB TOTAL 2]],Table3[[#This Row],[SUB TOTAL 3]],Table3[[#This Row],[POM BONUS]])</f>
        <v>0</v>
      </c>
      <c r="BN24" s="1"/>
      <c r="BO24" s="1"/>
      <c r="BP24" s="1"/>
      <c r="BQ24" s="1"/>
      <c r="BR24" s="1">
        <f>IFERROR(_xlfn.NUMBERVALUE(SUBSTITUTE(Table4[[#This Row],[RUNS SCORED]],"*",""))/Table4[[#This Row],[BALLS FACED]]*100,0)</f>
        <v>0</v>
      </c>
      <c r="BS2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4" s="1">
        <f>IF(Table4[[#This Row],[RUNS SCORED]]="", 0, VALUE(SUBSTITUTE(Table4[[#This Row],[RUNS SCORED]],"*","")) + Table4[[#This Row],[BONUS 1]])</f>
        <v>0</v>
      </c>
      <c r="BU24" s="1">
        <v>4</v>
      </c>
      <c r="BV24" s="1">
        <v>0</v>
      </c>
      <c r="BW24" s="1">
        <v>25</v>
      </c>
      <c r="BX24" s="1">
        <v>0</v>
      </c>
      <c r="BY24" s="1">
        <f>IFERROR(Table4[[#This Row],[RUNS GIVEN]]/Table4[[#This Row],[OVERS]],0)</f>
        <v>6.25</v>
      </c>
      <c r="BZ2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4" s="1">
        <f>IF(Table4[[#This Row],[WICKETS TAKEN]]="", 0, IF(Table4[[#This Row],[WICKETS TAKEN]] = 0, -25,
        Table4[[#This Row],[WICKETS TAKEN]] * 50)+Table4[[#This Row],[BONUS 2]])</f>
        <v>-25</v>
      </c>
      <c r="CB24" s="1">
        <v>1</v>
      </c>
      <c r="CC24" s="1"/>
      <c r="CD24" s="1"/>
      <c r="CE2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24" s="1">
        <f>IF(AND(Table4[[#This Row],[CATCHES TAKEN]]="",Table4[[#This Row],[RUNOUTS]]="",Table4[[#This Row],[STUMPINGS]]=""), 0, Table4[[#This Row],[BONUS 3]])</f>
        <v>25</v>
      </c>
      <c r="CG24" s="1"/>
      <c r="CH24" s="1">
        <f>SUM(Table4[[#This Row],[SUB TOTAL 1]],Table4[[#This Row],[SUB TOTAL 2]],Table4[[#This Row],[SUB TOTAL 3]],Table4[[#This Row],[POM BONUS]])</f>
        <v>0</v>
      </c>
      <c r="CI24" s="1"/>
      <c r="CJ24" s="1"/>
      <c r="CK24" s="1"/>
      <c r="CL24" s="1"/>
      <c r="CM24" s="1">
        <f>IFERROR(_xlfn.NUMBERVALUE(SUBSTITUTE(Table5[[#This Row],[RUNS SCORED]],"*",""))/Table5[[#This Row],[BALLS FACED]]*100,0)</f>
        <v>0</v>
      </c>
      <c r="CN2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4" s="1">
        <f>IF(Table5[[#This Row],[RUNS SCORED]]="", 0, VALUE(SUBSTITUTE(Table5[[#This Row],[RUNS SCORED]],"*","")) + Table5[[#This Row],[BONUS 1]])</f>
        <v>0</v>
      </c>
      <c r="CP24" s="1"/>
      <c r="CQ24" s="1"/>
      <c r="CR24" s="1"/>
      <c r="CS24" s="1"/>
      <c r="CT24" s="1">
        <f>IFERROR(Table5[[#This Row],[RUNS GIVEN]]/Table5[[#This Row],[OVERS]],0)</f>
        <v>0</v>
      </c>
      <c r="CU2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4" s="1">
        <f>IF(Table5[[#This Row],[WICKETS TAKEN]]="", 0, IF(Table5[[#This Row],[WICKETS TAKEN]] = 0, -25,
        Table5[[#This Row],[WICKETS TAKEN]] * 50)+Table5[[#This Row],[BONUS 2]])</f>
        <v>0</v>
      </c>
      <c r="CW24" s="1"/>
      <c r="CX24" s="1"/>
      <c r="CY24" s="1"/>
      <c r="CZ2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4" s="1">
        <f>IF(AND(Table5[[#This Row],[CATCHES TAKEN]]="",Table5[[#This Row],[RUNOUTS]]="",Table5[[#This Row],[STUMPINGS]]=""), 0, Table5[[#This Row],[BONUS 3]])</f>
        <v>0</v>
      </c>
      <c r="DB24" s="1"/>
      <c r="DC24" s="1">
        <f>SUM(Table5[[#This Row],[SUB TOTAL 1]],Table5[[#This Row],[SUB TOTAL 2]],Table5[[#This Row],[SUB TOTAL 3]],Table5[[#This Row],[POM BONUS]])</f>
        <v>0</v>
      </c>
      <c r="DD24" s="1"/>
      <c r="DE24" s="1"/>
      <c r="DF24" s="1"/>
      <c r="DG24" s="1"/>
      <c r="DH24" s="1">
        <f>IFERROR(_xlfn.NUMBERVALUE(SUBSTITUTE(Table6[[#This Row],[RUNS SCORED]],"*",""))/Table6[[#This Row],[BALLS FACED]]*100,0)</f>
        <v>0</v>
      </c>
      <c r="DI2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4" s="1">
        <f>IF(Table6[[#This Row],[RUNS SCORED]]="", 0, VALUE(SUBSTITUTE(Table6[[#This Row],[RUNS SCORED]],"*","")) + Table6[[#This Row],[BONUS 1]])</f>
        <v>0</v>
      </c>
      <c r="DK24" s="1"/>
      <c r="DL24" s="1"/>
      <c r="DM24" s="1"/>
      <c r="DN24" s="1"/>
      <c r="DO24" s="1">
        <f>IFERROR(Table6[[#This Row],[RUNS GIVEN]]/Table6[[#This Row],[OVERS]],0)</f>
        <v>0</v>
      </c>
      <c r="DP2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4" s="1">
        <f>IF(Table6[[#This Row],[WICKETS TAKEN]]="", 0, IF(Table6[[#This Row],[WICKETS TAKEN]] = 0, -25,
        Table6[[#This Row],[WICKETS TAKEN]] * 50)+Table6[[#This Row],[BONUS 2]])</f>
        <v>0</v>
      </c>
      <c r="DR24" s="1"/>
      <c r="DS24" s="1"/>
      <c r="DT24" s="1"/>
      <c r="DU2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4" s="1">
        <f>IF(AND(Table6[[#This Row],[CATCHES TAKEN]]="",Table6[[#This Row],[RUNOUTS]]="",Table6[[#This Row],[STUMPINGS]]=""), 0, Table6[[#This Row],[BONUS 3]])</f>
        <v>0</v>
      </c>
      <c r="DW24" s="1"/>
      <c r="DX24" s="1">
        <f>SUM(Table6[[#This Row],[SUB TOTAL 1]],Table6[[#This Row],[SUB TOTAL 2]],Table6[[#This Row],[SUB TOTAL 3]],Table6[[#This Row],[POM BONUS]])</f>
        <v>0</v>
      </c>
      <c r="DY24" s="1"/>
      <c r="DZ24" s="1"/>
      <c r="EA24" s="1"/>
      <c r="EB24" s="1"/>
      <c r="EC24" s="1">
        <f>IFERROR(_xlfn.NUMBERVALUE(SUBSTITUTE(Table7[[#This Row],[RUNS SCORED]],"*",""))/Table7[[#This Row],[BALLS FACED]]*100,0)</f>
        <v>0</v>
      </c>
      <c r="ED2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4" s="1">
        <f>IF(Table7[[#This Row],[RUNS SCORED]]="", 0, VALUE(SUBSTITUTE(Table7[[#This Row],[RUNS SCORED]],"*","")) + Table7[[#This Row],[BONUS 1]])</f>
        <v>0</v>
      </c>
      <c r="EF24" s="1"/>
      <c r="EG24" s="1"/>
      <c r="EH24" s="1"/>
      <c r="EI24" s="1"/>
      <c r="EJ24" s="1">
        <f>IFERROR(Table7[[#This Row],[RUNS GIVEN]]/Table7[[#This Row],[OVERS]],0)</f>
        <v>0</v>
      </c>
      <c r="EK2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4" s="1">
        <f>IF(Table7[[#This Row],[WICKETS TAKEN]]="", 0, IF(Table7[[#This Row],[WICKETS TAKEN]] = 0, -25,
        Table7[[#This Row],[WICKETS TAKEN]] * 50)+Table7[[#This Row],[BONUS 2]])</f>
        <v>0</v>
      </c>
      <c r="EM24" s="1"/>
      <c r="EN24" s="1"/>
      <c r="EO24" s="1"/>
      <c r="EP2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4" s="1">
        <f>IF(AND(Table7[[#This Row],[CATCHES TAKEN]]="",Table7[[#This Row],[RUNOUTS]]="",Table7[[#This Row],[STUMPINGS]]=""), 0, Table7[[#This Row],[BONUS 3]])</f>
        <v>0</v>
      </c>
      <c r="ER24" s="1"/>
      <c r="ES24" s="1">
        <f>SUM(Table7[[#This Row],[SUB TOTAL 1]],Table7[[#This Row],[SUB TOTAL 2]],Table7[[#This Row],[SUB TOTAL 3]],Table7[[#This Row],[POM BONUS]])</f>
        <v>0</v>
      </c>
    </row>
    <row r="25" spans="1:149" x14ac:dyDescent="0.3">
      <c r="A25" t="s">
        <v>68</v>
      </c>
      <c r="B25" s="1">
        <f>SUM(Table1[[#This Row],[GRAND TOTAL]],Table2[[#This Row],[GRAND TOTAL]],Table3[[#This Row],[GRAND TOTAL]],Table4[[#This Row],[GRAND TOTAL]],Table5[[#This Row],[GRAND TOTAL]],Table6[[#This Row],[GRAND TOTAL]],Table7[[#This Row],[GRAND TOTAL]])</f>
        <v>362</v>
      </c>
      <c r="C25" s="1"/>
      <c r="D25" s="1"/>
      <c r="E25" s="1"/>
      <c r="F25" s="1"/>
      <c r="G25" s="1">
        <f>IFERROR(_xlfn.NUMBERVALUE(SUBSTITUTE(Table1[[#This Row],[RUNS SCORED]],"*",""))/Table1[[#This Row],[BALLS FACED]]*100,0)</f>
        <v>0</v>
      </c>
      <c r="H2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5" s="1">
        <f>IF(Table1[[#This Row],[RUNS SCORED]]="", 0, VALUE(SUBSTITUTE(Table1[[#This Row],[RUNS SCORED]],"*","")) + Table1[[#This Row],[BONUS 1]])</f>
        <v>0</v>
      </c>
      <c r="J25" s="1">
        <v>4</v>
      </c>
      <c r="K25" s="1">
        <v>0</v>
      </c>
      <c r="L25" s="1">
        <v>25</v>
      </c>
      <c r="M25" s="1">
        <v>2</v>
      </c>
      <c r="N25" s="1">
        <f>IFERROR(Table1[[#This Row],[RUNS GIVEN]]/Table1[[#This Row],[OVERS]],0)</f>
        <v>6.25</v>
      </c>
      <c r="O2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5" s="1">
        <f>IF(Table1[[#This Row],[WICKETS TAKEN]]="", 0, IF(Table1[[#This Row],[WICKETS TAKEN]] = 0, -25,
        Table1[[#This Row],[WICKETS TAKEN]] * 50)+Table1[[#This Row],[BONUS 2]])</f>
        <v>100</v>
      </c>
      <c r="Q25" s="1"/>
      <c r="R25" s="1"/>
      <c r="S25" s="1"/>
      <c r="T2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5" s="1">
        <f>IF(AND(Table1[[#This Row],[CATCHES TAKEN]]="",Table1[[#This Row],[RUNOUTS]]="",Table1[[#This Row],[STUMPINGS]]=""), 0, Table1[[#This Row],[BONUS 3]])</f>
        <v>0</v>
      </c>
      <c r="V25" s="1"/>
      <c r="W25" s="1">
        <f>SUM(Table1[[#This Row],[SUB TOTAL 1]],Table1[[#This Row],[SUB TOTAL 2]],Table1[[#This Row],[SUB TOTAL 3]],Table1[[#This Row],[POM BONUS]])</f>
        <v>100</v>
      </c>
      <c r="X25" s="1" t="s">
        <v>294</v>
      </c>
      <c r="Y25" s="1">
        <v>9</v>
      </c>
      <c r="Z25" s="1">
        <v>2</v>
      </c>
      <c r="AA25" s="1">
        <v>1</v>
      </c>
      <c r="AB25" s="1">
        <f>IFERROR(_xlfn.NUMBERVALUE(SUBSTITUTE(Table2[[#This Row],[RUNS SCORED]],"*",""))/Table2[[#This Row],[BALLS FACED]]*100,0)</f>
        <v>222.22222222222223</v>
      </c>
      <c r="AC2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AD25" s="1">
        <f>IF(Table2[[#This Row],[RUNS SCORED]]="", 0, VALUE(SUBSTITUTE(Table2[[#This Row],[RUNS SCORED]],"*","")) + Table2[[#This Row],[BONUS 1]])</f>
        <v>45</v>
      </c>
      <c r="AE25" s="1">
        <v>4</v>
      </c>
      <c r="AF25" s="1">
        <v>0</v>
      </c>
      <c r="AG25" s="1">
        <v>27</v>
      </c>
      <c r="AH25" s="1">
        <v>1</v>
      </c>
      <c r="AI25" s="1">
        <f>IFERROR(Table2[[#This Row],[RUNS GIVEN]]/Table2[[#This Row],[OVERS]],0)</f>
        <v>6.75</v>
      </c>
      <c r="AJ2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5" s="1">
        <f>IF(Table2[[#This Row],[WICKETS TAKEN]]="", 0, IF(Table2[[#This Row],[WICKETS TAKEN]] = 0, -25,
        Table2[[#This Row],[WICKETS TAKEN]] * 50)+Table2[[#This Row],[BONUS 2]])</f>
        <v>50</v>
      </c>
      <c r="AL25" s="1"/>
      <c r="AM25" s="1"/>
      <c r="AN25" s="1"/>
      <c r="AO2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5" s="1">
        <f>IF(AND(Table2[[#This Row],[CATCHES TAKEN]]="",Table2[[#This Row],[RUNOUTS]]="",Table2[[#This Row],[STUMPINGS]]=""), 0, Table2[[#This Row],[BONUS 3]])</f>
        <v>0</v>
      </c>
      <c r="AQ25" s="1"/>
      <c r="AR25" s="1">
        <f>SUM(Table2[[#This Row],[SUB TOTAL 1]],Table2[[#This Row],[SUB TOTAL 2]],Table2[[#This Row],[SUB TOTAL 3]],Table2[[#This Row],[POM BONUS]])</f>
        <v>95</v>
      </c>
      <c r="AS25" s="1"/>
      <c r="AT25" s="1"/>
      <c r="AU25" s="1"/>
      <c r="AV25" s="1"/>
      <c r="AW25" s="1">
        <f>IFERROR(_xlfn.NUMBERVALUE(SUBSTITUTE(Table3[[#This Row],[RUNS SCORED]],"*",""))/Table3[[#This Row],[BALLS FACED]]*100,0)</f>
        <v>0</v>
      </c>
      <c r="AX2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5" s="1">
        <f>IF(Table3[[#This Row],[RUNS SCORED]]="", 0, VALUE(SUBSTITUTE(Table3[[#This Row],[RUNS SCORED]],"*","")) + Table3[[#This Row],[BONUS 1]])</f>
        <v>0</v>
      </c>
      <c r="AZ25" s="1">
        <v>4</v>
      </c>
      <c r="BA25" s="1">
        <v>0</v>
      </c>
      <c r="BB25" s="1">
        <v>18</v>
      </c>
      <c r="BC25" s="1">
        <v>0</v>
      </c>
      <c r="BD25" s="1">
        <f>IFERROR(Table3[[#This Row],[RUNS GIVEN]]/Table3[[#This Row],[OVERS]],0)</f>
        <v>4.5</v>
      </c>
      <c r="BE2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BF25" s="1">
        <f>IF(Table3[[#This Row],[WICKETS TAKEN]]="", 0, IF(Table3[[#This Row],[WICKETS TAKEN]] = 0, -25,
        Table3[[#This Row],[WICKETS TAKEN]] * 50)+Table3[[#This Row],[BONUS 2]])</f>
        <v>75</v>
      </c>
      <c r="BG25" s="1"/>
      <c r="BH25" s="1"/>
      <c r="BI25" s="1"/>
      <c r="BJ2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5" s="1">
        <f>IF(AND(Table3[[#This Row],[CATCHES TAKEN]]="",Table3[[#This Row],[RUNOUTS]]="",Table3[[#This Row],[STUMPINGS]]=""), 0, Table3[[#This Row],[BONUS 3]])</f>
        <v>0</v>
      </c>
      <c r="BL25" s="1"/>
      <c r="BM25" s="1">
        <f>SUM(Table3[[#This Row],[SUB TOTAL 1]],Table3[[#This Row],[SUB TOTAL 2]],Table3[[#This Row],[SUB TOTAL 3]],Table3[[#This Row],[POM BONUS]])</f>
        <v>75</v>
      </c>
      <c r="BN25" s="1">
        <v>2</v>
      </c>
      <c r="BO25" s="1">
        <v>2</v>
      </c>
      <c r="BP25" s="1">
        <v>0</v>
      </c>
      <c r="BQ25" s="1">
        <v>0</v>
      </c>
      <c r="BR25" s="1">
        <f>IFERROR(_xlfn.NUMBERVALUE(SUBSTITUTE(Table4[[#This Row],[RUNS SCORED]],"*",""))/Table4[[#This Row],[BALLS FACED]]*100,0)</f>
        <v>100</v>
      </c>
      <c r="BS2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BT25" s="1">
        <f>IF(Table4[[#This Row],[RUNS SCORED]]="", 0, VALUE(SUBSTITUTE(Table4[[#This Row],[RUNS SCORED]],"*","")) + Table4[[#This Row],[BONUS 1]])</f>
        <v>-8</v>
      </c>
      <c r="BU25" s="1">
        <v>4</v>
      </c>
      <c r="BV25" s="1">
        <v>0</v>
      </c>
      <c r="BW25" s="1">
        <v>22</v>
      </c>
      <c r="BX25" s="1">
        <v>2</v>
      </c>
      <c r="BY25" s="1">
        <f>IFERROR(Table4[[#This Row],[RUNS GIVEN]]/Table4[[#This Row],[OVERS]],0)</f>
        <v>5.5</v>
      </c>
      <c r="BZ2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5" s="1">
        <f>IF(Table4[[#This Row],[WICKETS TAKEN]]="", 0, IF(Table4[[#This Row],[WICKETS TAKEN]] = 0, -25,
        Table4[[#This Row],[WICKETS TAKEN]] * 50)+Table4[[#This Row],[BONUS 2]])</f>
        <v>100</v>
      </c>
      <c r="CB25" s="1"/>
      <c r="CC25" s="1"/>
      <c r="CD25" s="1"/>
      <c r="CE2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5" s="1">
        <f>IF(AND(Table4[[#This Row],[CATCHES TAKEN]]="",Table4[[#This Row],[RUNOUTS]]="",Table4[[#This Row],[STUMPINGS]]=""), 0, Table4[[#This Row],[BONUS 3]])</f>
        <v>0</v>
      </c>
      <c r="CG25" s="1"/>
      <c r="CH25" s="1">
        <f>SUM(Table4[[#This Row],[SUB TOTAL 1]],Table4[[#This Row],[SUB TOTAL 2]],Table4[[#This Row],[SUB TOTAL 3]],Table4[[#This Row],[POM BONUS]])</f>
        <v>92</v>
      </c>
      <c r="CI25" s="1"/>
      <c r="CJ25" s="1"/>
      <c r="CK25" s="1"/>
      <c r="CL25" s="1"/>
      <c r="CM25" s="1">
        <f>IFERROR(_xlfn.NUMBERVALUE(SUBSTITUTE(Table5[[#This Row],[RUNS SCORED]],"*",""))/Table5[[#This Row],[BALLS FACED]]*100,0)</f>
        <v>0</v>
      </c>
      <c r="CN2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5" s="1">
        <f>IF(Table5[[#This Row],[RUNS SCORED]]="", 0, VALUE(SUBSTITUTE(Table5[[#This Row],[RUNS SCORED]],"*","")) + Table5[[#This Row],[BONUS 1]])</f>
        <v>0</v>
      </c>
      <c r="CP25" s="1"/>
      <c r="CQ25" s="1"/>
      <c r="CR25" s="1"/>
      <c r="CS25" s="1"/>
      <c r="CT25" s="1">
        <f>IFERROR(Table5[[#This Row],[RUNS GIVEN]]/Table5[[#This Row],[OVERS]],0)</f>
        <v>0</v>
      </c>
      <c r="CU2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5" s="1">
        <f>IF(Table5[[#This Row],[WICKETS TAKEN]]="", 0, IF(Table5[[#This Row],[WICKETS TAKEN]] = 0, -25,
        Table5[[#This Row],[WICKETS TAKEN]] * 50)+Table5[[#This Row],[BONUS 2]])</f>
        <v>0</v>
      </c>
      <c r="CW25" s="1"/>
      <c r="CX25" s="1"/>
      <c r="CY25" s="1"/>
      <c r="CZ2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5" s="1">
        <f>IF(AND(Table5[[#This Row],[CATCHES TAKEN]]="",Table5[[#This Row],[RUNOUTS]]="",Table5[[#This Row],[STUMPINGS]]=""), 0, Table5[[#This Row],[BONUS 3]])</f>
        <v>0</v>
      </c>
      <c r="DB25" s="1"/>
      <c r="DC25" s="1">
        <f>SUM(Table5[[#This Row],[SUB TOTAL 1]],Table5[[#This Row],[SUB TOTAL 2]],Table5[[#This Row],[SUB TOTAL 3]],Table5[[#This Row],[POM BONUS]])</f>
        <v>0</v>
      </c>
      <c r="DD25" s="1"/>
      <c r="DE25" s="1"/>
      <c r="DF25" s="1"/>
      <c r="DG25" s="1"/>
      <c r="DH25" s="1">
        <f>IFERROR(_xlfn.NUMBERVALUE(SUBSTITUTE(Table6[[#This Row],[RUNS SCORED]],"*",""))/Table6[[#This Row],[BALLS FACED]]*100,0)</f>
        <v>0</v>
      </c>
      <c r="DI2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5" s="1">
        <f>IF(Table6[[#This Row],[RUNS SCORED]]="", 0, VALUE(SUBSTITUTE(Table6[[#This Row],[RUNS SCORED]],"*","")) + Table6[[#This Row],[BONUS 1]])</f>
        <v>0</v>
      </c>
      <c r="DK25" s="1"/>
      <c r="DL25" s="1"/>
      <c r="DM25" s="1"/>
      <c r="DN25" s="1"/>
      <c r="DO25" s="1">
        <f>IFERROR(Table6[[#This Row],[RUNS GIVEN]]/Table6[[#This Row],[OVERS]],0)</f>
        <v>0</v>
      </c>
      <c r="DP2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5" s="1">
        <f>IF(Table6[[#This Row],[WICKETS TAKEN]]="", 0, IF(Table6[[#This Row],[WICKETS TAKEN]] = 0, -25,
        Table6[[#This Row],[WICKETS TAKEN]] * 50)+Table6[[#This Row],[BONUS 2]])</f>
        <v>0</v>
      </c>
      <c r="DR25" s="1"/>
      <c r="DS25" s="1"/>
      <c r="DT25" s="1"/>
      <c r="DU2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5" s="1">
        <f>IF(AND(Table6[[#This Row],[CATCHES TAKEN]]="",Table6[[#This Row],[RUNOUTS]]="",Table6[[#This Row],[STUMPINGS]]=""), 0, Table6[[#This Row],[BONUS 3]])</f>
        <v>0</v>
      </c>
      <c r="DW25" s="1"/>
      <c r="DX25" s="1">
        <f>SUM(Table6[[#This Row],[SUB TOTAL 1]],Table6[[#This Row],[SUB TOTAL 2]],Table6[[#This Row],[SUB TOTAL 3]],Table6[[#This Row],[POM BONUS]])</f>
        <v>0</v>
      </c>
      <c r="DY25" s="1"/>
      <c r="DZ25" s="1"/>
      <c r="EA25" s="1"/>
      <c r="EB25" s="1"/>
      <c r="EC25" s="1">
        <f>IFERROR(_xlfn.NUMBERVALUE(SUBSTITUTE(Table7[[#This Row],[RUNS SCORED]],"*",""))/Table7[[#This Row],[BALLS FACED]]*100,0)</f>
        <v>0</v>
      </c>
      <c r="ED2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5" s="1">
        <f>IF(Table7[[#This Row],[RUNS SCORED]]="", 0, VALUE(SUBSTITUTE(Table7[[#This Row],[RUNS SCORED]],"*","")) + Table7[[#This Row],[BONUS 1]])</f>
        <v>0</v>
      </c>
      <c r="EF25" s="1"/>
      <c r="EG25" s="1"/>
      <c r="EH25" s="1"/>
      <c r="EI25" s="1"/>
      <c r="EJ25" s="1">
        <f>IFERROR(Table7[[#This Row],[RUNS GIVEN]]/Table7[[#This Row],[OVERS]],0)</f>
        <v>0</v>
      </c>
      <c r="EK2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5" s="1">
        <f>IF(Table7[[#This Row],[WICKETS TAKEN]]="", 0, IF(Table7[[#This Row],[WICKETS TAKEN]] = 0, -25,
        Table7[[#This Row],[WICKETS TAKEN]] * 50)+Table7[[#This Row],[BONUS 2]])</f>
        <v>0</v>
      </c>
      <c r="EM25" s="1"/>
      <c r="EN25" s="1"/>
      <c r="EO25" s="1"/>
      <c r="EP2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5" s="1">
        <f>IF(AND(Table7[[#This Row],[CATCHES TAKEN]]="",Table7[[#This Row],[RUNOUTS]]="",Table7[[#This Row],[STUMPINGS]]=""), 0, Table7[[#This Row],[BONUS 3]])</f>
        <v>0</v>
      </c>
      <c r="ER25" s="1"/>
      <c r="ES25" s="1">
        <f>SUM(Table7[[#This Row],[SUB TOTAL 1]],Table7[[#This Row],[SUB TOTAL 2]],Table7[[#This Row],[SUB TOTAL 3]],Table7[[#This Row],[POM BONUS]])</f>
        <v>0</v>
      </c>
    </row>
    <row r="29" spans="1:149" x14ac:dyDescent="0.3">
      <c r="A29" s="7" t="s">
        <v>0</v>
      </c>
      <c r="B29" s="8" t="s">
        <v>280</v>
      </c>
      <c r="C29" s="8" t="s">
        <v>281</v>
      </c>
    </row>
    <row r="30" spans="1:149" x14ac:dyDescent="0.3">
      <c r="A30" t="s">
        <v>4</v>
      </c>
      <c r="B30" s="1">
        <f>_xlfn.XLOOKUP(Table411[[#This Row],[NAME]],Table8[NAME],Table8[RANK],"NA")</f>
        <v>5</v>
      </c>
      <c r="C30" s="1">
        <v>5</v>
      </c>
    </row>
    <row r="31" spans="1:149" x14ac:dyDescent="0.3">
      <c r="A31" t="s">
        <v>6</v>
      </c>
      <c r="B31" s="1">
        <f>_xlfn.XLOOKUP(Table411[[#This Row],[NAME]],Table8[NAME],Table8[RANK],"NA")</f>
        <v>6</v>
      </c>
      <c r="C31" s="1">
        <v>6</v>
      </c>
    </row>
    <row r="32" spans="1:149" x14ac:dyDescent="0.3">
      <c r="A32" t="s">
        <v>7</v>
      </c>
      <c r="B32" s="1">
        <f>_xlfn.XLOOKUP(Table411[[#This Row],[NAME]],Table8[NAME],Table8[RANK],"NA")</f>
        <v>4</v>
      </c>
      <c r="C32" s="1">
        <v>4</v>
      </c>
    </row>
    <row r="33" spans="1:3" x14ac:dyDescent="0.3">
      <c r="A33" t="s">
        <v>8</v>
      </c>
      <c r="B33" s="1">
        <f>_xlfn.XLOOKUP(Table411[[#This Row],[NAME]],Table8[NAME],Table8[RANK],"NA")</f>
        <v>7</v>
      </c>
      <c r="C33" s="1">
        <v>7</v>
      </c>
    </row>
    <row r="34" spans="1:3" x14ac:dyDescent="0.3">
      <c r="A34" t="s">
        <v>9</v>
      </c>
      <c r="B34" s="1">
        <f>_xlfn.XLOOKUP(Table411[[#This Row],[NAME]],Table8[NAME],Table8[RANK],"NA")</f>
        <v>2</v>
      </c>
      <c r="C34" s="1">
        <v>2</v>
      </c>
    </row>
    <row r="35" spans="1:3" x14ac:dyDescent="0.3">
      <c r="A35" t="s">
        <v>10</v>
      </c>
      <c r="B35" s="1">
        <f>_xlfn.XLOOKUP(Table411[[#This Row],[NAME]],Table8[NAME],Table8[RANK],"NA")</f>
        <v>1</v>
      </c>
      <c r="C35" s="1">
        <v>1</v>
      </c>
    </row>
    <row r="36" spans="1:3" x14ac:dyDescent="0.3">
      <c r="A36" t="s">
        <v>11</v>
      </c>
      <c r="B36" s="1">
        <f>_xlfn.XLOOKUP(Table411[[#This Row],[NAME]],Table8[NAME],Table8[RANK],"NA")</f>
        <v>3</v>
      </c>
      <c r="C36" s="1">
        <v>3</v>
      </c>
    </row>
    <row r="37" spans="1:3" x14ac:dyDescent="0.3">
      <c r="B37" s="1"/>
      <c r="C37" s="1"/>
    </row>
    <row r="38" spans="1:3" x14ac:dyDescent="0.3">
      <c r="B38" s="1"/>
      <c r="C38" s="1"/>
    </row>
    <row r="39" spans="1:3" x14ac:dyDescent="0.3">
      <c r="B39" s="1"/>
      <c r="C39" s="1"/>
    </row>
    <row r="40" spans="1:3" x14ac:dyDescent="0.3">
      <c r="B40" s="1"/>
      <c r="C40" s="1"/>
    </row>
  </sheetData>
  <mergeCells count="28">
    <mergeCell ref="DY1:ES1"/>
    <mergeCell ref="DY2:EE2"/>
    <mergeCell ref="EF2:EL2"/>
    <mergeCell ref="EM2:EQ2"/>
    <mergeCell ref="CI1:DC1"/>
    <mergeCell ref="CI2:CO2"/>
    <mergeCell ref="CP2:CV2"/>
    <mergeCell ref="CW2:DA2"/>
    <mergeCell ref="DD1:DX1"/>
    <mergeCell ref="DD2:DJ2"/>
    <mergeCell ref="DK2:DQ2"/>
    <mergeCell ref="DR2:DV2"/>
    <mergeCell ref="AS1:BM1"/>
    <mergeCell ref="AS2:AY2"/>
    <mergeCell ref="AZ2:BF2"/>
    <mergeCell ref="BG2:BK2"/>
    <mergeCell ref="BN1:CH1"/>
    <mergeCell ref="BN2:BT2"/>
    <mergeCell ref="BU2:CA2"/>
    <mergeCell ref="CB2:CF2"/>
    <mergeCell ref="C2:I2"/>
    <mergeCell ref="J2:P2"/>
    <mergeCell ref="Q2:U2"/>
    <mergeCell ref="C1:W1"/>
    <mergeCell ref="X1:AR1"/>
    <mergeCell ref="X2:AD2"/>
    <mergeCell ref="AE2:AK2"/>
    <mergeCell ref="AL2:AP2"/>
  </mergeCells>
  <phoneticPr fontId="2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81BB-7915-4B80-8308-A4B08B77485E}">
  <dimension ref="A1:AN8"/>
  <sheetViews>
    <sheetView topLeftCell="T1" workbookViewId="0">
      <selection activeCell="AB6" sqref="AB6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47</v>
      </c>
      <c r="C2">
        <v>211</v>
      </c>
      <c r="D2">
        <v>0</v>
      </c>
      <c r="E2">
        <v>109</v>
      </c>
      <c r="F2">
        <v>0</v>
      </c>
      <c r="I2">
        <v>142</v>
      </c>
      <c r="J2">
        <v>0</v>
      </c>
      <c r="M2">
        <v>111</v>
      </c>
      <c r="N2">
        <v>25</v>
      </c>
      <c r="Y2">
        <v>230</v>
      </c>
      <c r="Z2">
        <v>0</v>
      </c>
      <c r="AA2">
        <v>177</v>
      </c>
      <c r="AB2">
        <v>22</v>
      </c>
      <c r="AC2">
        <v>138</v>
      </c>
      <c r="AD2">
        <v>0</v>
      </c>
    </row>
    <row r="3" spans="1:40" x14ac:dyDescent="0.3">
      <c r="A3" t="s">
        <v>6</v>
      </c>
      <c r="B3">
        <f t="shared" ref="B3:B8" si="0">SUM(D3,F3,H3,J3,L3,N3,P3,R3,T3,V3,X3,Z3,AB3,AD3,AF3,AH3,AJ3,AL3,AN3)</f>
        <v>50</v>
      </c>
      <c r="E3">
        <v>85</v>
      </c>
      <c r="F3">
        <v>0</v>
      </c>
      <c r="G3">
        <v>123</v>
      </c>
      <c r="H3">
        <v>0</v>
      </c>
      <c r="I3">
        <v>125</v>
      </c>
      <c r="J3">
        <v>0</v>
      </c>
      <c r="M3">
        <v>165</v>
      </c>
      <c r="N3">
        <v>0</v>
      </c>
      <c r="S3">
        <v>166</v>
      </c>
      <c r="T3">
        <v>0</v>
      </c>
      <c r="U3">
        <v>180</v>
      </c>
      <c r="V3">
        <v>0</v>
      </c>
      <c r="W3">
        <v>180</v>
      </c>
      <c r="X3">
        <v>50</v>
      </c>
      <c r="Y3">
        <v>280</v>
      </c>
      <c r="Z3">
        <v>0</v>
      </c>
    </row>
    <row r="4" spans="1:40" x14ac:dyDescent="0.3">
      <c r="A4" t="s">
        <v>7</v>
      </c>
      <c r="B4">
        <f t="shared" si="0"/>
        <v>100</v>
      </c>
      <c r="C4">
        <v>191</v>
      </c>
      <c r="D4">
        <v>100</v>
      </c>
      <c r="E4">
        <v>94</v>
      </c>
      <c r="F4">
        <v>0</v>
      </c>
    </row>
    <row r="5" spans="1:40" x14ac:dyDescent="0.3">
      <c r="A5" t="s">
        <v>8</v>
      </c>
      <c r="B5">
        <f t="shared" si="0"/>
        <v>225</v>
      </c>
      <c r="C5">
        <v>192</v>
      </c>
      <c r="D5">
        <v>100</v>
      </c>
      <c r="E5">
        <v>78</v>
      </c>
      <c r="F5">
        <v>25</v>
      </c>
      <c r="W5">
        <v>166</v>
      </c>
      <c r="X5">
        <v>100</v>
      </c>
    </row>
    <row r="6" spans="1:40" x14ac:dyDescent="0.3">
      <c r="A6" t="s">
        <v>9</v>
      </c>
      <c r="B6">
        <f t="shared" si="0"/>
        <v>348.5</v>
      </c>
      <c r="E6">
        <v>123</v>
      </c>
      <c r="F6">
        <v>0</v>
      </c>
      <c r="G6">
        <v>135</v>
      </c>
      <c r="H6">
        <v>50</v>
      </c>
      <c r="I6">
        <v>167</v>
      </c>
      <c r="J6">
        <v>49</v>
      </c>
      <c r="M6">
        <v>172</v>
      </c>
      <c r="N6">
        <v>0</v>
      </c>
      <c r="Q6">
        <v>121</v>
      </c>
      <c r="R6">
        <v>0</v>
      </c>
      <c r="S6">
        <v>153</v>
      </c>
      <c r="T6">
        <v>149.5</v>
      </c>
      <c r="U6">
        <v>182</v>
      </c>
      <c r="V6">
        <v>0</v>
      </c>
      <c r="Y6">
        <v>233</v>
      </c>
      <c r="Z6">
        <v>0</v>
      </c>
      <c r="AC6">
        <v>167</v>
      </c>
      <c r="AD6">
        <v>100</v>
      </c>
    </row>
    <row r="7" spans="1:40" x14ac:dyDescent="0.3">
      <c r="A7" t="s">
        <v>10</v>
      </c>
      <c r="B7">
        <f t="shared" si="0"/>
        <v>225</v>
      </c>
      <c r="C7">
        <v>187</v>
      </c>
      <c r="D7">
        <v>100</v>
      </c>
      <c r="E7">
        <v>144</v>
      </c>
      <c r="F7">
        <v>0</v>
      </c>
      <c r="G7">
        <v>107</v>
      </c>
      <c r="H7">
        <v>0</v>
      </c>
      <c r="I7">
        <v>192</v>
      </c>
      <c r="J7">
        <v>0</v>
      </c>
      <c r="K7">
        <v>126</v>
      </c>
      <c r="L7">
        <v>0</v>
      </c>
      <c r="M7">
        <v>157</v>
      </c>
      <c r="N7">
        <v>0</v>
      </c>
      <c r="O7">
        <v>159</v>
      </c>
      <c r="P7">
        <v>0</v>
      </c>
      <c r="Q7">
        <v>103</v>
      </c>
      <c r="R7">
        <v>0</v>
      </c>
      <c r="S7">
        <v>172</v>
      </c>
      <c r="T7">
        <v>0</v>
      </c>
      <c r="U7">
        <v>155</v>
      </c>
      <c r="V7">
        <v>50</v>
      </c>
      <c r="W7">
        <v>160</v>
      </c>
      <c r="X7">
        <v>50</v>
      </c>
      <c r="Y7">
        <v>214</v>
      </c>
      <c r="Z7">
        <v>25</v>
      </c>
      <c r="AA7">
        <v>191</v>
      </c>
      <c r="AB7">
        <v>0</v>
      </c>
      <c r="AC7">
        <v>147</v>
      </c>
      <c r="AD7">
        <v>0</v>
      </c>
    </row>
    <row r="8" spans="1:40" x14ac:dyDescent="0.3">
      <c r="A8" t="s">
        <v>11</v>
      </c>
      <c r="B8">
        <f t="shared" si="0"/>
        <v>472</v>
      </c>
      <c r="C8">
        <v>199</v>
      </c>
      <c r="D8">
        <v>50</v>
      </c>
      <c r="E8">
        <v>131</v>
      </c>
      <c r="F8">
        <v>0</v>
      </c>
      <c r="K8">
        <v>140</v>
      </c>
      <c r="L8">
        <v>250</v>
      </c>
      <c r="M8">
        <v>185</v>
      </c>
      <c r="N8">
        <v>0</v>
      </c>
      <c r="O8">
        <v>170</v>
      </c>
      <c r="P8">
        <v>97</v>
      </c>
      <c r="Q8">
        <v>137</v>
      </c>
      <c r="R8">
        <v>25</v>
      </c>
      <c r="S8">
        <v>180</v>
      </c>
      <c r="T8">
        <v>0</v>
      </c>
      <c r="U8">
        <v>175</v>
      </c>
      <c r="V8">
        <v>0</v>
      </c>
      <c r="W8">
        <v>178</v>
      </c>
      <c r="X8">
        <v>50</v>
      </c>
      <c r="Y8">
        <v>223</v>
      </c>
      <c r="Z8">
        <v>0</v>
      </c>
      <c r="AA8">
        <v>183</v>
      </c>
      <c r="AB8">
        <v>0</v>
      </c>
      <c r="AC8">
        <v>186</v>
      </c>
      <c r="AD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5E8C-0246-49CA-8308-03DADEA53696}">
  <dimension ref="A1:AN8"/>
  <sheetViews>
    <sheetView topLeftCell="T1" workbookViewId="0">
      <selection activeCell="AC3" sqref="AC3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140</v>
      </c>
      <c r="C2" t="s">
        <v>98</v>
      </c>
      <c r="D2">
        <v>25</v>
      </c>
      <c r="E2" t="s">
        <v>31</v>
      </c>
      <c r="F2">
        <v>25</v>
      </c>
      <c r="I2" t="s">
        <v>104</v>
      </c>
      <c r="J2">
        <v>25</v>
      </c>
      <c r="M2" t="s">
        <v>31</v>
      </c>
      <c r="N2">
        <v>25</v>
      </c>
      <c r="Y2" t="s">
        <v>31</v>
      </c>
      <c r="Z2">
        <v>25</v>
      </c>
      <c r="AA2" t="s">
        <v>100</v>
      </c>
      <c r="AB2">
        <v>-10</v>
      </c>
      <c r="AC2" t="s">
        <v>31</v>
      </c>
      <c r="AD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122</v>
      </c>
      <c r="E3" t="s">
        <v>31</v>
      </c>
      <c r="F3">
        <v>25</v>
      </c>
      <c r="G3" t="s">
        <v>121</v>
      </c>
      <c r="H3">
        <v>25</v>
      </c>
      <c r="I3" t="s">
        <v>104</v>
      </c>
      <c r="J3">
        <v>25</v>
      </c>
      <c r="M3" t="s">
        <v>31</v>
      </c>
      <c r="N3">
        <v>25</v>
      </c>
      <c r="S3" t="s">
        <v>98</v>
      </c>
      <c r="T3">
        <v>-10</v>
      </c>
      <c r="U3" t="s">
        <v>104</v>
      </c>
      <c r="V3">
        <v>17</v>
      </c>
      <c r="W3" t="s">
        <v>98</v>
      </c>
      <c r="X3">
        <v>-10</v>
      </c>
      <c r="Y3" t="s">
        <v>31</v>
      </c>
      <c r="Z3">
        <v>25</v>
      </c>
    </row>
    <row r="4" spans="1:40" x14ac:dyDescent="0.3">
      <c r="A4" t="s">
        <v>7</v>
      </c>
      <c r="B4">
        <f t="shared" si="0"/>
        <v>50</v>
      </c>
      <c r="C4" t="s">
        <v>98</v>
      </c>
      <c r="D4">
        <v>25</v>
      </c>
      <c r="E4" t="s">
        <v>31</v>
      </c>
      <c r="F4">
        <v>25</v>
      </c>
    </row>
    <row r="5" spans="1:40" x14ac:dyDescent="0.3">
      <c r="A5" t="s">
        <v>8</v>
      </c>
      <c r="B5">
        <f t="shared" si="0"/>
        <v>75</v>
      </c>
      <c r="C5" t="s">
        <v>98</v>
      </c>
      <c r="D5">
        <v>25</v>
      </c>
      <c r="E5" t="s">
        <v>31</v>
      </c>
      <c r="F5">
        <v>25</v>
      </c>
      <c r="W5" t="s">
        <v>100</v>
      </c>
      <c r="X5">
        <v>25</v>
      </c>
    </row>
    <row r="6" spans="1:40" x14ac:dyDescent="0.3">
      <c r="A6" t="s">
        <v>9</v>
      </c>
      <c r="B6">
        <f t="shared" si="0"/>
        <v>177</v>
      </c>
      <c r="E6" t="s">
        <v>31</v>
      </c>
      <c r="F6">
        <v>25</v>
      </c>
      <c r="G6" t="s">
        <v>121</v>
      </c>
      <c r="H6">
        <v>25</v>
      </c>
      <c r="I6" t="s">
        <v>104</v>
      </c>
      <c r="J6">
        <v>24.5</v>
      </c>
      <c r="M6" t="s">
        <v>31</v>
      </c>
      <c r="N6">
        <v>25</v>
      </c>
      <c r="Q6" t="s">
        <v>100</v>
      </c>
      <c r="R6">
        <v>25</v>
      </c>
      <c r="S6" t="s">
        <v>98</v>
      </c>
      <c r="T6">
        <v>-10</v>
      </c>
      <c r="U6" t="s">
        <v>104</v>
      </c>
      <c r="V6">
        <v>22.5</v>
      </c>
      <c r="W6" t="s">
        <v>98</v>
      </c>
      <c r="X6">
        <v>-10</v>
      </c>
      <c r="Y6" t="s">
        <v>31</v>
      </c>
      <c r="Z6">
        <v>25</v>
      </c>
      <c r="AC6" t="s">
        <v>31</v>
      </c>
      <c r="AD6">
        <v>25</v>
      </c>
    </row>
    <row r="7" spans="1:40" x14ac:dyDescent="0.3">
      <c r="A7" t="s">
        <v>10</v>
      </c>
      <c r="B7">
        <f t="shared" si="0"/>
        <v>270</v>
      </c>
      <c r="C7" t="s">
        <v>98</v>
      </c>
      <c r="D7">
        <v>25</v>
      </c>
      <c r="E7" t="s">
        <v>31</v>
      </c>
      <c r="F7">
        <v>25</v>
      </c>
      <c r="G7" t="s">
        <v>121</v>
      </c>
      <c r="H7">
        <v>25</v>
      </c>
      <c r="I7" t="s">
        <v>104</v>
      </c>
      <c r="J7">
        <v>25</v>
      </c>
      <c r="K7" t="s">
        <v>100</v>
      </c>
      <c r="L7">
        <v>22</v>
      </c>
      <c r="M7" t="s">
        <v>31</v>
      </c>
      <c r="N7">
        <v>25</v>
      </c>
      <c r="O7" t="s">
        <v>95</v>
      </c>
      <c r="P7">
        <v>18</v>
      </c>
      <c r="Q7" t="s">
        <v>100</v>
      </c>
      <c r="R7">
        <v>25</v>
      </c>
      <c r="S7" t="s">
        <v>98</v>
      </c>
      <c r="T7">
        <v>-10</v>
      </c>
      <c r="U7" t="s">
        <v>104</v>
      </c>
      <c r="V7">
        <v>25</v>
      </c>
      <c r="W7" t="s">
        <v>100</v>
      </c>
      <c r="X7">
        <v>25</v>
      </c>
      <c r="Y7" t="s">
        <v>31</v>
      </c>
      <c r="Z7">
        <v>25</v>
      </c>
      <c r="AA7" t="s">
        <v>100</v>
      </c>
      <c r="AB7">
        <v>-10</v>
      </c>
      <c r="AC7" t="s">
        <v>31</v>
      </c>
      <c r="AD7">
        <v>25</v>
      </c>
    </row>
    <row r="8" spans="1:40" x14ac:dyDescent="0.3">
      <c r="A8" t="s">
        <v>11</v>
      </c>
      <c r="B8">
        <f t="shared" si="0"/>
        <v>190</v>
      </c>
      <c r="C8" t="s">
        <v>98</v>
      </c>
      <c r="D8">
        <v>25</v>
      </c>
      <c r="E8" t="s">
        <v>31</v>
      </c>
      <c r="F8">
        <v>25</v>
      </c>
      <c r="K8" t="s">
        <v>100</v>
      </c>
      <c r="L8">
        <v>25</v>
      </c>
      <c r="M8" t="s">
        <v>31</v>
      </c>
      <c r="N8">
        <v>25</v>
      </c>
      <c r="O8" t="s">
        <v>95</v>
      </c>
      <c r="P8">
        <v>22.5</v>
      </c>
      <c r="Q8" t="s">
        <v>100</v>
      </c>
      <c r="R8">
        <v>25</v>
      </c>
      <c r="S8" t="s">
        <v>98</v>
      </c>
      <c r="T8">
        <v>-10</v>
      </c>
      <c r="U8" t="s">
        <v>104</v>
      </c>
      <c r="V8">
        <v>22.5</v>
      </c>
      <c r="W8" t="s">
        <v>98</v>
      </c>
      <c r="X8">
        <v>-10</v>
      </c>
      <c r="Y8" t="s">
        <v>31</v>
      </c>
      <c r="Z8">
        <v>25</v>
      </c>
      <c r="AA8" t="s">
        <v>100</v>
      </c>
      <c r="AB8">
        <v>-10</v>
      </c>
      <c r="AC8" t="s">
        <v>31</v>
      </c>
      <c r="AD8">
        <v>25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DCAE-C81B-4D00-A17A-6A3AF8B368EF}">
  <dimension ref="A1:H23"/>
  <sheetViews>
    <sheetView workbookViewId="0">
      <selection activeCell="J5" sqref="J5"/>
    </sheetView>
  </sheetViews>
  <sheetFormatPr defaultRowHeight="14.4" x14ac:dyDescent="0.3"/>
  <sheetData>
    <row r="1" spans="1:8" x14ac:dyDescent="0.3">
      <c r="A1" t="s">
        <v>26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226</v>
      </c>
      <c r="H1" t="s">
        <v>233</v>
      </c>
    </row>
    <row r="2" spans="1:8" x14ac:dyDescent="0.3">
      <c r="A2" t="s">
        <v>72</v>
      </c>
      <c r="B2">
        <f>'DESCRIPTIVE PLAYER POINTS'!W4</f>
        <v>80</v>
      </c>
      <c r="C2">
        <f>'DESCRIPTIVE PLAYER POINTS'!AR4</f>
        <v>181</v>
      </c>
      <c r="D2">
        <f>'DESCRIPTIVE PLAYER POINTS'!BM4</f>
        <v>163</v>
      </c>
      <c r="E2">
        <f>'DESCRIPTIVE PLAYER POINTS'!CH4</f>
        <v>399</v>
      </c>
      <c r="F2">
        <f>'DESCRIPTIVE PLAYER POINTS'!DC4</f>
        <v>0</v>
      </c>
      <c r="G2">
        <f>'DESCRIPTIVE PLAYER POINTS'!DX4</f>
        <v>0</v>
      </c>
      <c r="H2">
        <f>'DESCRIPTIVE PLAYER POINTS'!ES4</f>
        <v>0</v>
      </c>
    </row>
    <row r="3" spans="1:8" x14ac:dyDescent="0.3">
      <c r="A3" t="s">
        <v>60</v>
      </c>
      <c r="B3">
        <f>'DESCRIPTIVE PLAYER POINTS'!W5</f>
        <v>10</v>
      </c>
      <c r="C3">
        <f>'DESCRIPTIVE PLAYER POINTS'!AR5</f>
        <v>-33</v>
      </c>
      <c r="D3">
        <f>'DESCRIPTIVE PLAYER POINTS'!BM5</f>
        <v>17</v>
      </c>
      <c r="E3">
        <f>'DESCRIPTIVE PLAYER POINTS'!CH5</f>
        <v>21</v>
      </c>
      <c r="F3">
        <f>'DESCRIPTIVE PLAYER POINTS'!DC5</f>
        <v>0</v>
      </c>
      <c r="G3">
        <f>'DESCRIPTIVE PLAYER POINTS'!DX5</f>
        <v>0</v>
      </c>
      <c r="H3">
        <f>'DESCRIPTIVE PLAYER POINTS'!ES5</f>
        <v>0</v>
      </c>
    </row>
    <row r="4" spans="1:8" x14ac:dyDescent="0.3">
      <c r="A4" t="s">
        <v>56</v>
      </c>
      <c r="B4">
        <f>'DESCRIPTIVE PLAYER POINTS'!W6</f>
        <v>0</v>
      </c>
      <c r="C4">
        <f>'DESCRIPTIVE PLAYER POINTS'!AR6</f>
        <v>0</v>
      </c>
      <c r="D4">
        <f>'DESCRIPTIVE PLAYER POINTS'!BM6</f>
        <v>25</v>
      </c>
      <c r="E4">
        <f>'DESCRIPTIVE PLAYER POINTS'!CH6</f>
        <v>0</v>
      </c>
      <c r="F4">
        <f>'DESCRIPTIVE PLAYER POINTS'!DC6</f>
        <v>0</v>
      </c>
      <c r="G4">
        <f>'DESCRIPTIVE PLAYER POINTS'!DX6</f>
        <v>0</v>
      </c>
      <c r="H4">
        <f>'DESCRIPTIVE PLAYER POINTS'!ES6</f>
        <v>0</v>
      </c>
    </row>
    <row r="5" spans="1:8" x14ac:dyDescent="0.3">
      <c r="A5" t="s">
        <v>59</v>
      </c>
      <c r="B5">
        <f>'DESCRIPTIVE PLAYER POINTS'!W7</f>
        <v>125</v>
      </c>
      <c r="C5">
        <f>'DESCRIPTIVE PLAYER POINTS'!AR7</f>
        <v>-8</v>
      </c>
      <c r="D5">
        <f>'DESCRIPTIVE PLAYER POINTS'!BM7</f>
        <v>-50</v>
      </c>
      <c r="E5">
        <f>'DESCRIPTIVE PLAYER POINTS'!CH7</f>
        <v>0</v>
      </c>
      <c r="F5">
        <f>'DESCRIPTIVE PLAYER POINTS'!DC7</f>
        <v>0</v>
      </c>
      <c r="G5">
        <f>'DESCRIPTIVE PLAYER POINTS'!DX7</f>
        <v>0</v>
      </c>
      <c r="H5">
        <f>'DESCRIPTIVE PLAYER POINTS'!ES7</f>
        <v>0</v>
      </c>
    </row>
    <row r="6" spans="1:8" x14ac:dyDescent="0.3">
      <c r="A6" t="s">
        <v>62</v>
      </c>
      <c r="B6">
        <f>'DESCRIPTIVE PLAYER POINTS'!W8</f>
        <v>-25</v>
      </c>
      <c r="C6">
        <f>'DESCRIPTIVE PLAYER POINTS'!AR8</f>
        <v>75</v>
      </c>
      <c r="D6">
        <f>'DESCRIPTIVE PLAYER POINTS'!BM8</f>
        <v>66</v>
      </c>
      <c r="E6">
        <f>'DESCRIPTIVE PLAYER POINTS'!CH8</f>
        <v>72</v>
      </c>
      <c r="F6">
        <f>'DESCRIPTIVE PLAYER POINTS'!DC8</f>
        <v>0</v>
      </c>
      <c r="G6">
        <f>'DESCRIPTIVE PLAYER POINTS'!DX8</f>
        <v>0</v>
      </c>
      <c r="H6">
        <f>'DESCRIPTIVE PLAYER POINTS'!ES8</f>
        <v>0</v>
      </c>
    </row>
    <row r="7" spans="1:8" x14ac:dyDescent="0.3">
      <c r="A7" t="s">
        <v>66</v>
      </c>
      <c r="B7">
        <f>'DESCRIPTIVE PLAYER POINTS'!W9</f>
        <v>-9</v>
      </c>
      <c r="C7">
        <f>'DESCRIPTIVE PLAYER POINTS'!AR9</f>
        <v>20</v>
      </c>
      <c r="D7">
        <f>'DESCRIPTIVE PLAYER POINTS'!BM9</f>
        <v>49</v>
      </c>
      <c r="E7">
        <f>'DESCRIPTIVE PLAYER POINTS'!CH9</f>
        <v>0</v>
      </c>
      <c r="F7">
        <f>'DESCRIPTIVE PLAYER POINTS'!DC9</f>
        <v>0</v>
      </c>
      <c r="G7">
        <f>'DESCRIPTIVE PLAYER POINTS'!DX9</f>
        <v>0</v>
      </c>
      <c r="H7">
        <f>'DESCRIPTIVE PLAYER POINTS'!ES9</f>
        <v>0</v>
      </c>
    </row>
    <row r="8" spans="1:8" x14ac:dyDescent="0.3">
      <c r="A8" t="s">
        <v>5</v>
      </c>
      <c r="B8">
        <f>'DESCRIPTIVE PLAYER POINTS'!W10</f>
        <v>50</v>
      </c>
      <c r="C8">
        <f>'DESCRIPTIVE PLAYER POINTS'!AR10</f>
        <v>125</v>
      </c>
      <c r="D8">
        <f>'DESCRIPTIVE PLAYER POINTS'!BM10</f>
        <v>0</v>
      </c>
      <c r="E8">
        <f>'DESCRIPTIVE PLAYER POINTS'!CH10</f>
        <v>-50</v>
      </c>
      <c r="F8">
        <f>'DESCRIPTIVE PLAYER POINTS'!DC10</f>
        <v>0</v>
      </c>
      <c r="G8">
        <f>'DESCRIPTIVE PLAYER POINTS'!DX10</f>
        <v>0</v>
      </c>
      <c r="H8">
        <f>'DESCRIPTIVE PLAYER POINTS'!ES10</f>
        <v>0</v>
      </c>
    </row>
    <row r="9" spans="1:8" x14ac:dyDescent="0.3">
      <c r="A9" t="s">
        <v>77</v>
      </c>
      <c r="B9">
        <f>'DESCRIPTIVE PLAYER POINTS'!W11</f>
        <v>0</v>
      </c>
      <c r="C9">
        <f>'DESCRIPTIVE PLAYER POINTS'!AR11</f>
        <v>20</v>
      </c>
      <c r="D9">
        <f>'DESCRIPTIVE PLAYER POINTS'!BM11</f>
        <v>201</v>
      </c>
      <c r="E9">
        <f>'DESCRIPTIVE PLAYER POINTS'!CH11</f>
        <v>-34</v>
      </c>
      <c r="F9">
        <f>'DESCRIPTIVE PLAYER POINTS'!DC11</f>
        <v>0</v>
      </c>
      <c r="G9">
        <f>'DESCRIPTIVE PLAYER POINTS'!DX11</f>
        <v>0</v>
      </c>
      <c r="H9">
        <f>'DESCRIPTIVE PLAYER POINTS'!ES11</f>
        <v>0</v>
      </c>
    </row>
    <row r="10" spans="1:8" x14ac:dyDescent="0.3">
      <c r="A10" t="s">
        <v>61</v>
      </c>
      <c r="B10">
        <f>'DESCRIPTIVE PLAYER POINTS'!W12</f>
        <v>25</v>
      </c>
      <c r="C10">
        <f>'DESCRIPTIVE PLAYER POINTS'!AR12</f>
        <v>50</v>
      </c>
      <c r="D10">
        <f>'DESCRIPTIVE PLAYER POINTS'!BM12</f>
        <v>43</v>
      </c>
      <c r="E10">
        <f>'DESCRIPTIVE PLAYER POINTS'!CH12</f>
        <v>0</v>
      </c>
      <c r="F10">
        <f>'DESCRIPTIVE PLAYER POINTS'!DC12</f>
        <v>0</v>
      </c>
      <c r="G10">
        <f>'DESCRIPTIVE PLAYER POINTS'!DX12</f>
        <v>0</v>
      </c>
      <c r="H10">
        <f>'DESCRIPTIVE PLAYER POINTS'!ES12</f>
        <v>0</v>
      </c>
    </row>
    <row r="11" spans="1:8" x14ac:dyDescent="0.3">
      <c r="A11" t="s">
        <v>76</v>
      </c>
      <c r="B11">
        <f>'DESCRIPTIVE PLAYER POINTS'!W13</f>
        <v>69</v>
      </c>
      <c r="C11">
        <f>'DESCRIPTIVE PLAYER POINTS'!AR13</f>
        <v>-50</v>
      </c>
      <c r="D11">
        <f>'DESCRIPTIVE PLAYER POINTS'!BM13</f>
        <v>-6</v>
      </c>
      <c r="E11">
        <f>'DESCRIPTIVE PLAYER POINTS'!CH13</f>
        <v>21</v>
      </c>
      <c r="F11">
        <f>'DESCRIPTIVE PLAYER POINTS'!DC13</f>
        <v>0</v>
      </c>
      <c r="G11">
        <f>'DESCRIPTIVE PLAYER POINTS'!DX13</f>
        <v>0</v>
      </c>
      <c r="H11">
        <f>'DESCRIPTIVE PLAYER POINTS'!ES13</f>
        <v>0</v>
      </c>
    </row>
    <row r="12" spans="1:8" x14ac:dyDescent="0.3">
      <c r="A12" t="s">
        <v>71</v>
      </c>
      <c r="B12">
        <f>'DESCRIPTIVE PLAYER POINTS'!W14</f>
        <v>0</v>
      </c>
      <c r="C12">
        <f>'DESCRIPTIVE PLAYER POINTS'!AR14</f>
        <v>50</v>
      </c>
      <c r="D12">
        <f>'DESCRIPTIVE PLAYER POINTS'!BM14</f>
        <v>250</v>
      </c>
      <c r="E12">
        <f>'DESCRIPTIVE PLAYER POINTS'!CH14</f>
        <v>350</v>
      </c>
      <c r="F12">
        <f>'DESCRIPTIVE PLAYER POINTS'!DC14</f>
        <v>0</v>
      </c>
      <c r="G12">
        <f>'DESCRIPTIVE PLAYER POINTS'!DX14</f>
        <v>0</v>
      </c>
      <c r="H12">
        <f>'DESCRIPTIVE PLAYER POINTS'!ES14</f>
        <v>0</v>
      </c>
    </row>
    <row r="13" spans="1:8" x14ac:dyDescent="0.3">
      <c r="A13" t="s">
        <v>75</v>
      </c>
      <c r="B13">
        <f>'DESCRIPTIVE PLAYER POINTS'!W15</f>
        <v>150</v>
      </c>
      <c r="C13">
        <f>'DESCRIPTIVE PLAYER POINTS'!AR15</f>
        <v>114</v>
      </c>
      <c r="D13">
        <f>'DESCRIPTIVE PLAYER POINTS'!BM15</f>
        <v>46</v>
      </c>
      <c r="E13">
        <f>'DESCRIPTIVE PLAYER POINTS'!CH15</f>
        <v>0</v>
      </c>
      <c r="F13">
        <f>'DESCRIPTIVE PLAYER POINTS'!DC15</f>
        <v>0</v>
      </c>
      <c r="G13">
        <f>'DESCRIPTIVE PLAYER POINTS'!DX15</f>
        <v>0</v>
      </c>
      <c r="H13">
        <f>'DESCRIPTIVE PLAYER POINTS'!ES15</f>
        <v>0</v>
      </c>
    </row>
    <row r="14" spans="1:8" x14ac:dyDescent="0.3">
      <c r="A14" t="s">
        <v>70</v>
      </c>
      <c r="B14">
        <f>'DESCRIPTIVE PLAYER POINTS'!W16</f>
        <v>150</v>
      </c>
      <c r="C14">
        <f>'DESCRIPTIVE PLAYER POINTS'!AR16</f>
        <v>268</v>
      </c>
      <c r="D14">
        <f>'DESCRIPTIVE PLAYER POINTS'!BM16</f>
        <v>-4</v>
      </c>
      <c r="E14">
        <f>'DESCRIPTIVE PLAYER POINTS'!CH16</f>
        <v>47</v>
      </c>
      <c r="F14">
        <f>'DESCRIPTIVE PLAYER POINTS'!DC16</f>
        <v>0</v>
      </c>
      <c r="G14">
        <f>'DESCRIPTIVE PLAYER POINTS'!DX16</f>
        <v>0</v>
      </c>
      <c r="H14">
        <f>'DESCRIPTIVE PLAYER POINTS'!ES16</f>
        <v>0</v>
      </c>
    </row>
    <row r="15" spans="1:8" x14ac:dyDescent="0.3">
      <c r="A15" t="s">
        <v>69</v>
      </c>
      <c r="B15">
        <f>'DESCRIPTIVE PLAYER POINTS'!W17</f>
        <v>0</v>
      </c>
      <c r="C15">
        <f>'DESCRIPTIVE PLAYER POINTS'!AR17</f>
        <v>0</v>
      </c>
      <c r="D15">
        <f>'DESCRIPTIVE PLAYER POINTS'!BM17</f>
        <v>50</v>
      </c>
      <c r="E15">
        <f>'DESCRIPTIVE PLAYER POINTS'!CH17</f>
        <v>0</v>
      </c>
      <c r="F15">
        <f>'DESCRIPTIVE PLAYER POINTS'!DC17</f>
        <v>0</v>
      </c>
      <c r="G15">
        <f>'DESCRIPTIVE PLAYER POINTS'!DX17</f>
        <v>0</v>
      </c>
      <c r="H15">
        <f>'DESCRIPTIVE PLAYER POINTS'!ES17</f>
        <v>0</v>
      </c>
    </row>
    <row r="16" spans="1:8" x14ac:dyDescent="0.3">
      <c r="A16" t="s">
        <v>73</v>
      </c>
      <c r="B16">
        <f>'DESCRIPTIVE PLAYER POINTS'!W18</f>
        <v>0</v>
      </c>
      <c r="C16">
        <f>'DESCRIPTIVE PLAYER POINTS'!AR18</f>
        <v>-7</v>
      </c>
      <c r="D16">
        <f>'DESCRIPTIVE PLAYER POINTS'!BM18</f>
        <v>70</v>
      </c>
      <c r="E16">
        <f>'DESCRIPTIVE PLAYER POINTS'!CH18</f>
        <v>42</v>
      </c>
      <c r="F16">
        <f>'DESCRIPTIVE PLAYER POINTS'!DC18</f>
        <v>0</v>
      </c>
      <c r="G16">
        <f>'DESCRIPTIVE PLAYER POINTS'!DX18</f>
        <v>0</v>
      </c>
      <c r="H16">
        <f>'DESCRIPTIVE PLAYER POINTS'!ES18</f>
        <v>0</v>
      </c>
    </row>
    <row r="17" spans="1:8" x14ac:dyDescent="0.3">
      <c r="A17" t="s">
        <v>67</v>
      </c>
      <c r="B17">
        <f>'DESCRIPTIVE PLAYER POINTS'!W19</f>
        <v>242</v>
      </c>
      <c r="C17">
        <f>'DESCRIPTIVE PLAYER POINTS'!AR19</f>
        <v>158</v>
      </c>
      <c r="D17">
        <f>'DESCRIPTIVE PLAYER POINTS'!BM19</f>
        <v>404</v>
      </c>
      <c r="E17">
        <f>'DESCRIPTIVE PLAYER POINTS'!CH19</f>
        <v>-50</v>
      </c>
      <c r="F17">
        <f>'DESCRIPTIVE PLAYER POINTS'!DC19</f>
        <v>0</v>
      </c>
      <c r="G17">
        <f>'DESCRIPTIVE PLAYER POINTS'!DX19</f>
        <v>0</v>
      </c>
      <c r="H17">
        <f>'DESCRIPTIVE PLAYER POINTS'!ES19</f>
        <v>0</v>
      </c>
    </row>
    <row r="18" spans="1:8" x14ac:dyDescent="0.3">
      <c r="A18" t="s">
        <v>28</v>
      </c>
      <c r="B18">
        <f>'DESCRIPTIVE PLAYER POINTS'!W20</f>
        <v>70</v>
      </c>
      <c r="C18">
        <f>'DESCRIPTIVE PLAYER POINTS'!AR20</f>
        <v>10</v>
      </c>
      <c r="D18">
        <f>'DESCRIPTIVE PLAYER POINTS'!BM20</f>
        <v>-5</v>
      </c>
      <c r="E18">
        <f>'DESCRIPTIVE PLAYER POINTS'!CH20</f>
        <v>97</v>
      </c>
      <c r="F18">
        <f>'DESCRIPTIVE PLAYER POINTS'!DC20</f>
        <v>0</v>
      </c>
      <c r="G18">
        <f>'DESCRIPTIVE PLAYER POINTS'!DX20</f>
        <v>0</v>
      </c>
      <c r="H18">
        <f>'DESCRIPTIVE PLAYER POINTS'!ES20</f>
        <v>0</v>
      </c>
    </row>
    <row r="19" spans="1:8" x14ac:dyDescent="0.3">
      <c r="A19" t="s">
        <v>58</v>
      </c>
      <c r="B19">
        <f>'DESCRIPTIVE PLAYER POINTS'!W21</f>
        <v>47</v>
      </c>
      <c r="C19">
        <f>'DESCRIPTIVE PLAYER POINTS'!AR21</f>
        <v>122</v>
      </c>
      <c r="D19">
        <f>'DESCRIPTIVE PLAYER POINTS'!BM21</f>
        <v>0</v>
      </c>
      <c r="E19">
        <f>'DESCRIPTIVE PLAYER POINTS'!CH21</f>
        <v>50</v>
      </c>
      <c r="F19">
        <f>'DESCRIPTIVE PLAYER POINTS'!DC21</f>
        <v>0</v>
      </c>
      <c r="G19">
        <f>'DESCRIPTIVE PLAYER POINTS'!DX21</f>
        <v>0</v>
      </c>
      <c r="H19">
        <f>'DESCRIPTIVE PLAYER POINTS'!ES21</f>
        <v>0</v>
      </c>
    </row>
    <row r="20" spans="1:8" x14ac:dyDescent="0.3">
      <c r="A20" t="s">
        <v>74</v>
      </c>
      <c r="B20">
        <f>'DESCRIPTIVE PLAYER POINTS'!W22</f>
        <v>0</v>
      </c>
      <c r="C20">
        <f>'DESCRIPTIVE PLAYER POINTS'!AR22</f>
        <v>106</v>
      </c>
      <c r="D20">
        <f>'DESCRIPTIVE PLAYER POINTS'!BM22</f>
        <v>54</v>
      </c>
      <c r="E20">
        <f>'DESCRIPTIVE PLAYER POINTS'!CH22</f>
        <v>105</v>
      </c>
      <c r="F20">
        <f>'DESCRIPTIVE PLAYER POINTS'!DC22</f>
        <v>0</v>
      </c>
      <c r="G20">
        <f>'DESCRIPTIVE PLAYER POINTS'!DX22</f>
        <v>0</v>
      </c>
      <c r="H20">
        <f>'DESCRIPTIVE PLAYER POINTS'!ES22</f>
        <v>0</v>
      </c>
    </row>
    <row r="21" spans="1:8" x14ac:dyDescent="0.3">
      <c r="A21" t="s">
        <v>57</v>
      </c>
      <c r="B21">
        <f>'DESCRIPTIVE PLAYER POINTS'!W23</f>
        <v>85</v>
      </c>
      <c r="C21">
        <f>'DESCRIPTIVE PLAYER POINTS'!AR23</f>
        <v>-2</v>
      </c>
      <c r="D21">
        <f>'DESCRIPTIVE PLAYER POINTS'!BM23</f>
        <v>76</v>
      </c>
      <c r="E21">
        <f>'DESCRIPTIVE PLAYER POINTS'!CH23</f>
        <v>208</v>
      </c>
      <c r="F21">
        <f>'DESCRIPTIVE PLAYER POINTS'!DC23</f>
        <v>0</v>
      </c>
      <c r="G21">
        <f>'DESCRIPTIVE PLAYER POINTS'!DX23</f>
        <v>0</v>
      </c>
      <c r="H21">
        <f>'DESCRIPTIVE PLAYER POINTS'!ES23</f>
        <v>0</v>
      </c>
    </row>
    <row r="22" spans="1:8" x14ac:dyDescent="0.3">
      <c r="A22" t="s">
        <v>206</v>
      </c>
      <c r="B22">
        <f>'DESCRIPTIVE PLAYER POINTS'!W24</f>
        <v>150</v>
      </c>
      <c r="C22">
        <f>'DESCRIPTIVE PLAYER POINTS'!AR24</f>
        <v>50</v>
      </c>
      <c r="D22">
        <f>'DESCRIPTIVE PLAYER POINTS'!BM24</f>
        <v>0</v>
      </c>
      <c r="E22">
        <f>'DESCRIPTIVE PLAYER POINTS'!CH24</f>
        <v>0</v>
      </c>
      <c r="F22">
        <f>'DESCRIPTIVE PLAYER POINTS'!DC24</f>
        <v>0</v>
      </c>
      <c r="G22">
        <f>'DESCRIPTIVE PLAYER POINTS'!DX24</f>
        <v>0</v>
      </c>
      <c r="H22">
        <f>'DESCRIPTIVE PLAYER POINTS'!ES24</f>
        <v>0</v>
      </c>
    </row>
    <row r="23" spans="1:8" x14ac:dyDescent="0.3">
      <c r="A23" t="s">
        <v>68</v>
      </c>
      <c r="B23">
        <f>'DESCRIPTIVE PLAYER POINTS'!W25</f>
        <v>100</v>
      </c>
      <c r="C23">
        <f>'DESCRIPTIVE PLAYER POINTS'!AR25</f>
        <v>95</v>
      </c>
      <c r="D23">
        <f>'DESCRIPTIVE PLAYER POINTS'!BM25</f>
        <v>75</v>
      </c>
      <c r="E23">
        <f>'DESCRIPTIVE PLAYER POINTS'!CH25</f>
        <v>92</v>
      </c>
      <c r="F23">
        <f>'DESCRIPTIVE PLAYER POINTS'!DC25</f>
        <v>0</v>
      </c>
      <c r="G23">
        <f>'DESCRIPTIVE PLAYER POINTS'!DX25</f>
        <v>0</v>
      </c>
      <c r="H23">
        <f>'DESCRIPTIVE PLAYER POINTS'!ES25</f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5517-04DE-4B26-B954-7EC6C23149E6}">
  <dimension ref="A1:H23"/>
  <sheetViews>
    <sheetView workbookViewId="0">
      <selection activeCell="E24" sqref="E24"/>
    </sheetView>
  </sheetViews>
  <sheetFormatPr defaultRowHeight="14.4" x14ac:dyDescent="0.3"/>
  <cols>
    <col min="1" max="1" width="22.109375" bestFit="1" customWidth="1"/>
    <col min="2" max="2" width="5.77734375" bestFit="1" customWidth="1"/>
    <col min="3" max="3" width="9.88671875" bestFit="1" customWidth="1"/>
    <col min="4" max="4" width="13.88671875" bestFit="1" customWidth="1"/>
    <col min="5" max="5" width="15.77734375" bestFit="1" customWidth="1"/>
    <col min="6" max="6" width="12.44140625" bestFit="1" customWidth="1"/>
    <col min="7" max="7" width="8.6640625" bestFit="1" customWidth="1"/>
  </cols>
  <sheetData>
    <row r="1" spans="1:8" x14ac:dyDescent="0.3">
      <c r="A1" t="s">
        <v>26</v>
      </c>
      <c r="B1" t="s">
        <v>29</v>
      </c>
      <c r="C1" t="s">
        <v>25</v>
      </c>
      <c r="D1" t="s">
        <v>91</v>
      </c>
      <c r="E1" t="s">
        <v>230</v>
      </c>
      <c r="F1" t="s">
        <v>27</v>
      </c>
      <c r="G1" t="s">
        <v>229</v>
      </c>
      <c r="H1" t="s">
        <v>231</v>
      </c>
    </row>
    <row r="2" spans="1:8" x14ac:dyDescent="0.3">
      <c r="A2" t="s">
        <v>72</v>
      </c>
      <c r="B2" t="str">
        <f>_xlfn.XLOOKUP(A2,Table11[PLAYER],Table11[TEAM],"")</f>
        <v>IND</v>
      </c>
      <c r="C2" t="str">
        <f>_xlfn.XLOOKUP(A2,Table11[PLAYER],Table11[CATEGORY],"")</f>
        <v>ALLROUNDER</v>
      </c>
      <c r="D2">
        <f>_xlfn.XLOOKUP(A2,Table11[PLAYER],Table11[CREDITS SCORE],"")</f>
        <v>10.5</v>
      </c>
      <c r="E2">
        <v>4</v>
      </c>
      <c r="F2">
        <f>_xlfn.XLOOKUP(A2,Table0[PLAYER NAME],Table0[POINTS TALLY],"")</f>
        <v>823</v>
      </c>
      <c r="G2">
        <f>IFERROR(F2/E2,"")</f>
        <v>205.75</v>
      </c>
      <c r="H2">
        <f>MAX('MATCH-WISE PERFORMANCE'!B2:H2)</f>
        <v>399</v>
      </c>
    </row>
    <row r="3" spans="1:8" x14ac:dyDescent="0.3">
      <c r="A3" t="s">
        <v>60</v>
      </c>
      <c r="B3" t="str">
        <f>_xlfn.XLOOKUP(A3,Table11[PLAYER],Table11[TEAM],"")</f>
        <v>SL</v>
      </c>
      <c r="C3" t="str">
        <f>_xlfn.XLOOKUP(A3,Table11[PLAYER],Table11[CATEGORY],"")</f>
        <v>ALLROUNDER</v>
      </c>
      <c r="D3">
        <f>_xlfn.XLOOKUP(A3,Table11[PLAYER],Table11[CREDITS SCORE],"")</f>
        <v>7.5</v>
      </c>
      <c r="E3">
        <v>4</v>
      </c>
      <c r="F3">
        <f>_xlfn.XLOOKUP(A3,Table0[PLAYER NAME],Table0[POINTS TALLY],"")</f>
        <v>15</v>
      </c>
      <c r="G3">
        <f t="shared" ref="G3:G23" si="0">IFERROR(F3/E3,"")</f>
        <v>3.75</v>
      </c>
      <c r="H3">
        <f>MAX('MATCH-WISE PERFORMANCE'!B3:H3)</f>
        <v>21</v>
      </c>
    </row>
    <row r="4" spans="1:8" x14ac:dyDescent="0.3">
      <c r="A4" t="s">
        <v>56</v>
      </c>
      <c r="B4" t="str">
        <f>_xlfn.XLOOKUP(A4,Table11[PLAYER],Table11[TEAM],"")</f>
        <v>SL</v>
      </c>
      <c r="C4" t="str">
        <f>_xlfn.XLOOKUP(A4,Table11[PLAYER],Table11[CATEGORY],"")</f>
        <v>ALLROUNDER</v>
      </c>
      <c r="D4">
        <f>_xlfn.XLOOKUP(A4,Table11[PLAYER],Table11[CREDITS SCORE],"")</f>
        <v>8</v>
      </c>
      <c r="F4">
        <f>_xlfn.XLOOKUP(A4,Table0[PLAYER NAME],Table0[POINTS TALLY],"")</f>
        <v>25</v>
      </c>
      <c r="G4" t="str">
        <f t="shared" si="0"/>
        <v/>
      </c>
      <c r="H4">
        <f>MAX('MATCH-WISE PERFORMANCE'!B4:H4)</f>
        <v>25</v>
      </c>
    </row>
    <row r="5" spans="1:8" x14ac:dyDescent="0.3">
      <c r="A5" t="s">
        <v>59</v>
      </c>
      <c r="B5" t="str">
        <f>_xlfn.XLOOKUP(A5,Table11[PLAYER],Table11[TEAM],"")</f>
        <v>AFG</v>
      </c>
      <c r="C5" t="str">
        <f>_xlfn.XLOOKUP(A5,Table11[PLAYER],Table11[CATEGORY],"")</f>
        <v>BOWLER</v>
      </c>
      <c r="D5">
        <f>_xlfn.XLOOKUP(A5,Table11[PLAYER],Table11[CREDITS SCORE],"")</f>
        <v>6.5</v>
      </c>
      <c r="E5">
        <v>3</v>
      </c>
      <c r="F5">
        <f>_xlfn.XLOOKUP(A5,Table0[PLAYER NAME],Table0[POINTS TALLY],"")</f>
        <v>67</v>
      </c>
      <c r="G5">
        <f t="shared" si="0"/>
        <v>22.333333333333332</v>
      </c>
      <c r="H5">
        <f>MAX('MATCH-WISE PERFORMANCE'!B5:H5)</f>
        <v>125</v>
      </c>
    </row>
    <row r="6" spans="1:8" x14ac:dyDescent="0.3">
      <c r="A6" t="s">
        <v>62</v>
      </c>
      <c r="B6" t="str">
        <f>_xlfn.XLOOKUP(A6,Table11[PLAYER],Table11[TEAM],"")</f>
        <v>IND</v>
      </c>
      <c r="C6" t="str">
        <f>_xlfn.XLOOKUP(A6,Table11[PLAYER],Table11[CATEGORY],"")</f>
        <v>ALLROUNDER</v>
      </c>
      <c r="D6">
        <f>_xlfn.XLOOKUP(A6,Table11[PLAYER],Table11[CREDITS SCORE],"")</f>
        <v>12</v>
      </c>
      <c r="E6">
        <v>4</v>
      </c>
      <c r="F6">
        <f>_xlfn.XLOOKUP(A6,Table0[PLAYER NAME],Table0[POINTS TALLY],"")</f>
        <v>188</v>
      </c>
      <c r="G6">
        <f t="shared" si="0"/>
        <v>47</v>
      </c>
      <c r="H6">
        <f>MAX('MATCH-WISE PERFORMANCE'!B6:H6)</f>
        <v>75</v>
      </c>
    </row>
    <row r="7" spans="1:8" x14ac:dyDescent="0.3">
      <c r="A7" t="s">
        <v>66</v>
      </c>
      <c r="B7" t="str">
        <f>_xlfn.XLOOKUP(A7,Table11[PLAYER],Table11[TEAM],"")</f>
        <v>AFG</v>
      </c>
      <c r="C7" t="str">
        <f>_xlfn.XLOOKUP(A7,Table11[PLAYER],Table11[CATEGORY],"")</f>
        <v>BATTER</v>
      </c>
      <c r="D7">
        <f>_xlfn.XLOOKUP(A7,Table11[PLAYER],Table11[CREDITS SCORE],"")</f>
        <v>7.5</v>
      </c>
      <c r="E7">
        <v>3</v>
      </c>
      <c r="F7">
        <f>_xlfn.XLOOKUP(A7,Table0[PLAYER NAME],Table0[POINTS TALLY],"")</f>
        <v>60</v>
      </c>
      <c r="G7">
        <f t="shared" si="0"/>
        <v>20</v>
      </c>
      <c r="H7">
        <f>MAX('MATCH-WISE PERFORMANCE'!B7:H7)</f>
        <v>49</v>
      </c>
    </row>
    <row r="8" spans="1:8" x14ac:dyDescent="0.3">
      <c r="A8" t="s">
        <v>5</v>
      </c>
      <c r="B8" t="str">
        <f>_xlfn.XLOOKUP(A8,Table11[PLAYER],Table11[TEAM],"")</f>
        <v>IND</v>
      </c>
      <c r="C8" t="str">
        <f>_xlfn.XLOOKUP(A8,Table11[PLAYER],Table11[CATEGORY],"")</f>
        <v>BOWLER</v>
      </c>
      <c r="D8">
        <f>_xlfn.XLOOKUP(A8,Table11[PLAYER],Table11[CREDITS SCORE],"")</f>
        <v>11</v>
      </c>
      <c r="E8">
        <v>3</v>
      </c>
      <c r="F8">
        <f>_xlfn.XLOOKUP(A8,Table0[PLAYER NAME],Table0[POINTS TALLY],"")</f>
        <v>125</v>
      </c>
      <c r="G8">
        <f t="shared" si="0"/>
        <v>41.666666666666664</v>
      </c>
      <c r="H8">
        <f>MAX('MATCH-WISE PERFORMANCE'!B8:H8)</f>
        <v>125</v>
      </c>
    </row>
    <row r="9" spans="1:8" x14ac:dyDescent="0.3">
      <c r="A9" t="s">
        <v>77</v>
      </c>
      <c r="B9" t="str">
        <f>_xlfn.XLOOKUP(A9,Table11[PLAYER],Table11[TEAM],"")</f>
        <v>SL</v>
      </c>
      <c r="C9" t="str">
        <f>_xlfn.XLOOKUP(A9,Table11[PLAYER],Table11[CATEGORY],"")</f>
        <v>ALLROUNDER</v>
      </c>
      <c r="D9">
        <f>_xlfn.XLOOKUP(A9,Table11[PLAYER],Table11[CREDITS SCORE],"")</f>
        <v>7.5</v>
      </c>
      <c r="E9">
        <v>4</v>
      </c>
      <c r="F9">
        <f>_xlfn.XLOOKUP(A9,Table0[PLAYER NAME],Table0[POINTS TALLY],"")</f>
        <v>187</v>
      </c>
      <c r="G9">
        <f t="shared" si="0"/>
        <v>46.75</v>
      </c>
      <c r="H9">
        <f>MAX('MATCH-WISE PERFORMANCE'!B9:H9)</f>
        <v>201</v>
      </c>
    </row>
    <row r="10" spans="1:8" x14ac:dyDescent="0.3">
      <c r="A10" t="s">
        <v>61</v>
      </c>
      <c r="B10" t="str">
        <f>_xlfn.XLOOKUP(A10,Table11[PLAYER],Table11[TEAM],"")</f>
        <v>PAK</v>
      </c>
      <c r="C10" t="str">
        <f>_xlfn.XLOOKUP(A10,Table11[PLAYER],Table11[CATEGORY],"")</f>
        <v>BATTER</v>
      </c>
      <c r="D10">
        <f>_xlfn.XLOOKUP(A10,Table11[PLAYER],Table11[CREDITS SCORE],"")</f>
        <v>7.5</v>
      </c>
      <c r="E10">
        <v>4</v>
      </c>
      <c r="F10">
        <f>_xlfn.XLOOKUP(A10,Table0[PLAYER NAME],Table0[POINTS TALLY],"")</f>
        <v>118</v>
      </c>
      <c r="G10">
        <f t="shared" si="0"/>
        <v>29.5</v>
      </c>
      <c r="H10">
        <f>MAX('MATCH-WISE PERFORMANCE'!B10:H10)</f>
        <v>50</v>
      </c>
    </row>
    <row r="11" spans="1:8" x14ac:dyDescent="0.3">
      <c r="A11" t="s">
        <v>76</v>
      </c>
      <c r="B11" t="str">
        <f>_xlfn.XLOOKUP(A11,Table11[PLAYER],Table11[TEAM],"")</f>
        <v>PAK</v>
      </c>
      <c r="C11" t="str">
        <f>_xlfn.XLOOKUP(A11,Table11[PLAYER],Table11[CATEGORY],"")</f>
        <v>ALLROUNDER</v>
      </c>
      <c r="D11">
        <f>_xlfn.XLOOKUP(A11,Table11[PLAYER],Table11[CREDITS SCORE],"")</f>
        <v>8.5</v>
      </c>
      <c r="E11">
        <v>4</v>
      </c>
      <c r="F11">
        <f>_xlfn.XLOOKUP(A11,Table0[PLAYER NAME],Table0[POINTS TALLY],"")</f>
        <v>34</v>
      </c>
      <c r="G11">
        <f t="shared" si="0"/>
        <v>8.5</v>
      </c>
      <c r="H11">
        <f>MAX('MATCH-WISE PERFORMANCE'!B11:H11)</f>
        <v>69</v>
      </c>
    </row>
    <row r="12" spans="1:8" x14ac:dyDescent="0.3">
      <c r="A12" t="s">
        <v>71</v>
      </c>
      <c r="B12" t="str">
        <f>_xlfn.XLOOKUP(A12,Table11[PLAYER],Table11[TEAM],"")</f>
        <v>BAN</v>
      </c>
      <c r="C12" t="str">
        <f>_xlfn.XLOOKUP(A12,Table11[PLAYER],Table11[CATEGORY],"")</f>
        <v>BOWLER</v>
      </c>
      <c r="D12">
        <f>_xlfn.XLOOKUP(A12,Table11[PLAYER],Table11[CREDITS SCORE],"")</f>
        <v>8.5</v>
      </c>
      <c r="E12">
        <v>4</v>
      </c>
      <c r="F12">
        <f>_xlfn.XLOOKUP(A12,Table0[PLAYER NAME],Table0[POINTS TALLY],"")</f>
        <v>650</v>
      </c>
      <c r="G12">
        <f t="shared" si="0"/>
        <v>162.5</v>
      </c>
      <c r="H12">
        <f>MAX('MATCH-WISE PERFORMANCE'!B12:H12)</f>
        <v>350</v>
      </c>
    </row>
    <row r="13" spans="1:8" x14ac:dyDescent="0.3">
      <c r="A13" t="s">
        <v>75</v>
      </c>
      <c r="B13" t="str">
        <f>_xlfn.XLOOKUP(A13,Table11[PLAYER],Table11[TEAM],"")</f>
        <v>AFG</v>
      </c>
      <c r="C13" t="str">
        <f>_xlfn.XLOOKUP(A13,Table11[PLAYER],Table11[CATEGORY],"")</f>
        <v>BOWLER</v>
      </c>
      <c r="D13">
        <f>_xlfn.XLOOKUP(A13,Table11[PLAYER],Table11[CREDITS SCORE],"")</f>
        <v>9</v>
      </c>
      <c r="E13">
        <v>3</v>
      </c>
      <c r="F13">
        <f>_xlfn.XLOOKUP(A13,Table0[PLAYER NAME],Table0[POINTS TALLY],"")</f>
        <v>310</v>
      </c>
      <c r="G13">
        <f t="shared" si="0"/>
        <v>103.33333333333333</v>
      </c>
      <c r="H13">
        <f>MAX('MATCH-WISE PERFORMANCE'!B13:H13)</f>
        <v>150</v>
      </c>
    </row>
    <row r="14" spans="1:8" x14ac:dyDescent="0.3">
      <c r="A14" t="s">
        <v>70</v>
      </c>
      <c r="B14" t="str">
        <f>_xlfn.XLOOKUP(A14,Table11[PLAYER],Table11[TEAM],"")</f>
        <v>SL</v>
      </c>
      <c r="C14" t="str">
        <f>_xlfn.XLOOKUP(A14,Table11[PLAYER],Table11[CATEGORY],"")</f>
        <v>BATTER</v>
      </c>
      <c r="D14">
        <f>_xlfn.XLOOKUP(A14,Table11[PLAYER],Table11[CREDITS SCORE],"")</f>
        <v>8.5</v>
      </c>
      <c r="E14">
        <v>4</v>
      </c>
      <c r="F14">
        <f>_xlfn.XLOOKUP(A14,Table0[PLAYER NAME],Table0[POINTS TALLY],"")</f>
        <v>461</v>
      </c>
      <c r="G14">
        <f t="shared" si="0"/>
        <v>115.25</v>
      </c>
      <c r="H14">
        <f>MAX('MATCH-WISE PERFORMANCE'!B14:H14)</f>
        <v>268</v>
      </c>
    </row>
    <row r="15" spans="1:8" x14ac:dyDescent="0.3">
      <c r="A15" t="s">
        <v>69</v>
      </c>
      <c r="B15" t="str">
        <f>_xlfn.XLOOKUP(A15,Table11[PLAYER],Table11[TEAM],"")</f>
        <v>IND</v>
      </c>
      <c r="C15" t="str">
        <f>_xlfn.XLOOKUP(A15,Table11[PLAYER],Table11[CATEGORY],"")</f>
        <v>BATTER</v>
      </c>
      <c r="D15">
        <f>_xlfn.XLOOKUP(A15,Table11[PLAYER],Table11[CREDITS SCORE],"")</f>
        <v>8</v>
      </c>
      <c r="F15">
        <f>_xlfn.XLOOKUP(A15,Table0[PLAYER NAME],Table0[POINTS TALLY],"")</f>
        <v>50</v>
      </c>
      <c r="G15" t="str">
        <f t="shared" si="0"/>
        <v/>
      </c>
      <c r="H15">
        <f>MAX('MATCH-WISE PERFORMANCE'!B15:H15)</f>
        <v>50</v>
      </c>
    </row>
    <row r="16" spans="1:8" x14ac:dyDescent="0.3">
      <c r="A16" t="s">
        <v>73</v>
      </c>
      <c r="B16" t="str">
        <f>_xlfn.XLOOKUP(A16,Table11[PLAYER],Table11[TEAM],"")</f>
        <v>PAK</v>
      </c>
      <c r="C16" t="str">
        <f>_xlfn.XLOOKUP(A16,Table11[PLAYER],Table11[CATEGORY],"")</f>
        <v>ALLROUNDER</v>
      </c>
      <c r="D16">
        <f>_xlfn.XLOOKUP(A16,Table11[PLAYER],Table11[CREDITS SCORE],"")</f>
        <v>9.5</v>
      </c>
      <c r="E16">
        <v>4</v>
      </c>
      <c r="F16">
        <f>_xlfn.XLOOKUP(A16,Table0[PLAYER NAME],Table0[POINTS TALLY],"")</f>
        <v>105</v>
      </c>
      <c r="G16">
        <f t="shared" si="0"/>
        <v>26.25</v>
      </c>
      <c r="H16">
        <f>MAX('MATCH-WISE PERFORMANCE'!B16:H16)</f>
        <v>70</v>
      </c>
    </row>
    <row r="17" spans="1:8" x14ac:dyDescent="0.3">
      <c r="A17" t="s">
        <v>67</v>
      </c>
      <c r="B17" t="str">
        <f>_xlfn.XLOOKUP(A17,Table11[PLAYER],Table11[TEAM],"")</f>
        <v>PAK</v>
      </c>
      <c r="C17" t="str">
        <f>_xlfn.XLOOKUP(A17,Table11[PLAYER],Table11[CATEGORY],"")</f>
        <v>BOWLER</v>
      </c>
      <c r="D17">
        <f>_xlfn.XLOOKUP(A17,Table11[PLAYER],Table11[CREDITS SCORE],"")</f>
        <v>9.5</v>
      </c>
      <c r="E17">
        <v>4</v>
      </c>
      <c r="F17">
        <f>_xlfn.XLOOKUP(A17,Table0[PLAYER NAME],Table0[POINTS TALLY],"")</f>
        <v>754</v>
      </c>
      <c r="G17">
        <f t="shared" si="0"/>
        <v>188.5</v>
      </c>
      <c r="H17">
        <f>MAX('MATCH-WISE PERFORMANCE'!B17:H17)</f>
        <v>404</v>
      </c>
    </row>
    <row r="18" spans="1:8" x14ac:dyDescent="0.3">
      <c r="A18" t="s">
        <v>28</v>
      </c>
      <c r="B18" t="str">
        <f>_xlfn.XLOOKUP(A18,Table11[PLAYER],Table11[TEAM],"")</f>
        <v>IND</v>
      </c>
      <c r="C18" t="str">
        <f>_xlfn.XLOOKUP(A18,Table11[PLAYER],Table11[CATEGORY],"")</f>
        <v>BATTER</v>
      </c>
      <c r="D18">
        <f>_xlfn.XLOOKUP(A18,Table11[PLAYER],Table11[CREDITS SCORE],"")</f>
        <v>10.5</v>
      </c>
      <c r="E18">
        <v>4</v>
      </c>
      <c r="F18">
        <f>_xlfn.XLOOKUP(A18,Table0[PLAYER NAME],Table0[POINTS TALLY],"")</f>
        <v>172</v>
      </c>
      <c r="G18">
        <f t="shared" si="0"/>
        <v>43</v>
      </c>
      <c r="H18">
        <f>MAX('MATCH-WISE PERFORMANCE'!B18:H18)</f>
        <v>97</v>
      </c>
    </row>
    <row r="19" spans="1:8" x14ac:dyDescent="0.3">
      <c r="A19" t="s">
        <v>58</v>
      </c>
      <c r="B19" t="str">
        <f>_xlfn.XLOOKUP(A19,Table11[PLAYER],Table11[TEAM],"")</f>
        <v>IND</v>
      </c>
      <c r="C19" t="str">
        <f>_xlfn.XLOOKUP(A19,Table11[PLAYER],Table11[CATEGORY],"")</f>
        <v>BATTER</v>
      </c>
      <c r="D19">
        <f>_xlfn.XLOOKUP(A19,Table11[PLAYER],Table11[CREDITS SCORE],"")</f>
        <v>11.5</v>
      </c>
      <c r="E19">
        <v>4</v>
      </c>
      <c r="F19">
        <f>_xlfn.XLOOKUP(A19,Table0[PLAYER NAME],Table0[POINTS TALLY],"")</f>
        <v>219</v>
      </c>
      <c r="G19">
        <f t="shared" si="0"/>
        <v>54.75</v>
      </c>
      <c r="H19">
        <f>MAX('MATCH-WISE PERFORMANCE'!B19:H19)</f>
        <v>122</v>
      </c>
    </row>
    <row r="20" spans="1:8" x14ac:dyDescent="0.3">
      <c r="A20" t="s">
        <v>74</v>
      </c>
      <c r="B20" t="str">
        <f>_xlfn.XLOOKUP(A20,Table11[PLAYER],Table11[TEAM],"")</f>
        <v>IND</v>
      </c>
      <c r="C20" t="str">
        <f>_xlfn.XLOOKUP(A20,Table11[PLAYER],Table11[CATEGORY],"")</f>
        <v>BATTER</v>
      </c>
      <c r="D20">
        <f>_xlfn.XLOOKUP(A20,Table11[PLAYER],Table11[CREDITS SCORE],"")</f>
        <v>9.5</v>
      </c>
      <c r="E20">
        <v>4</v>
      </c>
      <c r="F20">
        <f>_xlfn.XLOOKUP(A20,Table0[PLAYER NAME],Table0[POINTS TALLY],"")</f>
        <v>265</v>
      </c>
      <c r="G20">
        <f t="shared" si="0"/>
        <v>66.25</v>
      </c>
      <c r="H20">
        <f>MAX('MATCH-WISE PERFORMANCE'!B20:H20)</f>
        <v>106</v>
      </c>
    </row>
    <row r="21" spans="1:8" x14ac:dyDescent="0.3">
      <c r="A21" t="s">
        <v>57</v>
      </c>
      <c r="B21" t="str">
        <f>_xlfn.XLOOKUP(A21,Table11[PLAYER],Table11[TEAM],"")</f>
        <v>BAN</v>
      </c>
      <c r="C21" t="str">
        <f>_xlfn.XLOOKUP(A21,Table11[PLAYER],Table11[CATEGORY],"")</f>
        <v>BATTER</v>
      </c>
      <c r="D21">
        <f>_xlfn.XLOOKUP(A21,Table11[PLAYER],Table11[CREDITS SCORE],"")</f>
        <v>7</v>
      </c>
      <c r="E21">
        <v>4</v>
      </c>
      <c r="F21">
        <f>_xlfn.XLOOKUP(A21,Table0[PLAYER NAME],Table0[POINTS TALLY],"")</f>
        <v>367</v>
      </c>
      <c r="G21">
        <f t="shared" si="0"/>
        <v>91.75</v>
      </c>
      <c r="H21">
        <f>MAX('MATCH-WISE PERFORMANCE'!B21:H21)</f>
        <v>208</v>
      </c>
    </row>
    <row r="22" spans="1:8" x14ac:dyDescent="0.3">
      <c r="A22" t="s">
        <v>206</v>
      </c>
      <c r="B22" t="str">
        <f>_xlfn.XLOOKUP(A22,Table11[PLAYER],Table11[TEAM],"")</f>
        <v>IND</v>
      </c>
      <c r="C22" t="str">
        <f>_xlfn.XLOOKUP(A22,Table11[PLAYER],Table11[CATEGORY],"")</f>
        <v>BOWLER</v>
      </c>
      <c r="D22">
        <f>_xlfn.XLOOKUP(A22,Table11[PLAYER],Table11[CREDITS SCORE],"")</f>
        <v>10</v>
      </c>
      <c r="E22">
        <v>4</v>
      </c>
      <c r="F22">
        <f>_xlfn.XLOOKUP(A22,Table0[PLAYER NAME],Table0[POINTS TALLY],"")</f>
        <v>200</v>
      </c>
      <c r="G22">
        <f t="shared" si="0"/>
        <v>50</v>
      </c>
      <c r="H22">
        <f>MAX('MATCH-WISE PERFORMANCE'!B22:H22)</f>
        <v>150</v>
      </c>
    </row>
    <row r="23" spans="1:8" x14ac:dyDescent="0.3">
      <c r="A23" t="s">
        <v>68</v>
      </c>
      <c r="B23" t="str">
        <f>_xlfn.XLOOKUP(A23,Table11[PLAYER],Table11[TEAM],"")</f>
        <v>SL</v>
      </c>
      <c r="C23" t="str">
        <f>_xlfn.XLOOKUP(A23,Table11[PLAYER],Table11[CATEGORY],"")</f>
        <v>ALLROUNDER</v>
      </c>
      <c r="D23">
        <f>_xlfn.XLOOKUP(A23,Table11[PLAYER],Table11[CREDITS SCORE],"")</f>
        <v>9</v>
      </c>
      <c r="E23">
        <v>4</v>
      </c>
      <c r="F23">
        <f>_xlfn.XLOOKUP(A23,Table0[PLAYER NAME],Table0[POINTS TALLY],"")</f>
        <v>362</v>
      </c>
      <c r="G23">
        <f t="shared" si="0"/>
        <v>90.5</v>
      </c>
      <c r="H23">
        <f>MAX('MATCH-WISE PERFORMANCE'!B23:H23)</f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33B3-7830-44F6-BDD4-403C499C36B2}">
  <dimension ref="A1:A57"/>
  <sheetViews>
    <sheetView showGridLines="0" workbookViewId="0">
      <selection activeCell="A56" sqref="A56"/>
    </sheetView>
  </sheetViews>
  <sheetFormatPr defaultRowHeight="14.4" x14ac:dyDescent="0.3"/>
  <sheetData>
    <row r="1" spans="1:1" x14ac:dyDescent="0.3">
      <c r="A1" t="s">
        <v>289</v>
      </c>
    </row>
    <row r="3" spans="1:1" x14ac:dyDescent="0.3">
      <c r="A3" t="s">
        <v>207</v>
      </c>
    </row>
    <row r="5" spans="1:1" x14ac:dyDescent="0.3">
      <c r="A5" t="s">
        <v>291</v>
      </c>
    </row>
    <row r="7" spans="1:1" x14ac:dyDescent="0.3">
      <c r="A7" t="s">
        <v>17</v>
      </c>
    </row>
    <row r="8" spans="1:1" x14ac:dyDescent="0.3">
      <c r="A8" t="s">
        <v>234</v>
      </c>
    </row>
    <row r="9" spans="1:1" x14ac:dyDescent="0.3">
      <c r="A9" t="s">
        <v>18</v>
      </c>
    </row>
    <row r="10" spans="1:1" x14ac:dyDescent="0.3">
      <c r="A10" t="s">
        <v>208</v>
      </c>
    </row>
    <row r="11" spans="1:1" x14ac:dyDescent="0.3">
      <c r="A11" t="s">
        <v>209</v>
      </c>
    </row>
    <row r="12" spans="1:1" x14ac:dyDescent="0.3">
      <c r="A12" t="s">
        <v>210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211</v>
      </c>
    </row>
    <row r="17" spans="1:1" x14ac:dyDescent="0.3">
      <c r="A17" t="s">
        <v>290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235</v>
      </c>
    </row>
    <row r="22" spans="1:1" x14ac:dyDescent="0.3">
      <c r="A22" t="s">
        <v>212</v>
      </c>
    </row>
    <row r="23" spans="1:1" x14ac:dyDescent="0.3">
      <c r="A23" t="s">
        <v>236</v>
      </c>
    </row>
    <row r="24" spans="1:1" x14ac:dyDescent="0.3">
      <c r="A24" t="s">
        <v>213</v>
      </c>
    </row>
    <row r="25" spans="1:1" x14ac:dyDescent="0.3">
      <c r="A25" t="s">
        <v>23</v>
      </c>
    </row>
    <row r="26" spans="1:1" x14ac:dyDescent="0.3">
      <c r="A26" t="s">
        <v>214</v>
      </c>
    </row>
    <row r="27" spans="1:1" x14ac:dyDescent="0.3">
      <c r="A27" t="s">
        <v>213</v>
      </c>
    </row>
    <row r="29" spans="1:1" x14ac:dyDescent="0.3">
      <c r="A29" t="s">
        <v>292</v>
      </c>
    </row>
    <row r="31" spans="1:1" x14ac:dyDescent="0.3">
      <c r="A31" t="s">
        <v>239</v>
      </c>
    </row>
    <row r="32" spans="1:1" x14ac:dyDescent="0.3">
      <c r="A32" t="s">
        <v>237</v>
      </c>
    </row>
    <row r="33" spans="1:1" x14ac:dyDescent="0.3">
      <c r="A33" t="s">
        <v>238</v>
      </c>
    </row>
    <row r="35" spans="1:1" x14ac:dyDescent="0.3">
      <c r="A35" t="s">
        <v>299</v>
      </c>
    </row>
    <row r="37" spans="1:1" x14ac:dyDescent="0.3">
      <c r="A37" t="s">
        <v>24</v>
      </c>
    </row>
    <row r="38" spans="1:1" x14ac:dyDescent="0.3">
      <c r="A38" t="s">
        <v>240</v>
      </c>
    </row>
    <row r="40" spans="1:1" x14ac:dyDescent="0.3">
      <c r="A40" t="s">
        <v>300</v>
      </c>
    </row>
    <row r="42" spans="1:1" x14ac:dyDescent="0.3">
      <c r="A42" t="s">
        <v>215</v>
      </c>
    </row>
    <row r="43" spans="1:1" x14ac:dyDescent="0.3">
      <c r="A43" t="s">
        <v>285</v>
      </c>
    </row>
    <row r="44" spans="1:1" x14ac:dyDescent="0.3">
      <c r="A44" t="s">
        <v>284</v>
      </c>
    </row>
    <row r="45" spans="1:1" x14ac:dyDescent="0.3">
      <c r="A45" t="s">
        <v>283</v>
      </c>
    </row>
    <row r="46" spans="1:1" x14ac:dyDescent="0.3">
      <c r="A46" t="s">
        <v>282</v>
      </c>
    </row>
    <row r="47" spans="1:1" x14ac:dyDescent="0.3">
      <c r="A47" t="s">
        <v>216</v>
      </c>
    </row>
    <row r="49" spans="1:1" x14ac:dyDescent="0.3">
      <c r="A49" t="s">
        <v>301</v>
      </c>
    </row>
    <row r="51" spans="1:1" x14ac:dyDescent="0.3">
      <c r="A51" t="s">
        <v>286</v>
      </c>
    </row>
    <row r="52" spans="1:1" x14ac:dyDescent="0.3">
      <c r="A52" t="s">
        <v>287</v>
      </c>
    </row>
    <row r="54" spans="1:1" x14ac:dyDescent="0.3">
      <c r="A54" t="s">
        <v>302</v>
      </c>
    </row>
    <row r="55" spans="1:1" x14ac:dyDescent="0.3">
      <c r="A55" t="s">
        <v>305</v>
      </c>
    </row>
    <row r="56" spans="1:1" x14ac:dyDescent="0.3">
      <c r="A56" t="s">
        <v>303</v>
      </c>
    </row>
    <row r="57" spans="1:1" x14ac:dyDescent="0.3">
      <c r="A57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8401-9685-4F27-8B19-A16CFC5A216F}">
  <dimension ref="A1:F136"/>
  <sheetViews>
    <sheetView showGridLines="0" workbookViewId="0">
      <selection activeCell="H6" sqref="H6"/>
    </sheetView>
  </sheetViews>
  <sheetFormatPr defaultRowHeight="14.4" x14ac:dyDescent="0.3"/>
  <cols>
    <col min="2" max="2" width="9.21875" customWidth="1"/>
    <col min="3" max="3" width="15.88671875" customWidth="1"/>
    <col min="4" max="4" width="11.88671875" customWidth="1"/>
    <col min="6" max="6" width="10.88671875" customWidth="1"/>
  </cols>
  <sheetData>
    <row r="1" spans="1:6" x14ac:dyDescent="0.3">
      <c r="A1" t="s">
        <v>89</v>
      </c>
      <c r="B1" t="s">
        <v>90</v>
      </c>
      <c r="C1" t="s">
        <v>91</v>
      </c>
      <c r="D1" t="s">
        <v>25</v>
      </c>
      <c r="E1" t="s">
        <v>29</v>
      </c>
      <c r="F1" t="s">
        <v>30</v>
      </c>
    </row>
    <row r="2" spans="1:6" x14ac:dyDescent="0.3">
      <c r="A2">
        <v>1</v>
      </c>
      <c r="B2" t="s">
        <v>92</v>
      </c>
      <c r="C2">
        <v>5.5</v>
      </c>
      <c r="D2" t="s">
        <v>3</v>
      </c>
      <c r="E2" t="s">
        <v>93</v>
      </c>
      <c r="F2" t="s">
        <v>55</v>
      </c>
    </row>
    <row r="3" spans="1:6" x14ac:dyDescent="0.3">
      <c r="A3">
        <v>2</v>
      </c>
      <c r="B3" t="s">
        <v>72</v>
      </c>
      <c r="C3">
        <v>10.5</v>
      </c>
      <c r="D3" t="s">
        <v>3</v>
      </c>
      <c r="E3" t="s">
        <v>31</v>
      </c>
      <c r="F3">
        <v>16</v>
      </c>
    </row>
    <row r="4" spans="1:6" x14ac:dyDescent="0.3">
      <c r="A4">
        <v>3</v>
      </c>
      <c r="B4" t="s">
        <v>94</v>
      </c>
      <c r="C4">
        <v>6.5</v>
      </c>
      <c r="D4" t="s">
        <v>3</v>
      </c>
      <c r="E4" t="s">
        <v>95</v>
      </c>
      <c r="F4" t="s">
        <v>55</v>
      </c>
    </row>
    <row r="5" spans="1:6" x14ac:dyDescent="0.3">
      <c r="A5">
        <v>4</v>
      </c>
      <c r="B5" t="s">
        <v>96</v>
      </c>
      <c r="C5">
        <v>9.5</v>
      </c>
      <c r="D5" t="s">
        <v>3</v>
      </c>
      <c r="E5" t="s">
        <v>31</v>
      </c>
      <c r="F5">
        <v>12</v>
      </c>
    </row>
    <row r="6" spans="1:6" x14ac:dyDescent="0.3">
      <c r="A6">
        <v>5</v>
      </c>
      <c r="B6" t="s">
        <v>97</v>
      </c>
      <c r="C6">
        <v>8</v>
      </c>
      <c r="D6" t="s">
        <v>3</v>
      </c>
      <c r="E6" t="s">
        <v>98</v>
      </c>
      <c r="F6">
        <v>27</v>
      </c>
    </row>
    <row r="7" spans="1:6" x14ac:dyDescent="0.3">
      <c r="A7">
        <v>6</v>
      </c>
      <c r="B7" t="s">
        <v>99</v>
      </c>
      <c r="C7">
        <v>7</v>
      </c>
      <c r="D7" t="s">
        <v>3</v>
      </c>
      <c r="E7" t="s">
        <v>100</v>
      </c>
      <c r="F7" t="s">
        <v>55</v>
      </c>
    </row>
    <row r="8" spans="1:6" x14ac:dyDescent="0.3">
      <c r="A8">
        <v>7</v>
      </c>
      <c r="B8" t="s">
        <v>60</v>
      </c>
      <c r="C8">
        <v>7.5</v>
      </c>
      <c r="D8" t="s">
        <v>3</v>
      </c>
      <c r="E8" t="s">
        <v>100</v>
      </c>
      <c r="F8">
        <v>61</v>
      </c>
    </row>
    <row r="9" spans="1:6" x14ac:dyDescent="0.3">
      <c r="A9">
        <v>8</v>
      </c>
      <c r="B9" t="s">
        <v>101</v>
      </c>
      <c r="C9">
        <v>8.35</v>
      </c>
      <c r="D9" t="s">
        <v>3</v>
      </c>
      <c r="E9" t="s">
        <v>100</v>
      </c>
      <c r="F9">
        <v>22</v>
      </c>
    </row>
    <row r="10" spans="1:6" x14ac:dyDescent="0.3">
      <c r="A10">
        <v>9</v>
      </c>
      <c r="B10" t="s">
        <v>102</v>
      </c>
      <c r="C10">
        <v>6</v>
      </c>
      <c r="D10" t="s">
        <v>3</v>
      </c>
      <c r="E10" t="s">
        <v>95</v>
      </c>
      <c r="F10" t="s">
        <v>55</v>
      </c>
    </row>
    <row r="11" spans="1:6" x14ac:dyDescent="0.3">
      <c r="A11">
        <v>10</v>
      </c>
      <c r="B11" t="s">
        <v>56</v>
      </c>
      <c r="C11">
        <v>8</v>
      </c>
      <c r="D11" t="s">
        <v>3</v>
      </c>
      <c r="E11" t="s">
        <v>100</v>
      </c>
      <c r="F11" t="s">
        <v>55</v>
      </c>
    </row>
    <row r="12" spans="1:6" x14ac:dyDescent="0.3">
      <c r="A12">
        <v>11</v>
      </c>
      <c r="B12" t="s">
        <v>103</v>
      </c>
      <c r="C12">
        <v>8.5</v>
      </c>
      <c r="D12" t="s">
        <v>3</v>
      </c>
      <c r="E12" t="s">
        <v>104</v>
      </c>
      <c r="F12">
        <v>46</v>
      </c>
    </row>
    <row r="13" spans="1:6" x14ac:dyDescent="0.3">
      <c r="A13">
        <v>12</v>
      </c>
      <c r="B13" t="s">
        <v>105</v>
      </c>
      <c r="C13">
        <v>6</v>
      </c>
      <c r="D13" t="s">
        <v>3</v>
      </c>
      <c r="E13" t="s">
        <v>93</v>
      </c>
      <c r="F13" t="s">
        <v>55</v>
      </c>
    </row>
    <row r="14" spans="1:6" x14ac:dyDescent="0.3">
      <c r="A14">
        <v>13</v>
      </c>
      <c r="B14" t="s">
        <v>106</v>
      </c>
      <c r="C14">
        <v>7</v>
      </c>
      <c r="D14" t="s">
        <v>3</v>
      </c>
      <c r="E14" t="s">
        <v>98</v>
      </c>
      <c r="F14">
        <v>41</v>
      </c>
    </row>
    <row r="15" spans="1:6" x14ac:dyDescent="0.3">
      <c r="A15">
        <v>14</v>
      </c>
      <c r="B15" t="s">
        <v>62</v>
      </c>
      <c r="C15">
        <v>12</v>
      </c>
      <c r="D15" t="s">
        <v>3</v>
      </c>
      <c r="E15" t="s">
        <v>31</v>
      </c>
      <c r="F15">
        <v>1</v>
      </c>
    </row>
    <row r="16" spans="1:6" x14ac:dyDescent="0.3">
      <c r="A16">
        <v>15</v>
      </c>
      <c r="B16" t="s">
        <v>107</v>
      </c>
      <c r="C16">
        <v>6</v>
      </c>
      <c r="D16" t="s">
        <v>3</v>
      </c>
      <c r="E16" t="s">
        <v>95</v>
      </c>
      <c r="F16" t="s">
        <v>55</v>
      </c>
    </row>
    <row r="17" spans="1:6" x14ac:dyDescent="0.3">
      <c r="A17">
        <v>16</v>
      </c>
      <c r="B17" t="s">
        <v>108</v>
      </c>
      <c r="C17">
        <v>4.5</v>
      </c>
      <c r="D17" t="s">
        <v>3</v>
      </c>
      <c r="E17" t="s">
        <v>93</v>
      </c>
      <c r="F17" t="s">
        <v>55</v>
      </c>
    </row>
    <row r="18" spans="1:6" x14ac:dyDescent="0.3">
      <c r="A18">
        <v>17</v>
      </c>
      <c r="B18" t="s">
        <v>109</v>
      </c>
      <c r="C18">
        <v>6.5</v>
      </c>
      <c r="D18" t="s">
        <v>3</v>
      </c>
      <c r="E18" t="s">
        <v>104</v>
      </c>
      <c r="F18" t="s">
        <v>55</v>
      </c>
    </row>
    <row r="19" spans="1:6" x14ac:dyDescent="0.3">
      <c r="A19">
        <v>18</v>
      </c>
      <c r="B19" t="s">
        <v>77</v>
      </c>
      <c r="C19">
        <v>7.5</v>
      </c>
      <c r="D19" t="s">
        <v>3</v>
      </c>
      <c r="E19" t="s">
        <v>100</v>
      </c>
      <c r="F19" t="s">
        <v>55</v>
      </c>
    </row>
    <row r="20" spans="1:6" x14ac:dyDescent="0.3">
      <c r="A20">
        <v>19</v>
      </c>
      <c r="B20" t="s">
        <v>110</v>
      </c>
      <c r="C20">
        <v>5</v>
      </c>
      <c r="D20" t="s">
        <v>3</v>
      </c>
      <c r="E20" t="s">
        <v>93</v>
      </c>
      <c r="F20" t="s">
        <v>55</v>
      </c>
    </row>
    <row r="21" spans="1:6" x14ac:dyDescent="0.3">
      <c r="A21">
        <v>20</v>
      </c>
      <c r="B21" t="s">
        <v>111</v>
      </c>
      <c r="C21">
        <v>5.5</v>
      </c>
      <c r="D21" t="s">
        <v>3</v>
      </c>
      <c r="E21" t="s">
        <v>98</v>
      </c>
      <c r="F21">
        <v>55</v>
      </c>
    </row>
    <row r="22" spans="1:6" x14ac:dyDescent="0.3">
      <c r="A22">
        <v>21</v>
      </c>
      <c r="B22" t="s">
        <v>112</v>
      </c>
      <c r="C22">
        <v>4</v>
      </c>
      <c r="D22" t="s">
        <v>3</v>
      </c>
      <c r="E22" t="s">
        <v>113</v>
      </c>
      <c r="F22" t="s">
        <v>55</v>
      </c>
    </row>
    <row r="23" spans="1:6" x14ac:dyDescent="0.3">
      <c r="A23">
        <v>22</v>
      </c>
      <c r="B23" t="s">
        <v>114</v>
      </c>
      <c r="C23">
        <v>4</v>
      </c>
      <c r="D23" t="s">
        <v>3</v>
      </c>
      <c r="E23" t="s">
        <v>113</v>
      </c>
      <c r="F23" t="s">
        <v>55</v>
      </c>
    </row>
    <row r="24" spans="1:6" x14ac:dyDescent="0.3">
      <c r="A24">
        <v>23</v>
      </c>
      <c r="B24" t="s">
        <v>115</v>
      </c>
      <c r="C24">
        <v>8.5</v>
      </c>
      <c r="D24" t="s">
        <v>3</v>
      </c>
      <c r="E24" t="s">
        <v>98</v>
      </c>
      <c r="F24">
        <v>2</v>
      </c>
    </row>
    <row r="25" spans="1:6" x14ac:dyDescent="0.3">
      <c r="A25">
        <v>24</v>
      </c>
      <c r="B25" t="s">
        <v>76</v>
      </c>
      <c r="C25">
        <v>8.5</v>
      </c>
      <c r="D25" t="s">
        <v>3</v>
      </c>
      <c r="E25" t="s">
        <v>104</v>
      </c>
      <c r="F25">
        <v>21</v>
      </c>
    </row>
    <row r="26" spans="1:6" x14ac:dyDescent="0.3">
      <c r="A26">
        <v>25</v>
      </c>
      <c r="B26" t="s">
        <v>116</v>
      </c>
      <c r="C26">
        <v>6</v>
      </c>
      <c r="D26" t="s">
        <v>3</v>
      </c>
      <c r="E26" t="s">
        <v>93</v>
      </c>
      <c r="F26" t="s">
        <v>55</v>
      </c>
    </row>
    <row r="27" spans="1:6" x14ac:dyDescent="0.3">
      <c r="A27">
        <v>26</v>
      </c>
      <c r="B27" t="s">
        <v>117</v>
      </c>
      <c r="C27">
        <v>4</v>
      </c>
      <c r="D27" t="s">
        <v>3</v>
      </c>
      <c r="E27" t="s">
        <v>93</v>
      </c>
      <c r="F27" t="s">
        <v>55</v>
      </c>
    </row>
    <row r="28" spans="1:6" x14ac:dyDescent="0.3">
      <c r="A28">
        <v>27</v>
      </c>
      <c r="B28" t="s">
        <v>118</v>
      </c>
      <c r="C28">
        <v>4</v>
      </c>
      <c r="D28" t="s">
        <v>3</v>
      </c>
      <c r="E28" t="s">
        <v>113</v>
      </c>
      <c r="F28" t="s">
        <v>55</v>
      </c>
    </row>
    <row r="29" spans="1:6" x14ac:dyDescent="0.3">
      <c r="A29">
        <v>28</v>
      </c>
      <c r="B29" t="s">
        <v>64</v>
      </c>
      <c r="C29">
        <v>10</v>
      </c>
      <c r="D29" t="s">
        <v>3</v>
      </c>
      <c r="E29" t="s">
        <v>98</v>
      </c>
      <c r="F29">
        <v>16</v>
      </c>
    </row>
    <row r="30" spans="1:6" x14ac:dyDescent="0.3">
      <c r="A30">
        <v>29</v>
      </c>
      <c r="B30" t="s">
        <v>119</v>
      </c>
      <c r="C30">
        <v>6</v>
      </c>
      <c r="D30" t="s">
        <v>3</v>
      </c>
      <c r="E30" t="s">
        <v>95</v>
      </c>
      <c r="F30" t="s">
        <v>55</v>
      </c>
    </row>
    <row r="31" spans="1:6" x14ac:dyDescent="0.3">
      <c r="A31">
        <v>30</v>
      </c>
      <c r="B31" t="s">
        <v>73</v>
      </c>
      <c r="C31">
        <v>9.5</v>
      </c>
      <c r="D31" t="s">
        <v>3</v>
      </c>
      <c r="E31" t="s">
        <v>104</v>
      </c>
      <c r="F31">
        <v>83</v>
      </c>
    </row>
    <row r="32" spans="1:6" x14ac:dyDescent="0.3">
      <c r="A32">
        <v>31</v>
      </c>
      <c r="B32" t="s">
        <v>120</v>
      </c>
      <c r="C32">
        <v>4.5</v>
      </c>
      <c r="D32" t="s">
        <v>3</v>
      </c>
      <c r="E32" t="s">
        <v>121</v>
      </c>
      <c r="F32" t="s">
        <v>55</v>
      </c>
    </row>
    <row r="33" spans="1:6" x14ac:dyDescent="0.3">
      <c r="A33">
        <v>32</v>
      </c>
      <c r="B33" t="s">
        <v>122</v>
      </c>
      <c r="C33">
        <v>10</v>
      </c>
      <c r="D33" t="s">
        <v>3</v>
      </c>
      <c r="E33" t="s">
        <v>121</v>
      </c>
      <c r="F33">
        <v>38</v>
      </c>
    </row>
    <row r="34" spans="1:6" x14ac:dyDescent="0.3">
      <c r="A34">
        <v>33</v>
      </c>
      <c r="B34" t="s">
        <v>123</v>
      </c>
      <c r="C34">
        <v>5.5</v>
      </c>
      <c r="D34" t="s">
        <v>3</v>
      </c>
      <c r="E34" t="s">
        <v>121</v>
      </c>
      <c r="F34" t="s">
        <v>55</v>
      </c>
    </row>
    <row r="35" spans="1:6" x14ac:dyDescent="0.3">
      <c r="A35">
        <v>34</v>
      </c>
      <c r="B35" t="s">
        <v>124</v>
      </c>
      <c r="C35">
        <v>6</v>
      </c>
      <c r="D35" t="s">
        <v>3</v>
      </c>
      <c r="E35" t="s">
        <v>98</v>
      </c>
      <c r="F35" t="s">
        <v>55</v>
      </c>
    </row>
    <row r="36" spans="1:6" x14ac:dyDescent="0.3">
      <c r="A36">
        <v>35</v>
      </c>
      <c r="B36" t="s">
        <v>125</v>
      </c>
      <c r="C36">
        <v>8.5</v>
      </c>
      <c r="D36" t="s">
        <v>3</v>
      </c>
      <c r="E36" t="s">
        <v>31</v>
      </c>
      <c r="F36">
        <v>32</v>
      </c>
    </row>
    <row r="37" spans="1:6" x14ac:dyDescent="0.3">
      <c r="A37">
        <v>36</v>
      </c>
      <c r="B37" t="s">
        <v>68</v>
      </c>
      <c r="C37">
        <v>9</v>
      </c>
      <c r="D37" t="s">
        <v>3</v>
      </c>
      <c r="E37" t="s">
        <v>100</v>
      </c>
      <c r="F37">
        <v>6</v>
      </c>
    </row>
    <row r="38" spans="1:6" x14ac:dyDescent="0.3">
      <c r="A38">
        <v>37</v>
      </c>
      <c r="B38" t="s">
        <v>126</v>
      </c>
      <c r="C38">
        <v>6</v>
      </c>
      <c r="D38" t="s">
        <v>3</v>
      </c>
      <c r="E38" t="s">
        <v>113</v>
      </c>
      <c r="F38" t="s">
        <v>55</v>
      </c>
    </row>
    <row r="39" spans="1:6" x14ac:dyDescent="0.3">
      <c r="A39">
        <v>38</v>
      </c>
      <c r="B39" t="s">
        <v>127</v>
      </c>
      <c r="C39">
        <v>6</v>
      </c>
      <c r="D39" t="s">
        <v>3</v>
      </c>
      <c r="E39" t="s">
        <v>93</v>
      </c>
      <c r="F39" t="s">
        <v>55</v>
      </c>
    </row>
    <row r="40" spans="1:6" x14ac:dyDescent="0.3">
      <c r="A40">
        <v>39</v>
      </c>
      <c r="B40" t="s">
        <v>128</v>
      </c>
      <c r="C40">
        <v>4</v>
      </c>
      <c r="D40" t="s">
        <v>1</v>
      </c>
      <c r="E40" t="s">
        <v>113</v>
      </c>
      <c r="F40" t="s">
        <v>55</v>
      </c>
    </row>
    <row r="41" spans="1:6" x14ac:dyDescent="0.3">
      <c r="A41">
        <v>40</v>
      </c>
      <c r="B41" t="s">
        <v>129</v>
      </c>
      <c r="C41">
        <v>4</v>
      </c>
      <c r="D41" t="s">
        <v>1</v>
      </c>
      <c r="E41" t="s">
        <v>113</v>
      </c>
      <c r="F41">
        <v>94</v>
      </c>
    </row>
    <row r="42" spans="1:6" x14ac:dyDescent="0.3">
      <c r="A42">
        <v>41</v>
      </c>
      <c r="B42" t="s">
        <v>130</v>
      </c>
      <c r="C42">
        <v>6</v>
      </c>
      <c r="D42" t="s">
        <v>1</v>
      </c>
      <c r="E42" t="s">
        <v>95</v>
      </c>
      <c r="F42" t="s">
        <v>55</v>
      </c>
    </row>
    <row r="43" spans="1:6" x14ac:dyDescent="0.3">
      <c r="A43">
        <v>42</v>
      </c>
      <c r="B43" t="s">
        <v>131</v>
      </c>
      <c r="C43">
        <v>6</v>
      </c>
      <c r="D43" t="s">
        <v>1</v>
      </c>
      <c r="E43" t="s">
        <v>93</v>
      </c>
      <c r="F43" t="s">
        <v>55</v>
      </c>
    </row>
    <row r="44" spans="1:6" x14ac:dyDescent="0.3">
      <c r="A44">
        <v>43</v>
      </c>
      <c r="B44" t="s">
        <v>132</v>
      </c>
      <c r="C44">
        <v>5</v>
      </c>
      <c r="D44" t="s">
        <v>1</v>
      </c>
      <c r="E44" t="s">
        <v>95</v>
      </c>
      <c r="F44">
        <v>88</v>
      </c>
    </row>
    <row r="45" spans="1:6" x14ac:dyDescent="0.3">
      <c r="A45">
        <v>44</v>
      </c>
      <c r="B45" t="s">
        <v>133</v>
      </c>
      <c r="C45">
        <v>4</v>
      </c>
      <c r="D45" t="s">
        <v>1</v>
      </c>
      <c r="E45" t="s">
        <v>113</v>
      </c>
      <c r="F45" t="s">
        <v>55</v>
      </c>
    </row>
    <row r="46" spans="1:6" x14ac:dyDescent="0.3">
      <c r="A46">
        <v>45</v>
      </c>
      <c r="B46" t="s">
        <v>134</v>
      </c>
      <c r="C46">
        <v>5</v>
      </c>
      <c r="D46" t="s">
        <v>1</v>
      </c>
      <c r="E46" t="s">
        <v>98</v>
      </c>
      <c r="F46" t="s">
        <v>55</v>
      </c>
    </row>
    <row r="47" spans="1:6" x14ac:dyDescent="0.3">
      <c r="A47">
        <v>46</v>
      </c>
      <c r="B47" t="s">
        <v>135</v>
      </c>
      <c r="C47">
        <v>6</v>
      </c>
      <c r="D47" t="s">
        <v>1</v>
      </c>
      <c r="E47" t="s">
        <v>95</v>
      </c>
      <c r="F47" t="s">
        <v>55</v>
      </c>
    </row>
    <row r="48" spans="1:6" x14ac:dyDescent="0.3">
      <c r="A48">
        <v>47</v>
      </c>
      <c r="B48" t="s">
        <v>63</v>
      </c>
      <c r="C48">
        <v>8</v>
      </c>
      <c r="D48" t="s">
        <v>1</v>
      </c>
      <c r="E48" t="s">
        <v>104</v>
      </c>
      <c r="F48">
        <v>77</v>
      </c>
    </row>
    <row r="49" spans="1:6" x14ac:dyDescent="0.3">
      <c r="A49">
        <v>48</v>
      </c>
      <c r="B49" t="s">
        <v>136</v>
      </c>
      <c r="C49">
        <v>6</v>
      </c>
      <c r="D49" t="s">
        <v>1</v>
      </c>
      <c r="E49" t="s">
        <v>93</v>
      </c>
      <c r="F49" t="s">
        <v>55</v>
      </c>
    </row>
    <row r="50" spans="1:6" x14ac:dyDescent="0.3">
      <c r="A50">
        <v>49</v>
      </c>
      <c r="B50" t="s">
        <v>137</v>
      </c>
      <c r="C50">
        <v>7</v>
      </c>
      <c r="D50" t="s">
        <v>1</v>
      </c>
      <c r="E50" t="s">
        <v>104</v>
      </c>
      <c r="F50">
        <v>31</v>
      </c>
    </row>
    <row r="51" spans="1:6" x14ac:dyDescent="0.3">
      <c r="A51">
        <v>50</v>
      </c>
      <c r="B51" t="s">
        <v>66</v>
      </c>
      <c r="C51">
        <v>7.5</v>
      </c>
      <c r="D51" t="s">
        <v>1</v>
      </c>
      <c r="E51" t="s">
        <v>98</v>
      </c>
      <c r="F51">
        <v>20</v>
      </c>
    </row>
    <row r="52" spans="1:6" x14ac:dyDescent="0.3">
      <c r="A52">
        <v>51</v>
      </c>
      <c r="B52" t="s">
        <v>138</v>
      </c>
      <c r="C52">
        <v>6.5</v>
      </c>
      <c r="D52" t="s">
        <v>1</v>
      </c>
      <c r="E52" t="s">
        <v>121</v>
      </c>
      <c r="F52">
        <v>63</v>
      </c>
    </row>
    <row r="53" spans="1:6" x14ac:dyDescent="0.3">
      <c r="A53">
        <v>52</v>
      </c>
      <c r="B53" t="s">
        <v>139</v>
      </c>
      <c r="C53">
        <v>7</v>
      </c>
      <c r="D53" t="s">
        <v>1</v>
      </c>
      <c r="E53" t="s">
        <v>93</v>
      </c>
      <c r="F53" t="s">
        <v>55</v>
      </c>
    </row>
    <row r="54" spans="1:6" x14ac:dyDescent="0.3">
      <c r="A54">
        <v>53</v>
      </c>
      <c r="B54" t="s">
        <v>140</v>
      </c>
      <c r="C54">
        <v>8</v>
      </c>
      <c r="D54" t="s">
        <v>1</v>
      </c>
      <c r="E54" t="s">
        <v>31</v>
      </c>
      <c r="F54" t="s">
        <v>55</v>
      </c>
    </row>
    <row r="55" spans="1:6" x14ac:dyDescent="0.3">
      <c r="A55">
        <v>54</v>
      </c>
      <c r="B55" t="s">
        <v>141</v>
      </c>
      <c r="C55">
        <v>4</v>
      </c>
      <c r="D55" t="s">
        <v>1</v>
      </c>
      <c r="E55" t="s">
        <v>113</v>
      </c>
      <c r="F55" t="s">
        <v>55</v>
      </c>
    </row>
    <row r="56" spans="1:6" x14ac:dyDescent="0.3">
      <c r="A56">
        <v>55</v>
      </c>
      <c r="B56" t="s">
        <v>142</v>
      </c>
      <c r="C56">
        <v>4.5</v>
      </c>
      <c r="D56" t="s">
        <v>1</v>
      </c>
      <c r="E56" t="s">
        <v>100</v>
      </c>
      <c r="F56" t="s">
        <v>55</v>
      </c>
    </row>
    <row r="57" spans="1:6" x14ac:dyDescent="0.3">
      <c r="A57">
        <v>56</v>
      </c>
      <c r="B57" t="s">
        <v>143</v>
      </c>
      <c r="C57">
        <v>8</v>
      </c>
      <c r="D57" t="s">
        <v>1</v>
      </c>
      <c r="E57" t="s">
        <v>104</v>
      </c>
      <c r="F57" t="s">
        <v>55</v>
      </c>
    </row>
    <row r="58" spans="1:6" x14ac:dyDescent="0.3">
      <c r="A58">
        <v>57</v>
      </c>
      <c r="B58" t="s">
        <v>65</v>
      </c>
      <c r="C58">
        <v>7.5</v>
      </c>
      <c r="D58" t="s">
        <v>1</v>
      </c>
      <c r="E58" t="s">
        <v>100</v>
      </c>
      <c r="F58">
        <v>16</v>
      </c>
    </row>
    <row r="59" spans="1:6" x14ac:dyDescent="0.3">
      <c r="A59">
        <v>58</v>
      </c>
      <c r="B59" t="s">
        <v>144</v>
      </c>
      <c r="C59">
        <v>8</v>
      </c>
      <c r="D59" t="s">
        <v>1</v>
      </c>
      <c r="E59" t="s">
        <v>100</v>
      </c>
      <c r="F59">
        <v>12</v>
      </c>
    </row>
    <row r="60" spans="1:6" x14ac:dyDescent="0.3">
      <c r="A60">
        <v>59</v>
      </c>
      <c r="B60" t="s">
        <v>145</v>
      </c>
      <c r="C60">
        <v>7.5</v>
      </c>
      <c r="D60" t="s">
        <v>1</v>
      </c>
      <c r="E60" t="s">
        <v>121</v>
      </c>
      <c r="F60">
        <v>47</v>
      </c>
    </row>
    <row r="61" spans="1:6" x14ac:dyDescent="0.3">
      <c r="A61">
        <v>60</v>
      </c>
      <c r="B61" t="s">
        <v>146</v>
      </c>
      <c r="C61">
        <v>4</v>
      </c>
      <c r="D61" t="s">
        <v>1</v>
      </c>
      <c r="E61" t="s">
        <v>113</v>
      </c>
      <c r="F61" t="s">
        <v>55</v>
      </c>
    </row>
    <row r="62" spans="1:6" x14ac:dyDescent="0.3">
      <c r="A62">
        <v>61</v>
      </c>
      <c r="B62" t="s">
        <v>61</v>
      </c>
      <c r="C62">
        <v>7.5</v>
      </c>
      <c r="D62" t="s">
        <v>1</v>
      </c>
      <c r="E62" t="s">
        <v>104</v>
      </c>
      <c r="F62" t="s">
        <v>55</v>
      </c>
    </row>
    <row r="63" spans="1:6" x14ac:dyDescent="0.3">
      <c r="A63">
        <v>62</v>
      </c>
      <c r="B63" t="s">
        <v>147</v>
      </c>
      <c r="C63">
        <v>5.5</v>
      </c>
      <c r="D63" t="s">
        <v>1</v>
      </c>
      <c r="E63" t="s">
        <v>98</v>
      </c>
      <c r="F63" t="s">
        <v>55</v>
      </c>
    </row>
    <row r="64" spans="1:6" x14ac:dyDescent="0.3">
      <c r="A64">
        <v>63</v>
      </c>
      <c r="B64" t="s">
        <v>148</v>
      </c>
      <c r="C64">
        <v>7</v>
      </c>
      <c r="D64" t="s">
        <v>1</v>
      </c>
      <c r="E64" t="s">
        <v>95</v>
      </c>
      <c r="F64">
        <v>26</v>
      </c>
    </row>
    <row r="65" spans="1:6" x14ac:dyDescent="0.3">
      <c r="A65">
        <v>64</v>
      </c>
      <c r="B65" t="s">
        <v>149</v>
      </c>
      <c r="C65">
        <v>6</v>
      </c>
      <c r="D65" t="s">
        <v>1</v>
      </c>
      <c r="E65" t="s">
        <v>95</v>
      </c>
      <c r="F65" t="s">
        <v>55</v>
      </c>
    </row>
    <row r="66" spans="1:6" x14ac:dyDescent="0.3">
      <c r="A66">
        <v>65</v>
      </c>
      <c r="B66" t="s">
        <v>150</v>
      </c>
      <c r="C66">
        <v>6.5</v>
      </c>
      <c r="D66" t="s">
        <v>1</v>
      </c>
      <c r="E66" t="s">
        <v>100</v>
      </c>
      <c r="F66" t="s">
        <v>55</v>
      </c>
    </row>
    <row r="67" spans="1:6" x14ac:dyDescent="0.3">
      <c r="A67">
        <v>66</v>
      </c>
      <c r="B67" t="s">
        <v>151</v>
      </c>
      <c r="C67">
        <v>6.5</v>
      </c>
      <c r="D67" t="s">
        <v>1</v>
      </c>
      <c r="E67" t="s">
        <v>121</v>
      </c>
      <c r="F67">
        <v>69</v>
      </c>
    </row>
    <row r="68" spans="1:6" x14ac:dyDescent="0.3">
      <c r="A68">
        <v>67</v>
      </c>
      <c r="B68" t="s">
        <v>70</v>
      </c>
      <c r="C68">
        <v>8.5</v>
      </c>
      <c r="D68" t="s">
        <v>1</v>
      </c>
      <c r="E68" t="s">
        <v>100</v>
      </c>
      <c r="F68">
        <v>7</v>
      </c>
    </row>
    <row r="69" spans="1:6" x14ac:dyDescent="0.3">
      <c r="A69">
        <v>68</v>
      </c>
      <c r="B69" t="s">
        <v>152</v>
      </c>
      <c r="C69">
        <v>5</v>
      </c>
      <c r="D69" t="s">
        <v>1</v>
      </c>
      <c r="E69" t="s">
        <v>121</v>
      </c>
      <c r="F69" t="s">
        <v>55</v>
      </c>
    </row>
    <row r="70" spans="1:6" x14ac:dyDescent="0.3">
      <c r="A70">
        <v>69</v>
      </c>
      <c r="B70" t="s">
        <v>153</v>
      </c>
      <c r="C70">
        <v>8</v>
      </c>
      <c r="D70" t="s">
        <v>1</v>
      </c>
      <c r="E70" t="s">
        <v>98</v>
      </c>
      <c r="F70">
        <v>18</v>
      </c>
    </row>
    <row r="71" spans="1:6" x14ac:dyDescent="0.3">
      <c r="A71">
        <v>70</v>
      </c>
      <c r="B71" t="s">
        <v>154</v>
      </c>
      <c r="C71">
        <v>4</v>
      </c>
      <c r="D71" t="s">
        <v>1</v>
      </c>
      <c r="E71" t="s">
        <v>95</v>
      </c>
      <c r="F71" t="s">
        <v>55</v>
      </c>
    </row>
    <row r="72" spans="1:6" x14ac:dyDescent="0.3">
      <c r="A72">
        <v>71</v>
      </c>
      <c r="B72" t="s">
        <v>69</v>
      </c>
      <c r="C72">
        <v>8</v>
      </c>
      <c r="D72" t="s">
        <v>1</v>
      </c>
      <c r="E72" t="s">
        <v>31</v>
      </c>
      <c r="F72">
        <v>57</v>
      </c>
    </row>
    <row r="73" spans="1:6" x14ac:dyDescent="0.3">
      <c r="A73">
        <v>72</v>
      </c>
      <c r="B73" t="s">
        <v>155</v>
      </c>
      <c r="C73">
        <v>7</v>
      </c>
      <c r="D73" t="s">
        <v>1</v>
      </c>
      <c r="E73" t="s">
        <v>104</v>
      </c>
      <c r="F73" t="s">
        <v>55</v>
      </c>
    </row>
    <row r="74" spans="1:6" x14ac:dyDescent="0.3">
      <c r="A74">
        <v>73</v>
      </c>
      <c r="B74" t="s">
        <v>156</v>
      </c>
      <c r="C74">
        <v>5.5</v>
      </c>
      <c r="D74" t="s">
        <v>1</v>
      </c>
      <c r="E74" t="s">
        <v>121</v>
      </c>
      <c r="F74" t="s">
        <v>55</v>
      </c>
    </row>
    <row r="75" spans="1:6" x14ac:dyDescent="0.3">
      <c r="A75">
        <v>74</v>
      </c>
      <c r="B75" t="s">
        <v>157</v>
      </c>
      <c r="C75">
        <v>8.5</v>
      </c>
      <c r="D75" t="s">
        <v>1</v>
      </c>
      <c r="E75" t="s">
        <v>104</v>
      </c>
      <c r="F75">
        <v>40</v>
      </c>
    </row>
    <row r="76" spans="1:6" x14ac:dyDescent="0.3">
      <c r="A76">
        <v>75</v>
      </c>
      <c r="B76" t="s">
        <v>158</v>
      </c>
      <c r="C76">
        <v>8.5</v>
      </c>
      <c r="D76" t="s">
        <v>1</v>
      </c>
      <c r="E76" t="s">
        <v>31</v>
      </c>
      <c r="F76">
        <v>35</v>
      </c>
    </row>
    <row r="77" spans="1:6" x14ac:dyDescent="0.3">
      <c r="A77">
        <v>76</v>
      </c>
      <c r="B77" t="s">
        <v>159</v>
      </c>
      <c r="C77">
        <v>6.5</v>
      </c>
      <c r="D77" t="s">
        <v>1</v>
      </c>
      <c r="E77" t="s">
        <v>98</v>
      </c>
      <c r="F77" t="s">
        <v>55</v>
      </c>
    </row>
    <row r="78" spans="1:6" x14ac:dyDescent="0.3">
      <c r="A78">
        <v>77</v>
      </c>
      <c r="B78" t="s">
        <v>160</v>
      </c>
      <c r="C78">
        <v>4</v>
      </c>
      <c r="D78" t="s">
        <v>1</v>
      </c>
      <c r="E78" t="s">
        <v>113</v>
      </c>
      <c r="F78" t="s">
        <v>55</v>
      </c>
    </row>
    <row r="79" spans="1:6" x14ac:dyDescent="0.3">
      <c r="A79">
        <v>78</v>
      </c>
      <c r="B79" t="s">
        <v>28</v>
      </c>
      <c r="C79">
        <v>10.5</v>
      </c>
      <c r="D79" t="s">
        <v>1</v>
      </c>
      <c r="E79" t="s">
        <v>31</v>
      </c>
      <c r="F79">
        <v>42</v>
      </c>
    </row>
    <row r="80" spans="1:6" x14ac:dyDescent="0.3">
      <c r="A80">
        <v>79</v>
      </c>
      <c r="B80" t="s">
        <v>58</v>
      </c>
      <c r="C80">
        <v>11.5</v>
      </c>
      <c r="D80" t="s">
        <v>1</v>
      </c>
      <c r="E80" t="s">
        <v>31</v>
      </c>
      <c r="F80">
        <v>6</v>
      </c>
    </row>
    <row r="81" spans="1:6" x14ac:dyDescent="0.3">
      <c r="A81">
        <v>80</v>
      </c>
      <c r="B81" t="s">
        <v>161</v>
      </c>
      <c r="C81">
        <v>6</v>
      </c>
      <c r="D81" t="s">
        <v>1</v>
      </c>
      <c r="E81" t="s">
        <v>121</v>
      </c>
      <c r="F81">
        <v>36</v>
      </c>
    </row>
    <row r="82" spans="1:6" x14ac:dyDescent="0.3">
      <c r="A82">
        <v>81</v>
      </c>
      <c r="B82" t="s">
        <v>74</v>
      </c>
      <c r="C82">
        <v>9.5</v>
      </c>
      <c r="D82" t="s">
        <v>1</v>
      </c>
      <c r="E82" t="s">
        <v>31</v>
      </c>
      <c r="F82">
        <v>2</v>
      </c>
    </row>
    <row r="83" spans="1:6" x14ac:dyDescent="0.3">
      <c r="A83">
        <v>82</v>
      </c>
      <c r="B83" t="s">
        <v>57</v>
      </c>
      <c r="C83">
        <v>7</v>
      </c>
      <c r="D83" t="s">
        <v>1</v>
      </c>
      <c r="E83" t="s">
        <v>121</v>
      </c>
      <c r="F83">
        <v>48</v>
      </c>
    </row>
    <row r="84" spans="1:6" x14ac:dyDescent="0.3">
      <c r="A84">
        <v>83</v>
      </c>
      <c r="B84" t="s">
        <v>162</v>
      </c>
      <c r="C84">
        <v>6</v>
      </c>
      <c r="D84" t="s">
        <v>1</v>
      </c>
      <c r="E84" t="s">
        <v>93</v>
      </c>
      <c r="F84" t="s">
        <v>55</v>
      </c>
    </row>
    <row r="85" spans="1:6" x14ac:dyDescent="0.3">
      <c r="A85">
        <v>84</v>
      </c>
      <c r="B85" t="s">
        <v>163</v>
      </c>
      <c r="C85">
        <v>4</v>
      </c>
      <c r="D85" t="s">
        <v>1</v>
      </c>
      <c r="E85" t="s">
        <v>113</v>
      </c>
      <c r="F85" t="s">
        <v>55</v>
      </c>
    </row>
    <row r="86" spans="1:6" x14ac:dyDescent="0.3">
      <c r="A86">
        <v>85</v>
      </c>
      <c r="B86" t="s">
        <v>164</v>
      </c>
      <c r="C86">
        <v>8</v>
      </c>
      <c r="D86" t="s">
        <v>2</v>
      </c>
      <c r="E86" t="s">
        <v>104</v>
      </c>
      <c r="F86">
        <v>66</v>
      </c>
    </row>
    <row r="87" spans="1:6" x14ac:dyDescent="0.3">
      <c r="A87">
        <v>86</v>
      </c>
      <c r="B87" t="s">
        <v>165</v>
      </c>
      <c r="C87">
        <v>4</v>
      </c>
      <c r="D87" t="s">
        <v>2</v>
      </c>
      <c r="E87" t="s">
        <v>113</v>
      </c>
      <c r="F87" t="s">
        <v>55</v>
      </c>
    </row>
    <row r="88" spans="1:6" x14ac:dyDescent="0.3">
      <c r="A88">
        <v>87</v>
      </c>
      <c r="B88" t="s">
        <v>166</v>
      </c>
      <c r="C88">
        <v>4</v>
      </c>
      <c r="D88" t="s">
        <v>2</v>
      </c>
      <c r="E88" t="s">
        <v>113</v>
      </c>
      <c r="F88" t="s">
        <v>55</v>
      </c>
    </row>
    <row r="89" spans="1:6" x14ac:dyDescent="0.3">
      <c r="A89">
        <v>88</v>
      </c>
      <c r="B89" t="s">
        <v>167</v>
      </c>
      <c r="C89">
        <v>7.5</v>
      </c>
      <c r="D89" t="s">
        <v>2</v>
      </c>
      <c r="E89" t="s">
        <v>98</v>
      </c>
      <c r="F89" t="s">
        <v>55</v>
      </c>
    </row>
    <row r="90" spans="1:6" x14ac:dyDescent="0.3">
      <c r="A90">
        <v>89</v>
      </c>
      <c r="B90" t="s">
        <v>32</v>
      </c>
      <c r="C90">
        <v>10</v>
      </c>
      <c r="D90" t="s">
        <v>2</v>
      </c>
      <c r="E90" t="s">
        <v>31</v>
      </c>
      <c r="F90">
        <v>10</v>
      </c>
    </row>
    <row r="91" spans="1:6" x14ac:dyDescent="0.3">
      <c r="A91">
        <v>90</v>
      </c>
      <c r="B91" t="s">
        <v>168</v>
      </c>
      <c r="C91">
        <v>6</v>
      </c>
      <c r="D91" t="s">
        <v>2</v>
      </c>
      <c r="E91" t="s">
        <v>93</v>
      </c>
      <c r="F91" t="s">
        <v>55</v>
      </c>
    </row>
    <row r="92" spans="1:6" x14ac:dyDescent="0.3">
      <c r="A92">
        <v>91</v>
      </c>
      <c r="B92" t="s">
        <v>169</v>
      </c>
      <c r="C92">
        <v>4</v>
      </c>
      <c r="D92" t="s">
        <v>2</v>
      </c>
      <c r="E92" t="s">
        <v>113</v>
      </c>
      <c r="F92" t="s">
        <v>55</v>
      </c>
    </row>
    <row r="93" spans="1:6" x14ac:dyDescent="0.3">
      <c r="A93">
        <v>92</v>
      </c>
      <c r="B93" t="s">
        <v>170</v>
      </c>
      <c r="C93">
        <v>4</v>
      </c>
      <c r="D93" t="s">
        <v>2</v>
      </c>
      <c r="E93" t="s">
        <v>113</v>
      </c>
      <c r="F93" t="s">
        <v>55</v>
      </c>
    </row>
    <row r="94" spans="1:6" x14ac:dyDescent="0.3">
      <c r="A94">
        <v>93</v>
      </c>
      <c r="B94" t="s">
        <v>171</v>
      </c>
      <c r="C94">
        <v>6</v>
      </c>
      <c r="D94" t="s">
        <v>2</v>
      </c>
      <c r="E94" t="s">
        <v>100</v>
      </c>
      <c r="F94">
        <v>52</v>
      </c>
    </row>
    <row r="95" spans="1:6" x14ac:dyDescent="0.3">
      <c r="A95">
        <v>94</v>
      </c>
      <c r="B95" t="s">
        <v>172</v>
      </c>
      <c r="C95">
        <v>6.5</v>
      </c>
      <c r="D95" t="s">
        <v>2</v>
      </c>
      <c r="E95" t="s">
        <v>100</v>
      </c>
      <c r="F95" t="s">
        <v>55</v>
      </c>
    </row>
    <row r="96" spans="1:6" x14ac:dyDescent="0.3">
      <c r="A96">
        <v>95</v>
      </c>
      <c r="B96" t="s">
        <v>173</v>
      </c>
      <c r="C96">
        <v>5</v>
      </c>
      <c r="D96" t="s">
        <v>2</v>
      </c>
      <c r="E96" t="s">
        <v>113</v>
      </c>
      <c r="F96" t="s">
        <v>55</v>
      </c>
    </row>
    <row r="97" spans="1:6" x14ac:dyDescent="0.3">
      <c r="A97">
        <v>96</v>
      </c>
      <c r="B97" t="s">
        <v>174</v>
      </c>
      <c r="C97">
        <v>5</v>
      </c>
      <c r="D97" t="s">
        <v>2</v>
      </c>
      <c r="E97" t="s">
        <v>98</v>
      </c>
      <c r="F97" t="s">
        <v>55</v>
      </c>
    </row>
    <row r="98" spans="1:6" x14ac:dyDescent="0.3">
      <c r="A98">
        <v>97</v>
      </c>
      <c r="B98" t="s">
        <v>59</v>
      </c>
      <c r="C98">
        <v>6.5</v>
      </c>
      <c r="D98" t="s">
        <v>2</v>
      </c>
      <c r="E98" t="s">
        <v>98</v>
      </c>
      <c r="F98">
        <v>16</v>
      </c>
    </row>
    <row r="99" spans="1:6" x14ac:dyDescent="0.3">
      <c r="A99">
        <v>98</v>
      </c>
      <c r="B99" t="s">
        <v>175</v>
      </c>
      <c r="C99">
        <v>4</v>
      </c>
      <c r="D99" t="s">
        <v>2</v>
      </c>
      <c r="E99" t="s">
        <v>113</v>
      </c>
      <c r="F99" t="s">
        <v>55</v>
      </c>
    </row>
    <row r="100" spans="1:6" x14ac:dyDescent="0.3">
      <c r="A100">
        <v>99</v>
      </c>
      <c r="B100" t="s">
        <v>176</v>
      </c>
      <c r="C100">
        <v>5.5</v>
      </c>
      <c r="D100" t="s">
        <v>2</v>
      </c>
      <c r="E100" t="s">
        <v>95</v>
      </c>
      <c r="F100" t="s">
        <v>55</v>
      </c>
    </row>
    <row r="101" spans="1:6" x14ac:dyDescent="0.3">
      <c r="A101">
        <v>100</v>
      </c>
      <c r="B101" t="s">
        <v>177</v>
      </c>
      <c r="C101">
        <v>9</v>
      </c>
      <c r="D101" t="s">
        <v>2</v>
      </c>
      <c r="E101" t="s">
        <v>104</v>
      </c>
      <c r="F101">
        <v>28</v>
      </c>
    </row>
    <row r="102" spans="1:6" x14ac:dyDescent="0.3">
      <c r="A102">
        <v>101</v>
      </c>
      <c r="B102" t="s">
        <v>178</v>
      </c>
      <c r="C102">
        <v>4</v>
      </c>
      <c r="D102" t="s">
        <v>2</v>
      </c>
      <c r="E102" t="s">
        <v>113</v>
      </c>
      <c r="F102" t="s">
        <v>55</v>
      </c>
    </row>
    <row r="103" spans="1:6" x14ac:dyDescent="0.3">
      <c r="A103">
        <v>102</v>
      </c>
      <c r="B103" t="s">
        <v>33</v>
      </c>
      <c r="C103">
        <v>7</v>
      </c>
      <c r="D103" t="s">
        <v>2</v>
      </c>
      <c r="E103" t="s">
        <v>31</v>
      </c>
      <c r="F103" t="s">
        <v>55</v>
      </c>
    </row>
    <row r="104" spans="1:6" x14ac:dyDescent="0.3">
      <c r="A104">
        <v>103</v>
      </c>
      <c r="B104" t="s">
        <v>179</v>
      </c>
      <c r="C104">
        <v>7.5</v>
      </c>
      <c r="D104" t="s">
        <v>2</v>
      </c>
      <c r="E104" t="s">
        <v>104</v>
      </c>
      <c r="F104" t="s">
        <v>55</v>
      </c>
    </row>
    <row r="105" spans="1:6" x14ac:dyDescent="0.3">
      <c r="A105">
        <v>104</v>
      </c>
      <c r="B105" t="s">
        <v>5</v>
      </c>
      <c r="C105">
        <v>11</v>
      </c>
      <c r="D105" t="s">
        <v>2</v>
      </c>
      <c r="E105" t="s">
        <v>31</v>
      </c>
      <c r="F105">
        <v>42</v>
      </c>
    </row>
    <row r="106" spans="1:6" x14ac:dyDescent="0.3">
      <c r="A106">
        <v>105</v>
      </c>
      <c r="B106" t="s">
        <v>180</v>
      </c>
      <c r="C106">
        <v>6</v>
      </c>
      <c r="D106" t="s">
        <v>2</v>
      </c>
      <c r="E106" t="s">
        <v>95</v>
      </c>
      <c r="F106" t="s">
        <v>55</v>
      </c>
    </row>
    <row r="107" spans="1:6" x14ac:dyDescent="0.3">
      <c r="A107">
        <v>106</v>
      </c>
      <c r="B107" t="s">
        <v>34</v>
      </c>
      <c r="C107">
        <v>7.5</v>
      </c>
      <c r="D107" t="s">
        <v>2</v>
      </c>
      <c r="E107" t="s">
        <v>31</v>
      </c>
      <c r="F107">
        <v>36</v>
      </c>
    </row>
    <row r="108" spans="1:6" x14ac:dyDescent="0.3">
      <c r="A108">
        <v>107</v>
      </c>
      <c r="B108" t="s">
        <v>181</v>
      </c>
      <c r="C108">
        <v>7.5</v>
      </c>
      <c r="D108" t="s">
        <v>2</v>
      </c>
      <c r="E108" t="s">
        <v>100</v>
      </c>
      <c r="F108">
        <v>11</v>
      </c>
    </row>
    <row r="109" spans="1:6" x14ac:dyDescent="0.3">
      <c r="A109">
        <v>108</v>
      </c>
      <c r="B109" t="s">
        <v>182</v>
      </c>
      <c r="C109">
        <v>8.5</v>
      </c>
      <c r="D109" t="s">
        <v>2</v>
      </c>
      <c r="E109" t="s">
        <v>100</v>
      </c>
      <c r="F109">
        <v>31</v>
      </c>
    </row>
    <row r="110" spans="1:6" x14ac:dyDescent="0.3">
      <c r="A110">
        <v>109</v>
      </c>
      <c r="B110" t="s">
        <v>183</v>
      </c>
      <c r="C110">
        <v>6.5</v>
      </c>
      <c r="D110" t="s">
        <v>2</v>
      </c>
      <c r="E110" t="s">
        <v>95</v>
      </c>
      <c r="F110" t="s">
        <v>55</v>
      </c>
    </row>
    <row r="111" spans="1:6" x14ac:dyDescent="0.3">
      <c r="A111">
        <v>110</v>
      </c>
      <c r="B111" t="s">
        <v>184</v>
      </c>
      <c r="C111">
        <v>4</v>
      </c>
      <c r="D111" t="s">
        <v>2</v>
      </c>
      <c r="E111" t="s">
        <v>113</v>
      </c>
      <c r="F111" t="s">
        <v>55</v>
      </c>
    </row>
    <row r="112" spans="1:6" x14ac:dyDescent="0.3">
      <c r="A112">
        <v>111</v>
      </c>
      <c r="B112" t="s">
        <v>185</v>
      </c>
      <c r="C112">
        <v>6.5</v>
      </c>
      <c r="D112" t="s">
        <v>2</v>
      </c>
      <c r="E112" t="s">
        <v>104</v>
      </c>
      <c r="F112" t="s">
        <v>55</v>
      </c>
    </row>
    <row r="113" spans="1:6" x14ac:dyDescent="0.3">
      <c r="A113">
        <v>112</v>
      </c>
      <c r="B113" t="s">
        <v>186</v>
      </c>
      <c r="C113">
        <v>6</v>
      </c>
      <c r="D113" t="s">
        <v>2</v>
      </c>
      <c r="E113" t="s">
        <v>95</v>
      </c>
      <c r="F113" t="s">
        <v>55</v>
      </c>
    </row>
    <row r="114" spans="1:6" x14ac:dyDescent="0.3">
      <c r="A114">
        <v>113</v>
      </c>
      <c r="B114" t="s">
        <v>187</v>
      </c>
      <c r="C114">
        <v>5</v>
      </c>
      <c r="D114" t="s">
        <v>2</v>
      </c>
      <c r="E114" t="s">
        <v>95</v>
      </c>
      <c r="F114" t="s">
        <v>55</v>
      </c>
    </row>
    <row r="115" spans="1:6" x14ac:dyDescent="0.3">
      <c r="A115">
        <v>114</v>
      </c>
      <c r="B115" t="s">
        <v>188</v>
      </c>
      <c r="C115">
        <v>6</v>
      </c>
      <c r="D115" t="s">
        <v>2</v>
      </c>
      <c r="E115" t="s">
        <v>93</v>
      </c>
      <c r="F115" t="s">
        <v>55</v>
      </c>
    </row>
    <row r="116" spans="1:6" x14ac:dyDescent="0.3">
      <c r="A116">
        <v>115</v>
      </c>
      <c r="B116" t="s">
        <v>189</v>
      </c>
      <c r="C116">
        <v>7</v>
      </c>
      <c r="D116" t="s">
        <v>2</v>
      </c>
      <c r="E116" t="s">
        <v>98</v>
      </c>
      <c r="F116">
        <v>27</v>
      </c>
    </row>
    <row r="117" spans="1:6" x14ac:dyDescent="0.3">
      <c r="A117">
        <v>116</v>
      </c>
      <c r="B117" t="s">
        <v>71</v>
      </c>
      <c r="C117">
        <v>8.5</v>
      </c>
      <c r="D117" t="s">
        <v>2</v>
      </c>
      <c r="E117" t="s">
        <v>121</v>
      </c>
      <c r="F117">
        <v>12</v>
      </c>
    </row>
    <row r="118" spans="1:6" x14ac:dyDescent="0.3">
      <c r="A118">
        <v>117</v>
      </c>
      <c r="B118" t="s">
        <v>190</v>
      </c>
      <c r="C118">
        <v>4</v>
      </c>
      <c r="D118" t="s">
        <v>2</v>
      </c>
      <c r="E118" t="s">
        <v>113</v>
      </c>
      <c r="F118" t="s">
        <v>55</v>
      </c>
    </row>
    <row r="119" spans="1:6" x14ac:dyDescent="0.3">
      <c r="A119">
        <v>118</v>
      </c>
      <c r="B119" t="s">
        <v>191</v>
      </c>
      <c r="C119">
        <v>6.5</v>
      </c>
      <c r="D119" t="s">
        <v>2</v>
      </c>
      <c r="E119" t="s">
        <v>121</v>
      </c>
      <c r="F119" t="s">
        <v>55</v>
      </c>
    </row>
    <row r="120" spans="1:6" x14ac:dyDescent="0.3">
      <c r="A120">
        <v>119</v>
      </c>
      <c r="B120" t="s">
        <v>192</v>
      </c>
      <c r="C120">
        <v>4.5</v>
      </c>
      <c r="D120" t="s">
        <v>2</v>
      </c>
      <c r="E120" t="s">
        <v>98</v>
      </c>
      <c r="F120">
        <v>24</v>
      </c>
    </row>
    <row r="121" spans="1:6" x14ac:dyDescent="0.3">
      <c r="A121">
        <v>120</v>
      </c>
      <c r="B121" t="s">
        <v>75</v>
      </c>
      <c r="C121">
        <v>9</v>
      </c>
      <c r="D121" t="s">
        <v>2</v>
      </c>
      <c r="E121" t="s">
        <v>98</v>
      </c>
      <c r="F121">
        <v>73</v>
      </c>
    </row>
    <row r="122" spans="1:6" x14ac:dyDescent="0.3">
      <c r="A122">
        <v>121</v>
      </c>
      <c r="B122" t="s">
        <v>193</v>
      </c>
      <c r="C122">
        <v>6.5</v>
      </c>
      <c r="D122" t="s">
        <v>2</v>
      </c>
      <c r="E122" t="s">
        <v>100</v>
      </c>
      <c r="F122">
        <v>13</v>
      </c>
    </row>
    <row r="123" spans="1:6" x14ac:dyDescent="0.3">
      <c r="A123">
        <v>122</v>
      </c>
      <c r="B123" t="s">
        <v>194</v>
      </c>
      <c r="C123">
        <v>7</v>
      </c>
      <c r="D123" t="s">
        <v>2</v>
      </c>
      <c r="E123" t="s">
        <v>121</v>
      </c>
      <c r="F123">
        <v>21</v>
      </c>
    </row>
    <row r="124" spans="1:6" x14ac:dyDescent="0.3">
      <c r="A124">
        <v>123</v>
      </c>
      <c r="B124" t="s">
        <v>195</v>
      </c>
      <c r="C124">
        <v>6</v>
      </c>
      <c r="D124" t="s">
        <v>2</v>
      </c>
      <c r="E124" t="s">
        <v>95</v>
      </c>
      <c r="F124" t="s">
        <v>55</v>
      </c>
    </row>
    <row r="125" spans="1:6" x14ac:dyDescent="0.3">
      <c r="A125">
        <v>124</v>
      </c>
      <c r="B125" t="s">
        <v>196</v>
      </c>
      <c r="C125">
        <v>7.5</v>
      </c>
      <c r="D125" t="s">
        <v>2</v>
      </c>
      <c r="E125" t="s">
        <v>104</v>
      </c>
      <c r="F125" t="s">
        <v>55</v>
      </c>
    </row>
    <row r="126" spans="1:6" x14ac:dyDescent="0.3">
      <c r="A126">
        <v>125</v>
      </c>
      <c r="B126" t="s">
        <v>197</v>
      </c>
      <c r="C126">
        <v>6</v>
      </c>
      <c r="D126" t="s">
        <v>2</v>
      </c>
      <c r="E126" t="s">
        <v>93</v>
      </c>
      <c r="F126" t="s">
        <v>55</v>
      </c>
    </row>
    <row r="127" spans="1:6" x14ac:dyDescent="0.3">
      <c r="A127">
        <v>126</v>
      </c>
      <c r="B127" t="s">
        <v>67</v>
      </c>
      <c r="C127">
        <v>9.5</v>
      </c>
      <c r="D127" t="s">
        <v>2</v>
      </c>
      <c r="E127" t="s">
        <v>104</v>
      </c>
      <c r="F127">
        <v>26</v>
      </c>
    </row>
    <row r="128" spans="1:6" x14ac:dyDescent="0.3">
      <c r="A128">
        <v>127</v>
      </c>
      <c r="B128" t="s">
        <v>198</v>
      </c>
      <c r="C128">
        <v>6</v>
      </c>
      <c r="D128" t="s">
        <v>2</v>
      </c>
      <c r="E128" t="s">
        <v>93</v>
      </c>
      <c r="F128">
        <v>92</v>
      </c>
    </row>
    <row r="129" spans="1:6" x14ac:dyDescent="0.3">
      <c r="A129">
        <v>128</v>
      </c>
      <c r="B129" t="s">
        <v>199</v>
      </c>
      <c r="C129">
        <v>5</v>
      </c>
      <c r="D129" t="s">
        <v>2</v>
      </c>
      <c r="E129" t="s">
        <v>121</v>
      </c>
      <c r="F129">
        <v>50</v>
      </c>
    </row>
    <row r="130" spans="1:6" x14ac:dyDescent="0.3">
      <c r="A130">
        <v>129</v>
      </c>
      <c r="B130" t="s">
        <v>200</v>
      </c>
      <c r="C130">
        <v>4.5</v>
      </c>
      <c r="D130" t="s">
        <v>2</v>
      </c>
      <c r="E130" t="s">
        <v>95</v>
      </c>
      <c r="F130" t="s">
        <v>55</v>
      </c>
    </row>
    <row r="131" spans="1:6" x14ac:dyDescent="0.3">
      <c r="A131">
        <v>130</v>
      </c>
      <c r="B131" t="s">
        <v>201</v>
      </c>
      <c r="C131">
        <v>6</v>
      </c>
      <c r="D131" t="s">
        <v>2</v>
      </c>
      <c r="E131" t="s">
        <v>93</v>
      </c>
      <c r="F131" t="s">
        <v>55</v>
      </c>
    </row>
    <row r="132" spans="1:6" x14ac:dyDescent="0.3">
      <c r="A132">
        <v>131</v>
      </c>
      <c r="B132" t="s">
        <v>202</v>
      </c>
      <c r="C132">
        <v>6.5</v>
      </c>
      <c r="D132" t="s">
        <v>2</v>
      </c>
      <c r="E132" t="s">
        <v>104</v>
      </c>
      <c r="F132">
        <v>22</v>
      </c>
    </row>
    <row r="133" spans="1:6" x14ac:dyDescent="0.3">
      <c r="A133">
        <v>132</v>
      </c>
      <c r="B133" t="s">
        <v>203</v>
      </c>
      <c r="C133">
        <v>6</v>
      </c>
      <c r="D133" t="s">
        <v>2</v>
      </c>
      <c r="E133" t="s">
        <v>93</v>
      </c>
      <c r="F133" t="s">
        <v>55</v>
      </c>
    </row>
    <row r="134" spans="1:6" x14ac:dyDescent="0.3">
      <c r="A134">
        <v>133</v>
      </c>
      <c r="B134" t="s">
        <v>204</v>
      </c>
      <c r="C134">
        <v>4.5</v>
      </c>
      <c r="D134" t="s">
        <v>2</v>
      </c>
      <c r="E134" t="s">
        <v>121</v>
      </c>
      <c r="F134">
        <v>39</v>
      </c>
    </row>
    <row r="135" spans="1:6" x14ac:dyDescent="0.3">
      <c r="A135">
        <v>134</v>
      </c>
      <c r="B135" t="s">
        <v>205</v>
      </c>
      <c r="C135">
        <v>6.5</v>
      </c>
      <c r="D135" t="s">
        <v>2</v>
      </c>
      <c r="E135" t="s">
        <v>121</v>
      </c>
      <c r="F135">
        <v>25</v>
      </c>
    </row>
    <row r="136" spans="1:6" x14ac:dyDescent="0.3">
      <c r="A136">
        <v>135</v>
      </c>
      <c r="B136" t="s">
        <v>206</v>
      </c>
      <c r="C136">
        <v>10</v>
      </c>
      <c r="D136" t="s">
        <v>2</v>
      </c>
      <c r="E136" t="s">
        <v>31</v>
      </c>
      <c r="F13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C170D56-C456-4AC6-B63A-9628C770FE3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AD8C915-E7E6-469F-86FB-468AD6EDD6C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PICK AND PREDICTIONS</vt:lpstr>
      <vt:lpstr>LEADERBOARD</vt:lpstr>
      <vt:lpstr>NEWS</vt:lpstr>
      <vt:lpstr>DESCRIPTIVE PLAYER POINTS</vt:lpstr>
      <vt:lpstr>TARGET PREDICTIONS</vt:lpstr>
      <vt:lpstr>WINNING TEAM PREDICTIONS</vt:lpstr>
      <vt:lpstr>MATCH-WISE PERFORMANCE</vt:lpstr>
      <vt:lpstr>SELECTED PLAYER STATS</vt:lpstr>
      <vt:lpstr>POINTS SYSTEM</vt:lpstr>
      <vt:lpstr>PLAYERS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Sutharsanan</dc:creator>
  <cp:keywords/>
  <dc:description/>
  <cp:lastModifiedBy>Suriyanarayanan G</cp:lastModifiedBy>
  <cp:revision/>
  <dcterms:created xsi:type="dcterms:W3CDTF">2023-12-02T18:58:13Z</dcterms:created>
  <dcterms:modified xsi:type="dcterms:W3CDTF">2025-09-22T10:39:45Z</dcterms:modified>
  <cp:category/>
  <cp:contentStatus/>
</cp:coreProperties>
</file>