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34EF7D37-E2D7-4EAD-9A42-496A494699A3}" xr6:coauthVersionLast="47" xr6:coauthVersionMax="47" xr10:uidLastSave="{00000000-0000-0000-0000-000000000000}"/>
  <bookViews>
    <workbookView xWindow="-108" yWindow="-108" windowWidth="23256" windowHeight="13896" tabRatio="736" firstSheet="5" activeTab="7" xr2:uid="{00000000-000D-0000-FFFF-FFFF00000000}"/>
  </bookViews>
  <sheets>
    <sheet name="TEAM PICK AND PREDICTIONS" sheetId="8" r:id="rId1"/>
    <sheet name="LEADERBOARD" sheetId="16" r:id="rId2"/>
    <sheet name="NEWS" sheetId="17" r:id="rId3"/>
    <sheet name="DESCRIPTIVE PLAYER POINTS" sheetId="10" r:id="rId4"/>
    <sheet name="TARGET PREDICTIONS" sheetId="15" r:id="rId5"/>
    <sheet name="WINNING TEAM PREDICTIONS" sheetId="14" r:id="rId6"/>
    <sheet name="MATCH-WISE PERFORMANCE" sheetId="13" r:id="rId7"/>
    <sheet name="SELECTED PLAYER STATS" sheetId="12" r:id="rId8"/>
    <sheet name="POINTS SYSTEM" sheetId="11" r:id="rId9"/>
    <sheet name="PLAYERS DATA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S4" i="10" l="1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DX4" i="10"/>
  <c r="DX5" i="10"/>
  <c r="DX6" i="10"/>
  <c r="DX7" i="10"/>
  <c r="DX8" i="10"/>
  <c r="DX9" i="10"/>
  <c r="DX10" i="10"/>
  <c r="DX11" i="10"/>
  <c r="DX12" i="10"/>
  <c r="DX13" i="10"/>
  <c r="DX14" i="10"/>
  <c r="DX15" i="10"/>
  <c r="DX16" i="10"/>
  <c r="DX17" i="10"/>
  <c r="DX18" i="10"/>
  <c r="DX19" i="10"/>
  <c r="DX20" i="10"/>
  <c r="DX21" i="10"/>
  <c r="DX22" i="10"/>
  <c r="DX23" i="10"/>
  <c r="DX24" i="10"/>
  <c r="DX25" i="10"/>
  <c r="DC4" i="10"/>
  <c r="DC5" i="10"/>
  <c r="DC6" i="10"/>
  <c r="DC7" i="10"/>
  <c r="DC8" i="10"/>
  <c r="DC9" i="10"/>
  <c r="DC10" i="10"/>
  <c r="DC11" i="10"/>
  <c r="DC12" i="10"/>
  <c r="DC13" i="10"/>
  <c r="DC14" i="10"/>
  <c r="DC15" i="10"/>
  <c r="DC16" i="10"/>
  <c r="DC17" i="10"/>
  <c r="DC18" i="10"/>
  <c r="DC19" i="10"/>
  <c r="DC20" i="10"/>
  <c r="DC21" i="10"/>
  <c r="DC22" i="10"/>
  <c r="DC23" i="10"/>
  <c r="DC24" i="10"/>
  <c r="DC25" i="10"/>
  <c r="CH4" i="10"/>
  <c r="CH5" i="10"/>
  <c r="CH6" i="10"/>
  <c r="CH7" i="10"/>
  <c r="CH8" i="10"/>
  <c r="CH9" i="10"/>
  <c r="CH10" i="10"/>
  <c r="CH11" i="10"/>
  <c r="CH12" i="10"/>
  <c r="CH13" i="10"/>
  <c r="CH14" i="10"/>
  <c r="CH15" i="10"/>
  <c r="CH16" i="10"/>
  <c r="CH17" i="10"/>
  <c r="CH18" i="10"/>
  <c r="CH19" i="10"/>
  <c r="CH20" i="10"/>
  <c r="CH21" i="10"/>
  <c r="CH22" i="10"/>
  <c r="CH23" i="10"/>
  <c r="CH24" i="10"/>
  <c r="CH25" i="10"/>
  <c r="BM4" i="10"/>
  <c r="BM5" i="10"/>
  <c r="BM6" i="10"/>
  <c r="BM7" i="10"/>
  <c r="BM8" i="10"/>
  <c r="BM9" i="10"/>
  <c r="BM10" i="10"/>
  <c r="BM11" i="10"/>
  <c r="BM12" i="10"/>
  <c r="BM13" i="10"/>
  <c r="BM15" i="10"/>
  <c r="BM16" i="10"/>
  <c r="BM17" i="10"/>
  <c r="BM18" i="10"/>
  <c r="BM19" i="10"/>
  <c r="BM20" i="10"/>
  <c r="BM21" i="10"/>
  <c r="BM22" i="10"/>
  <c r="BM24" i="10"/>
  <c r="BM25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AR4" i="10"/>
  <c r="AR5" i="10"/>
  <c r="AR6" i="10"/>
  <c r="AR8" i="10"/>
  <c r="AR10" i="10"/>
  <c r="AR11" i="10"/>
  <c r="AR12" i="10"/>
  <c r="AR13" i="10"/>
  <c r="AR14" i="10"/>
  <c r="AR16" i="10"/>
  <c r="AR17" i="10"/>
  <c r="AR18" i="10"/>
  <c r="AR19" i="10"/>
  <c r="AR20" i="10"/>
  <c r="AR21" i="10"/>
  <c r="AR22" i="10"/>
  <c r="AR23" i="10"/>
  <c r="AR24" i="10"/>
  <c r="AR25" i="10"/>
  <c r="H7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D2" i="12"/>
  <c r="B2" i="12"/>
  <c r="C2" i="12"/>
  <c r="B3" i="15" l="1"/>
  <c r="L7" i="16" s="1"/>
  <c r="B4" i="15"/>
  <c r="L5" i="16" s="1"/>
  <c r="B5" i="15"/>
  <c r="L8" i="16" s="1"/>
  <c r="B6" i="15"/>
  <c r="L3" i="16" s="1"/>
  <c r="B7" i="15"/>
  <c r="L2" i="16" s="1"/>
  <c r="B8" i="15"/>
  <c r="L4" i="16" s="1"/>
  <c r="B2" i="15"/>
  <c r="L6" i="16" s="1"/>
  <c r="B3" i="14"/>
  <c r="K7" i="16" s="1"/>
  <c r="B4" i="14"/>
  <c r="K5" i="16" s="1"/>
  <c r="B5" i="14"/>
  <c r="K8" i="16" s="1"/>
  <c r="B6" i="14"/>
  <c r="K3" i="16" s="1"/>
  <c r="B7" i="14"/>
  <c r="K2" i="16" s="1"/>
  <c r="B8" i="14"/>
  <c r="K4" i="16" s="1"/>
  <c r="B2" i="14"/>
  <c r="K6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D3" i="13"/>
  <c r="D4" i="13"/>
  <c r="D5" i="13"/>
  <c r="D6" i="13"/>
  <c r="D7" i="13"/>
  <c r="D8" i="13"/>
  <c r="D9" i="13"/>
  <c r="D10" i="13"/>
  <c r="D11" i="13"/>
  <c r="D13" i="13"/>
  <c r="D14" i="13"/>
  <c r="D15" i="13"/>
  <c r="D16" i="13"/>
  <c r="D17" i="13"/>
  <c r="D18" i="13"/>
  <c r="D19" i="13"/>
  <c r="D20" i="13"/>
  <c r="D22" i="13"/>
  <c r="D23" i="13"/>
  <c r="C4" i="13"/>
  <c r="C15" i="13"/>
  <c r="H2" i="13"/>
  <c r="G2" i="13"/>
  <c r="F2" i="13"/>
  <c r="E2" i="13"/>
  <c r="D2" i="13"/>
  <c r="B4" i="13"/>
  <c r="B9" i="13"/>
  <c r="B15" i="13"/>
  <c r="B20" i="13"/>
  <c r="B6" i="10"/>
  <c r="B17" i="10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3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J5" i="10"/>
  <c r="DJ6" i="10"/>
  <c r="DJ7" i="10"/>
  <c r="DJ8" i="10"/>
  <c r="DJ9" i="10"/>
  <c r="DJ10" i="10"/>
  <c r="DJ11" i="10"/>
  <c r="DJ12" i="10"/>
  <c r="DJ13" i="10"/>
  <c r="DJ14" i="10"/>
  <c r="DJ15" i="10"/>
  <c r="DJ16" i="10"/>
  <c r="DJ17" i="10"/>
  <c r="DJ18" i="10"/>
  <c r="DJ19" i="10"/>
  <c r="DJ20" i="10"/>
  <c r="DJ21" i="10"/>
  <c r="DJ22" i="10"/>
  <c r="DJ23" i="10"/>
  <c r="DJ24" i="10"/>
  <c r="DJ25" i="10"/>
  <c r="DI4" i="10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H14" i="10"/>
  <c r="DH15" i="10"/>
  <c r="DH16" i="10"/>
  <c r="DH17" i="10"/>
  <c r="DH18" i="10"/>
  <c r="DH19" i="10"/>
  <c r="DH20" i="10"/>
  <c r="DH21" i="10"/>
  <c r="DH22" i="10"/>
  <c r="DH23" i="10"/>
  <c r="DH24" i="10"/>
  <c r="DH25" i="10"/>
  <c r="DA4" i="10"/>
  <c r="DA5" i="10"/>
  <c r="DA6" i="10"/>
  <c r="DA7" i="10"/>
  <c r="DA8" i="10"/>
  <c r="DA9" i="10"/>
  <c r="DA10" i="10"/>
  <c r="DA11" i="10"/>
  <c r="DA12" i="10"/>
  <c r="DA13" i="10"/>
  <c r="DA14" i="10"/>
  <c r="DA15" i="10"/>
  <c r="DA16" i="10"/>
  <c r="DA17" i="10"/>
  <c r="DA18" i="10"/>
  <c r="DA19" i="10"/>
  <c r="DA20" i="10"/>
  <c r="DA21" i="10"/>
  <c r="DA22" i="10"/>
  <c r="DA23" i="10"/>
  <c r="DA24" i="10"/>
  <c r="DA25" i="10"/>
  <c r="CZ4" i="10"/>
  <c r="CZ5" i="10"/>
  <c r="CZ6" i="10"/>
  <c r="CZ7" i="10"/>
  <c r="CZ8" i="10"/>
  <c r="CZ9" i="10"/>
  <c r="CZ10" i="10"/>
  <c r="CZ11" i="10"/>
  <c r="CZ12" i="10"/>
  <c r="CZ13" i="10"/>
  <c r="CZ14" i="10"/>
  <c r="CZ15" i="10"/>
  <c r="CZ16" i="10"/>
  <c r="CZ17" i="10"/>
  <c r="CZ18" i="10"/>
  <c r="CZ19" i="10"/>
  <c r="CZ20" i="10"/>
  <c r="CZ21" i="10"/>
  <c r="CZ22" i="10"/>
  <c r="CZ23" i="10"/>
  <c r="CZ24" i="10"/>
  <c r="CZ25" i="10"/>
  <c r="CV4" i="10"/>
  <c r="CV5" i="10"/>
  <c r="CV6" i="10"/>
  <c r="CV7" i="10"/>
  <c r="CV8" i="10"/>
  <c r="CV9" i="10"/>
  <c r="CV10" i="10"/>
  <c r="CV11" i="10"/>
  <c r="CV12" i="10"/>
  <c r="CV13" i="10"/>
  <c r="CV14" i="10"/>
  <c r="CV15" i="10"/>
  <c r="CV16" i="10"/>
  <c r="CV17" i="10"/>
  <c r="CV18" i="10"/>
  <c r="CV19" i="10"/>
  <c r="CV20" i="10"/>
  <c r="CV21" i="10"/>
  <c r="CV22" i="10"/>
  <c r="CV23" i="10"/>
  <c r="CV24" i="10"/>
  <c r="CV25" i="10"/>
  <c r="CU4" i="10"/>
  <c r="CU5" i="10"/>
  <c r="CU6" i="10"/>
  <c r="CU7" i="10"/>
  <c r="CU8" i="10"/>
  <c r="CU9" i="10"/>
  <c r="CU10" i="10"/>
  <c r="CU11" i="10"/>
  <c r="CU12" i="10"/>
  <c r="CU13" i="10"/>
  <c r="CU14" i="10"/>
  <c r="CU15" i="10"/>
  <c r="CU16" i="10"/>
  <c r="CU17" i="10"/>
  <c r="CU18" i="10"/>
  <c r="CU19" i="10"/>
  <c r="CU20" i="10"/>
  <c r="CU21" i="10"/>
  <c r="CU22" i="10"/>
  <c r="CU23" i="10"/>
  <c r="CU24" i="10"/>
  <c r="CU25" i="10"/>
  <c r="CT4" i="10"/>
  <c r="CT5" i="10"/>
  <c r="CT6" i="10"/>
  <c r="CT7" i="10"/>
  <c r="CT8" i="10"/>
  <c r="CT9" i="10"/>
  <c r="CT10" i="10"/>
  <c r="CT11" i="10"/>
  <c r="CT12" i="10"/>
  <c r="CT13" i="10"/>
  <c r="CT14" i="10"/>
  <c r="CT15" i="10"/>
  <c r="CT16" i="10"/>
  <c r="CT17" i="10"/>
  <c r="CT18" i="10"/>
  <c r="CT19" i="10"/>
  <c r="CT20" i="10"/>
  <c r="CT21" i="10"/>
  <c r="CT22" i="10"/>
  <c r="CT23" i="10"/>
  <c r="CT24" i="10"/>
  <c r="CT25" i="10"/>
  <c r="CO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17" i="10"/>
  <c r="CO18" i="10"/>
  <c r="CO19" i="10"/>
  <c r="CO20" i="10"/>
  <c r="CO21" i="10"/>
  <c r="CO22" i="10"/>
  <c r="CO23" i="10"/>
  <c r="CO24" i="10"/>
  <c r="CO25" i="10"/>
  <c r="CN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17" i="10"/>
  <c r="CN18" i="10"/>
  <c r="CN19" i="10"/>
  <c r="CN20" i="10"/>
  <c r="CN21" i="10"/>
  <c r="CN22" i="10"/>
  <c r="CN23" i="10"/>
  <c r="CN24" i="10"/>
  <c r="CN25" i="10"/>
  <c r="CM4" i="10"/>
  <c r="CM5" i="10"/>
  <c r="CM6" i="10"/>
  <c r="CM7" i="10"/>
  <c r="CM8" i="10"/>
  <c r="CM9" i="10"/>
  <c r="CM10" i="10"/>
  <c r="CM11" i="10"/>
  <c r="CM12" i="10"/>
  <c r="CM13" i="10"/>
  <c r="CM14" i="10"/>
  <c r="CM15" i="10"/>
  <c r="CM16" i="10"/>
  <c r="CM17" i="10"/>
  <c r="CM18" i="10"/>
  <c r="CM19" i="10"/>
  <c r="CM20" i="10"/>
  <c r="CM21" i="10"/>
  <c r="CM22" i="10"/>
  <c r="CM23" i="10"/>
  <c r="CM24" i="10"/>
  <c r="CM25" i="10"/>
  <c r="CF4" i="10"/>
  <c r="CF5" i="10"/>
  <c r="CF6" i="10"/>
  <c r="CF7" i="10"/>
  <c r="CF8" i="10"/>
  <c r="CF9" i="10"/>
  <c r="CF10" i="10"/>
  <c r="CF11" i="10"/>
  <c r="CF12" i="10"/>
  <c r="CF13" i="10"/>
  <c r="CF14" i="10"/>
  <c r="CF15" i="10"/>
  <c r="CF16" i="10"/>
  <c r="CF17" i="10"/>
  <c r="CF18" i="10"/>
  <c r="CF19" i="10"/>
  <c r="CF20" i="10"/>
  <c r="CF21" i="10"/>
  <c r="CF22" i="10"/>
  <c r="CF23" i="10"/>
  <c r="CF24" i="10"/>
  <c r="CF25" i="10"/>
  <c r="CE4" i="10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E17" i="10"/>
  <c r="CE18" i="10"/>
  <c r="CE19" i="10"/>
  <c r="CE20" i="10"/>
  <c r="CE21" i="10"/>
  <c r="CE22" i="10"/>
  <c r="CE23" i="10"/>
  <c r="CE24" i="10"/>
  <c r="CE25" i="10"/>
  <c r="CA4" i="10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BZ4" i="10"/>
  <c r="BZ5" i="10"/>
  <c r="BZ6" i="10"/>
  <c r="BZ7" i="10"/>
  <c r="BZ8" i="10"/>
  <c r="BZ9" i="10"/>
  <c r="BZ10" i="10"/>
  <c r="BZ11" i="10"/>
  <c r="BZ12" i="10"/>
  <c r="BZ13" i="10"/>
  <c r="BZ14" i="10"/>
  <c r="BZ15" i="10"/>
  <c r="BZ16" i="10"/>
  <c r="BZ17" i="10"/>
  <c r="BZ18" i="10"/>
  <c r="BZ19" i="10"/>
  <c r="BZ20" i="10"/>
  <c r="BZ21" i="10"/>
  <c r="BZ22" i="10"/>
  <c r="BZ23" i="10"/>
  <c r="BZ24" i="10"/>
  <c r="BZ25" i="10"/>
  <c r="BY4" i="10"/>
  <c r="BY5" i="10"/>
  <c r="BY6" i="10"/>
  <c r="BY7" i="10"/>
  <c r="BY8" i="10"/>
  <c r="BY9" i="10"/>
  <c r="BY10" i="10"/>
  <c r="BY11" i="10"/>
  <c r="BY12" i="10"/>
  <c r="BY13" i="10"/>
  <c r="BY14" i="10"/>
  <c r="BY15" i="10"/>
  <c r="BY16" i="10"/>
  <c r="BY17" i="10"/>
  <c r="BY18" i="10"/>
  <c r="BY19" i="10"/>
  <c r="BY20" i="10"/>
  <c r="BY21" i="10"/>
  <c r="BY22" i="10"/>
  <c r="BY23" i="10"/>
  <c r="BY24" i="10"/>
  <c r="BY25" i="10"/>
  <c r="BT4" i="10"/>
  <c r="BT5" i="10"/>
  <c r="BT6" i="10"/>
  <c r="BT7" i="10"/>
  <c r="BT8" i="10"/>
  <c r="BT9" i="10"/>
  <c r="BT10" i="10"/>
  <c r="BT11" i="10"/>
  <c r="BT12" i="10"/>
  <c r="BT13" i="10"/>
  <c r="BT14" i="10"/>
  <c r="BT15" i="10"/>
  <c r="BT16" i="10"/>
  <c r="BT17" i="10"/>
  <c r="BT18" i="10"/>
  <c r="BT19" i="10"/>
  <c r="BT20" i="10"/>
  <c r="BT21" i="10"/>
  <c r="BT22" i="10"/>
  <c r="BT23" i="10"/>
  <c r="BT24" i="10"/>
  <c r="BT25" i="10"/>
  <c r="BS4" i="10"/>
  <c r="BS5" i="10"/>
  <c r="BS6" i="10"/>
  <c r="BS7" i="10"/>
  <c r="BS8" i="10"/>
  <c r="BS9" i="10"/>
  <c r="BS10" i="10"/>
  <c r="BS11" i="10"/>
  <c r="BS12" i="10"/>
  <c r="BS13" i="10"/>
  <c r="BS14" i="10"/>
  <c r="BS15" i="10"/>
  <c r="BS16" i="10"/>
  <c r="BS17" i="10"/>
  <c r="BS18" i="10"/>
  <c r="BS19" i="10"/>
  <c r="BS20" i="10"/>
  <c r="BS21" i="10"/>
  <c r="BS22" i="10"/>
  <c r="BS23" i="10"/>
  <c r="BS24" i="10"/>
  <c r="BS25" i="10"/>
  <c r="BR4" i="10"/>
  <c r="BR5" i="10"/>
  <c r="BR6" i="10"/>
  <c r="BR7" i="10"/>
  <c r="BR8" i="10"/>
  <c r="BR9" i="10"/>
  <c r="BR10" i="10"/>
  <c r="BR11" i="10"/>
  <c r="BR12" i="10"/>
  <c r="BR13" i="10"/>
  <c r="BR14" i="10"/>
  <c r="BR15" i="10"/>
  <c r="BR16" i="10"/>
  <c r="BR17" i="10"/>
  <c r="BR18" i="10"/>
  <c r="BR19" i="10"/>
  <c r="BR20" i="10"/>
  <c r="BR21" i="10"/>
  <c r="BR22" i="10"/>
  <c r="BR23" i="10"/>
  <c r="BR24" i="10"/>
  <c r="BR25" i="10"/>
  <c r="BK4" i="10"/>
  <c r="BK5" i="10"/>
  <c r="BK6" i="10"/>
  <c r="BK7" i="10"/>
  <c r="BK8" i="10"/>
  <c r="BK9" i="10"/>
  <c r="BK10" i="10"/>
  <c r="BK11" i="10"/>
  <c r="BK12" i="10"/>
  <c r="BK13" i="10"/>
  <c r="BK14" i="10"/>
  <c r="BK15" i="10"/>
  <c r="BK16" i="10"/>
  <c r="BK17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J9" i="10"/>
  <c r="BJ10" i="10"/>
  <c r="BJ11" i="10"/>
  <c r="BJ12" i="10"/>
  <c r="BJ13" i="10"/>
  <c r="BJ14" i="10"/>
  <c r="BJ15" i="10"/>
  <c r="BJ16" i="10"/>
  <c r="BJ17" i="10"/>
  <c r="BJ18" i="10"/>
  <c r="BJ19" i="10"/>
  <c r="BJ20" i="10"/>
  <c r="BJ21" i="10"/>
  <c r="BJ22" i="10"/>
  <c r="BJ23" i="10"/>
  <c r="BJ24" i="10"/>
  <c r="BJ25" i="10"/>
  <c r="BF4" i="10"/>
  <c r="BF5" i="10"/>
  <c r="BF6" i="10"/>
  <c r="BF7" i="10"/>
  <c r="BF8" i="10"/>
  <c r="BF9" i="10"/>
  <c r="BF10" i="10"/>
  <c r="BF11" i="10"/>
  <c r="BF12" i="10"/>
  <c r="BF13" i="10"/>
  <c r="BF15" i="10"/>
  <c r="BF16" i="10"/>
  <c r="BF17" i="10"/>
  <c r="BF18" i="10"/>
  <c r="BF19" i="10"/>
  <c r="BF20" i="10"/>
  <c r="BF21" i="10"/>
  <c r="BF22" i="10"/>
  <c r="BF23" i="10"/>
  <c r="BF24" i="10"/>
  <c r="BF25" i="10"/>
  <c r="BE4" i="10"/>
  <c r="BE5" i="10"/>
  <c r="BE6" i="10"/>
  <c r="BE7" i="10"/>
  <c r="BE8" i="10"/>
  <c r="BE9" i="10"/>
  <c r="BE10" i="10"/>
  <c r="BE11" i="10"/>
  <c r="BE12" i="10"/>
  <c r="BE13" i="10"/>
  <c r="BE14" i="10"/>
  <c r="BF14" i="10" s="1"/>
  <c r="BM14" i="10" s="1"/>
  <c r="D12" i="13" s="1"/>
  <c r="BE15" i="10"/>
  <c r="BE16" i="10"/>
  <c r="BE17" i="10"/>
  <c r="BE18" i="10"/>
  <c r="BE19" i="10"/>
  <c r="BE20" i="10"/>
  <c r="BE21" i="10"/>
  <c r="BE22" i="10"/>
  <c r="BE23" i="10"/>
  <c r="BE24" i="10"/>
  <c r="BE25" i="10"/>
  <c r="BD4" i="10"/>
  <c r="BD5" i="10"/>
  <c r="BD6" i="10"/>
  <c r="BD7" i="10"/>
  <c r="BD8" i="10"/>
  <c r="BD9" i="10"/>
  <c r="BD10" i="10"/>
  <c r="BD11" i="10"/>
  <c r="BD12" i="10"/>
  <c r="BD13" i="10"/>
  <c r="BD14" i="10"/>
  <c r="BD15" i="10"/>
  <c r="BD16" i="10"/>
  <c r="BD17" i="10"/>
  <c r="BD18" i="10"/>
  <c r="BD19" i="10"/>
  <c r="BD20" i="10"/>
  <c r="BD21" i="10"/>
  <c r="BD22" i="10"/>
  <c r="BD23" i="10"/>
  <c r="BD24" i="10"/>
  <c r="BD25" i="10"/>
  <c r="AY4" i="10"/>
  <c r="AY5" i="10"/>
  <c r="AY6" i="10"/>
  <c r="AY7" i="10"/>
  <c r="AY8" i="10"/>
  <c r="AY9" i="10"/>
  <c r="AY10" i="10"/>
  <c r="AY11" i="10"/>
  <c r="AY12" i="10"/>
  <c r="AY13" i="10"/>
  <c r="AY14" i="10"/>
  <c r="AY15" i="10"/>
  <c r="AY16" i="10"/>
  <c r="AY17" i="10"/>
  <c r="AY18" i="10"/>
  <c r="AY19" i="10"/>
  <c r="AY20" i="10"/>
  <c r="AY21" i="10"/>
  <c r="AY22" i="10"/>
  <c r="AY24" i="10"/>
  <c r="AY25" i="10"/>
  <c r="AX4" i="10"/>
  <c r="AX5" i="10"/>
  <c r="AX6" i="10"/>
  <c r="AX7" i="10"/>
  <c r="AX8" i="10"/>
  <c r="AX9" i="10"/>
  <c r="AX10" i="10"/>
  <c r="AX11" i="10"/>
  <c r="AX12" i="10"/>
  <c r="AX13" i="10"/>
  <c r="AX14" i="10"/>
  <c r="AX15" i="10"/>
  <c r="AX16" i="10"/>
  <c r="AX17" i="10"/>
  <c r="AX18" i="10"/>
  <c r="AX19" i="10"/>
  <c r="AX20" i="10"/>
  <c r="AX21" i="10"/>
  <c r="AX22" i="10"/>
  <c r="AX23" i="10"/>
  <c r="AY23" i="10" s="1"/>
  <c r="BM23" i="10" s="1"/>
  <c r="D21" i="13" s="1"/>
  <c r="AX24" i="10"/>
  <c r="AX25" i="10"/>
  <c r="AW4" i="10"/>
  <c r="AW5" i="10"/>
  <c r="AW6" i="10"/>
  <c r="AW7" i="10"/>
  <c r="AW8" i="10"/>
  <c r="AW9" i="10"/>
  <c r="AW10" i="10"/>
  <c r="AW11" i="10"/>
  <c r="AW12" i="10"/>
  <c r="AW13" i="10"/>
  <c r="AW14" i="10"/>
  <c r="AW15" i="10"/>
  <c r="AW16" i="10"/>
  <c r="AW17" i="10"/>
  <c r="AW18" i="10"/>
  <c r="AW19" i="10"/>
  <c r="AW20" i="10"/>
  <c r="AW21" i="10"/>
  <c r="AW22" i="10"/>
  <c r="AW23" i="10"/>
  <c r="AW24" i="10"/>
  <c r="AW25" i="10"/>
  <c r="AP4" i="10"/>
  <c r="AP5" i="10"/>
  <c r="AP6" i="10"/>
  <c r="AP7" i="10"/>
  <c r="AP10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P8" i="10" s="1"/>
  <c r="AO9" i="10"/>
  <c r="AP9" i="10" s="1"/>
  <c r="AO10" i="10"/>
  <c r="AO11" i="10"/>
  <c r="AP11" i="10" s="1"/>
  <c r="AO12" i="10"/>
  <c r="AP12" i="10" s="1"/>
  <c r="C10" i="13" s="1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6" i="10"/>
  <c r="AK7" i="10"/>
  <c r="AK9" i="10"/>
  <c r="AK11" i="10"/>
  <c r="AK12" i="10"/>
  <c r="AK13" i="10"/>
  <c r="AK16" i="10"/>
  <c r="AK17" i="10"/>
  <c r="AK18" i="10"/>
  <c r="AK20" i="10"/>
  <c r="AK21" i="10"/>
  <c r="AK22" i="10"/>
  <c r="AK23" i="10"/>
  <c r="AK24" i="10"/>
  <c r="C22" i="13" s="1"/>
  <c r="AJ4" i="10"/>
  <c r="AJ6" i="10"/>
  <c r="AJ8" i="10"/>
  <c r="AK8" i="10" s="1"/>
  <c r="AJ9" i="10"/>
  <c r="AJ11" i="10"/>
  <c r="AJ12" i="10"/>
  <c r="AJ16" i="10"/>
  <c r="AJ17" i="10"/>
  <c r="AJ18" i="10"/>
  <c r="AJ20" i="10"/>
  <c r="AJ21" i="10"/>
  <c r="AJ22" i="10"/>
  <c r="AJ23" i="10"/>
  <c r="AJ24" i="10"/>
  <c r="AI4" i="10"/>
  <c r="AI5" i="10"/>
  <c r="AJ5" i="10" s="1"/>
  <c r="AK5" i="10" s="1"/>
  <c r="AI6" i="10"/>
  <c r="AI7" i="10"/>
  <c r="AJ7" i="10" s="1"/>
  <c r="AI8" i="10"/>
  <c r="AI9" i="10"/>
  <c r="AI10" i="10"/>
  <c r="AJ10" i="10" s="1"/>
  <c r="AK10" i="10" s="1"/>
  <c r="C8" i="13" s="1"/>
  <c r="AI11" i="10"/>
  <c r="AI12" i="10"/>
  <c r="AI13" i="10"/>
  <c r="AJ13" i="10" s="1"/>
  <c r="AI14" i="10"/>
  <c r="AJ14" i="10" s="1"/>
  <c r="AK14" i="10" s="1"/>
  <c r="C12" i="13" s="1"/>
  <c r="AI15" i="10"/>
  <c r="AJ15" i="10" s="1"/>
  <c r="AK15" i="10" s="1"/>
  <c r="AI16" i="10"/>
  <c r="AI17" i="10"/>
  <c r="AI18" i="10"/>
  <c r="AI19" i="10"/>
  <c r="AJ19" i="10" s="1"/>
  <c r="AK19" i="10" s="1"/>
  <c r="AI20" i="10"/>
  <c r="AI21" i="10"/>
  <c r="AI22" i="10"/>
  <c r="AI23" i="10"/>
  <c r="AI24" i="10"/>
  <c r="AI25" i="10"/>
  <c r="AJ25" i="10" s="1"/>
  <c r="AK25" i="10" s="1"/>
  <c r="AD6" i="10"/>
  <c r="AD8" i="10"/>
  <c r="AD10" i="10"/>
  <c r="AD12" i="10"/>
  <c r="AD14" i="10"/>
  <c r="AD17" i="10"/>
  <c r="AD24" i="10"/>
  <c r="AB4" i="10"/>
  <c r="AC4" i="10" s="1"/>
  <c r="AD4" i="10" s="1"/>
  <c r="AB5" i="10"/>
  <c r="AB6" i="10"/>
  <c r="AB7" i="10"/>
  <c r="AC7" i="10" s="1"/>
  <c r="AD7" i="10" s="1"/>
  <c r="AB8" i="10"/>
  <c r="AB9" i="10"/>
  <c r="AC9" i="10" s="1"/>
  <c r="AD9" i="10" s="1"/>
  <c r="AB10" i="10"/>
  <c r="AB11" i="10"/>
  <c r="AC11" i="10" s="1"/>
  <c r="AD11" i="10" s="1"/>
  <c r="AB12" i="10"/>
  <c r="AB13" i="10"/>
  <c r="AB14" i="10"/>
  <c r="AB15" i="10"/>
  <c r="AC15" i="10" s="1"/>
  <c r="AD15" i="10" s="1"/>
  <c r="AB16" i="10"/>
  <c r="AC16" i="10" s="1"/>
  <c r="AD16" i="10" s="1"/>
  <c r="C14" i="13" s="1"/>
  <c r="AB17" i="10"/>
  <c r="AB18" i="10"/>
  <c r="AC18" i="10" s="1"/>
  <c r="AD18" i="10" s="1"/>
  <c r="C16" i="13" s="1"/>
  <c r="AB19" i="10"/>
  <c r="AB20" i="10"/>
  <c r="AC20" i="10" s="1"/>
  <c r="AD20" i="10" s="1"/>
  <c r="C18" i="13" s="1"/>
  <c r="AB21" i="10"/>
  <c r="AC21" i="10" s="1"/>
  <c r="AD21" i="10" s="1"/>
  <c r="C19" i="13" s="1"/>
  <c r="AB22" i="10"/>
  <c r="AC22" i="10" s="1"/>
  <c r="AD22" i="10" s="1"/>
  <c r="AB23" i="10"/>
  <c r="AC23" i="10" s="1"/>
  <c r="AD23" i="10" s="1"/>
  <c r="C21" i="13" s="1"/>
  <c r="AB24" i="10"/>
  <c r="AB25" i="10"/>
  <c r="AC5" i="10"/>
  <c r="AD5" i="10" s="1"/>
  <c r="AC6" i="10"/>
  <c r="AC8" i="10"/>
  <c r="AC10" i="10"/>
  <c r="AC12" i="10"/>
  <c r="AC13" i="10"/>
  <c r="AD13" i="10" s="1"/>
  <c r="AC14" i="10"/>
  <c r="AC17" i="10"/>
  <c r="AC19" i="10"/>
  <c r="AD19" i="10" s="1"/>
  <c r="AC24" i="10"/>
  <c r="AC25" i="10"/>
  <c r="AD25" i="10" s="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AR9" i="10" l="1"/>
  <c r="C7" i="13" s="1"/>
  <c r="AR15" i="10"/>
  <c r="C13" i="13" s="1"/>
  <c r="AR7" i="10"/>
  <c r="C5" i="13" s="1"/>
  <c r="H4" i="12"/>
  <c r="H15" i="12"/>
  <c r="F15" i="12"/>
  <c r="G15" i="12" s="1"/>
  <c r="J3" i="16"/>
  <c r="F4" i="12"/>
  <c r="G4" i="12" s="1"/>
  <c r="I6" i="16"/>
  <c r="C3" i="13"/>
  <c r="C23" i="13"/>
  <c r="C9" i="13"/>
  <c r="H9" i="12" s="1"/>
  <c r="B11" i="10"/>
  <c r="C6" i="13"/>
  <c r="C2" i="13"/>
  <c r="C11" i="13"/>
  <c r="C17" i="13"/>
  <c r="B22" i="10"/>
  <c r="C20" i="13"/>
  <c r="H20" i="12" s="1"/>
  <c r="O5" i="10"/>
  <c r="P5" i="10" s="1"/>
  <c r="O15" i="10"/>
  <c r="P15" i="10" s="1"/>
  <c r="O21" i="10"/>
  <c r="O17" i="10"/>
  <c r="O9" i="10"/>
  <c r="O25" i="10"/>
  <c r="P25" i="10" s="1"/>
  <c r="O16" i="10"/>
  <c r="P16" i="10" s="1"/>
  <c r="O4" i="10"/>
  <c r="O24" i="10"/>
  <c r="P24" i="10" s="1"/>
  <c r="O11" i="10"/>
  <c r="O12" i="10"/>
  <c r="O23" i="10"/>
  <c r="O22" i="10"/>
  <c r="O10" i="10"/>
  <c r="P10" i="10" s="1"/>
  <c r="O14" i="10"/>
  <c r="P14" i="10" s="1"/>
  <c r="O13" i="10"/>
  <c r="P13" i="10" s="1"/>
  <c r="O8" i="10"/>
  <c r="P8" i="10" s="1"/>
  <c r="O19" i="10"/>
  <c r="P19" i="10" s="1"/>
  <c r="O7" i="10"/>
  <c r="P7" i="10" s="1"/>
  <c r="O20" i="10"/>
  <c r="F9" i="12" l="1"/>
  <c r="G9" i="12" s="1"/>
  <c r="J4" i="16"/>
  <c r="F20" i="12"/>
  <c r="G20" i="12" s="1"/>
  <c r="G4" i="16"/>
  <c r="B25" i="10"/>
  <c r="B23" i="13"/>
  <c r="H23" i="12" s="1"/>
  <c r="B3" i="13"/>
  <c r="H3" i="12" s="1"/>
  <c r="B5" i="10"/>
  <c r="B10" i="13"/>
  <c r="H10" i="12" s="1"/>
  <c r="B12" i="10"/>
  <c r="B19" i="10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H13" i="12" s="1"/>
  <c r="B5" i="13"/>
  <c r="H5" i="12" s="1"/>
  <c r="B7" i="10"/>
  <c r="B9" i="10"/>
  <c r="B7" i="13"/>
  <c r="H7" i="12" s="1"/>
  <c r="B16" i="10"/>
  <c r="B14" i="13"/>
  <c r="H14" i="12" s="1"/>
  <c r="H7" i="16" l="1"/>
  <c r="H5" i="16"/>
  <c r="F5" i="12"/>
  <c r="G5" i="12" s="1"/>
  <c r="H4" i="16"/>
  <c r="F13" i="12"/>
  <c r="G13" i="12" s="1"/>
  <c r="F7" i="12"/>
  <c r="G7" i="12" s="1"/>
  <c r="G8" i="16"/>
  <c r="G3" i="16"/>
  <c r="F23" i="12"/>
  <c r="G23" i="12" s="1"/>
  <c r="I3" i="16"/>
  <c r="F14" i="12"/>
  <c r="G14" i="12" s="1"/>
  <c r="G2" i="16"/>
  <c r="G5" i="16"/>
  <c r="F3" i="12"/>
  <c r="G3" i="12" s="1"/>
  <c r="J8" i="16"/>
  <c r="I7" i="16"/>
  <c r="F10" i="12"/>
  <c r="G10" i="12" s="1"/>
  <c r="J7" i="16"/>
  <c r="F17" i="12"/>
  <c r="G17" i="12" s="1"/>
  <c r="H3" i="16"/>
  <c r="J2" i="16"/>
  <c r="F16" i="12"/>
  <c r="G16" i="12" s="1"/>
  <c r="J5" i="16"/>
  <c r="I8" i="16"/>
  <c r="F11" i="12"/>
  <c r="G11" i="12" s="1"/>
  <c r="I4" i="16"/>
  <c r="J6" i="16"/>
  <c r="F21" i="12"/>
  <c r="G21" i="12" s="1"/>
  <c r="F12" i="12"/>
  <c r="G12" i="12" s="1"/>
  <c r="H2" i="16"/>
  <c r="F8" i="12"/>
  <c r="G8" i="12" s="1"/>
  <c r="H6" i="16"/>
  <c r="I5" i="16"/>
  <c r="F6" i="12"/>
  <c r="G6" i="12" s="1"/>
  <c r="F22" i="12"/>
  <c r="G22" i="12" s="1"/>
  <c r="H8" i="16"/>
  <c r="G6" i="16"/>
  <c r="F18" i="12"/>
  <c r="G18" i="12" s="1"/>
  <c r="F19" i="12"/>
  <c r="G19" i="12" s="1"/>
  <c r="G7" i="16"/>
  <c r="I2" i="16"/>
  <c r="F2" i="12"/>
  <c r="G2" i="12" s="1"/>
  <c r="D4" i="16" l="1"/>
  <c r="D3" i="16"/>
  <c r="D8" i="16"/>
  <c r="D7" i="16"/>
  <c r="D5" i="16"/>
  <c r="D6" i="16"/>
  <c r="D2" i="16"/>
  <c r="A2" i="16" l="1"/>
  <c r="F6" i="16"/>
  <c r="A6" i="16"/>
  <c r="B30" i="10" s="1"/>
  <c r="F8" i="16"/>
  <c r="F4" i="16"/>
  <c r="F7" i="16"/>
  <c r="A8" i="16"/>
  <c r="B8" i="16" s="1"/>
  <c r="A5" i="16"/>
  <c r="B5" i="16" s="1"/>
  <c r="A7" i="16"/>
  <c r="B7" i="16" s="1"/>
  <c r="F2" i="16"/>
  <c r="A3" i="16"/>
  <c r="B3" i="16" s="1"/>
  <c r="F5" i="16"/>
  <c r="F3" i="16"/>
  <c r="A4" i="16"/>
  <c r="B35" i="10" l="1"/>
  <c r="B2" i="16"/>
  <c r="B6" i="16"/>
  <c r="B33" i="10"/>
  <c r="B34" i="10"/>
  <c r="E7" i="16" a="1"/>
  <c r="E7" i="16" s="1"/>
  <c r="B32" i="10"/>
  <c r="B31" i="10"/>
  <c r="B4" i="16"/>
  <c r="E8" i="16" a="1"/>
  <c r="E8" i="16" s="1"/>
  <c r="B36" i="10"/>
  <c r="E4" i="16" a="1"/>
  <c r="E4" i="16" s="1"/>
  <c r="E6" i="16" a="1"/>
  <c r="E6" i="16" s="1"/>
  <c r="E2" i="16" a="1"/>
  <c r="E2" i="16" s="1"/>
  <c r="E5" i="16" a="1"/>
  <c r="E5" i="16" s="1"/>
  <c r="E3" i="16" a="1"/>
  <c r="E3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<sst xmlns="http://schemas.openxmlformats.org/spreadsheetml/2006/main" count="1075" uniqueCount="317">
  <si>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</si>
  <si>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</si>
  <si>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</si>
  <si>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</si>
  <si>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</si>
  <si>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</si>
  <si>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</si>
  <si>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</si>
  <si>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</si>
  <si>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</si>
  <si>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</si>
  <si>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</si>
  <si>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</si>
  <si>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</si>
  <si>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</si>
  <si>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</si>
  <si>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</si>
  <si>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</si>
  <si>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</si>
  <si>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</si>
  <si>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</si>
  <si>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</si>
  <si>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</si>
  <si>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</si>
  <si>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</si>
  <si>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</si>
  <si>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</si>
  <si>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</si>
  <si>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</si>
  <si>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</si>
  <si>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</si>
  <si>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</si>
  <si>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</si>
  <si>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</si>
  <si>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</si>
  <si>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</si>
  <si>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</si>
  <si>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</si>
  <si>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</si>
  <si>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</si>
  <si>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</si>
  <si>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</si>
  <si>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</si>
  <si>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</si>
  <si>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</si>
  <si>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</si>
  <si>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</si>
  <si>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</si>
  <si>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</si>
  <si>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</si>
  <si>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</si>
  <si>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</si>
  <si>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</si>
  <si>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</si>
  <si>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</si>
  <si>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</si>
  <si>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</si>
  <si>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</si>
  <si>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</si>
  <si>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</si>
  <si>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</si>
  <si>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</si>
  <si>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</si>
  <si>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</si>
  <si>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</si>
  <si>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</si>
  <si>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</si>
  <si>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</si>
  <si>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</si>
  <si>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</si>
  <si>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</si>
  <si>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</si>
  <si>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</si>
  <si>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</si>
  <si>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</si>
  <si>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</si>
  <si>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</si>
  <si>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</si>
  <si>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</si>
  <si>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</si>
  <si>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</si>
  <si>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</si>
  <si>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</si>
  <si>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</si>
  <si>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</si>
  <si>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</si>
  <si>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</si>
  <si>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</si>
  <si>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</si>
  <si>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</si>
  <si>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</si>
  <si>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</si>
  <si>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</si>
  <si>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</si>
  <si>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</si>
  <si>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</si>
  <si>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</si>
  <si>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</si>
  <si>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</si>
  <si>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</si>
  <si>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</si>
  <si>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</si>
  <si>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</si>
  <si>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</si>
  <si>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</si>
  <si>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</si>
  <si>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</si>
  <si>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</si>
  <si>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</si>
  <si>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</si>
  <si>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</si>
  <si>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</si>
  <si>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</si>
  <si>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</si>
  <si>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</si>
  <si>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</si>
  <si>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</si>
  <si>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</si>
  <si>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</si>
  <si>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</si>
  <si>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</si>
  <si>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</si>
  <si>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</si>
  <si>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</si>
  <si>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</si>
  <si>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</si>
  <si>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</si>
  <si>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</si>
  <si>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</si>
  <si>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</si>
  <si>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</si>
  <si>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</si>
  <si>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</si>
  <si>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</si>
  <si>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</si>
  <si>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</si>
  <si>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</si>
  <si>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</si>
  <si>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</si>
  <si>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</si>
  <si>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</si>
  <si>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</si>
  <si>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</si>
  <si>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</si>
  <si>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</si>
  <si>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</si>
  <si>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</si>
  <si>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</si>
  <si>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</si>
  <si>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</si>
  <si>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</si>
  <si>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</si>
  <si>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</si>
  <si>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</si>
  <si>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</si>
  <si>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</si>
  <si>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</si>
  <si>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</si>
  <si>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</si>
  <si>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</si>
  <si>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</si>
  <si>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</si>
  <si>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</si>
  <si>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</si>
  <si>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</si>
  <si>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</si>
  <si>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</si>
  <si>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</si>
  <si>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</si>
  <si>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</si>
  <si>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</si>
  <si>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</si>
  <si>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</si>
  <si>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</si>
  <si>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</si>
  <si>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</si>
  <si>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</si>
  <si>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</si>
  <si>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</si>
  <si>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</si>
  <si>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</si>
  <si>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</si>
  <si>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</si>
  <si>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</si>
  <si>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</si>
  <si>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</si>
  <si>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</si>
  <si>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</si>
  <si>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</si>
  <si>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</si>
  <si>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</si>
  <si>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</si>
  <si>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</si>
  <si>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</si>
  <si>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</si>
  <si>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</si>
  <si>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</si>
  <si>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</si>
  <si>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</si>
  <si>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</si>
  <si>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</si>
  <si>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</si>
  <si>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</si>
  <si>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</si>
  <si>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</si>
  <si>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</si>
  <si>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</si>
  <si>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</si>
  <si>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</si>
  <si>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</si>
  <si>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</si>
  <si>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</si>
  <si>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</si>
  <si>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</si>
  <si>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</si>
  <si>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</si>
  <si>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</si>
  <si>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</si>
  <si>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</si>
  <si>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</si>
  <si>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</si>
  <si>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</si>
  <si>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</si>
  <si>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</si>
  <si>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</si>
  <si>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</si>
  <si>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</si>
  <si>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</si>
  <si>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</si>
  <si>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</si>
  <si>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</si>
  <si>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</si>
  <si>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</si>
  <si>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</si>
  <si>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</si>
  <si>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</si>
  <si>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</si>
  <si>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</si>
  <si>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</si>
  <si>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</si>
  <si>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</si>
  <si>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</si>
  <si>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</si>
  <si>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</si>
  <si>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</si>
  <si>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</si>
  <si>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</si>
  <si>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</si>
  <si>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</si>
  <si>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</si>
  <si>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</si>
  <si>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</si>
  <si>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</si>
  <si>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</si>
  <si>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</si>
  <si>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</si>
  <si>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</si>
  <si>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</si>
  <si>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</si>
  <si>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</si>
  <si>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</si>
  <si>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</si>
  <si>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</si>
  <si>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</si>
  <si>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</si>
  <si>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</si>
  <si>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</si>
  <si>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</si>
  <si>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</si>
  <si>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</si>
  <si>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</si>
  <si>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</si>
  <si>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</si>
  <si>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</si>
  <si>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</si>
  <si>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</si>
  <si>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</si>
  <si>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</si>
  <si>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</si>
  <si>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</si>
  <si>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</si>
  <si>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</si>
  <si>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</si>
  <si>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</si>
  <si>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</si>
  <si>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</si>
  <si>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</si>
  <si>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</si>
  <si>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</si>
  <si>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</si>
  <si>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</si>
  <si>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</si>
  <si>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</si>
  <si>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</si>
  <si>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</si>
  <si>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</si>
  <si>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</si>
  <si>
    <t>33*</t>
  </si>
  <si>
    <t>47*</t>
  </si>
  <si>
    <t>6) Award for Your Players:</t>
  </si>
  <si>
    <t>7) Target -&gt;</t>
  </si>
  <si>
    <t>7) Winning Team -&gt;</t>
  </si>
  <si>
    <t>8) Predictions -&gt;</t>
  </si>
  <si>
    <t xml:space="preserve">    100% Precision -&gt; 100 pts</t>
  </si>
  <si>
    <t xml:space="preserve">    75% Precision -&gt; 50 pts</t>
  </si>
  <si>
    <t xml:space="preserve">    Each team Qualify to SUPER 4 and FINAL -&gt; 100 pts</t>
  </si>
  <si>
    <t>HEADLINES</t>
  </si>
  <si>
    <t>AS OF NOW, IT'S A MID-TABLE DOGFIGHT - EVERY POINT COUNTS!...</t>
  </si>
  <si>
    <t>KINGPIN IS ON THE TOP</t>
  </si>
  <si>
    <t>SONG LINES:</t>
  </si>
  <si>
    <t>-----------------</t>
  </si>
  <si>
    <t>SANTO ENTER INTO THE TOP 2</t>
  </si>
  <si>
    <t>Make way here comes the king</t>
  </si>
  <si>
    <t>With those classy shiny bling bling thing</t>
  </si>
  <si>
    <t>Moving like a wrecking machine</t>
  </si>
  <si>
    <t>Get a life he is the best listen up now</t>
  </si>
  <si>
    <t>Let’s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</si>
</sst>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quotePrefix="1"/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83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M8" totalsRowShown="0" headerRowDxfId="182" dataDxfId="181">
  <autoFilter ref="A1:M8" xr:uid="{3CF92C30-632C-49E3-B7A4-F863F89E0A6F}"/>
  <sortState xmlns:xlrd2="http://schemas.microsoft.com/office/spreadsheetml/2017/richdata2" ref="A2:M8">
    <sortCondition ref="A1:A8"/>
  </sortState>
  <tableColumns count="13">
    <tableColumn id="1" xr3:uid="{BB851843-99B6-4FEB-844F-ED25E3C4F0CB}" name="RANK" dataDxfId="180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79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8"/>
    <tableColumn id="4" xr3:uid="{A95197E2-463C-4DED-A8D4-4DB816B57DEF}" name="TALLY" dataDxfId="177">
      <calculatedColumnFormula>SUM(Table8[[#This Row],[BATTER]:[EXTRAS]])</calculatedColumnFormula>
    </tableColumn>
    <tableColumn id="5" xr3:uid="{EA6134DA-45EF-4BC1-AA0D-D281E9D1E0BE}" name="LEAD OVER NEXT ONE" dataDxfId="176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5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4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3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2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1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0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69">
      <calculatedColumnFormula>_xlfn.XLOOKUP(Table8[[#This Row],[NAME]],'TARGET PREDICTIONS'!$A$2:$A$8,'TARGET PREDICTIONS'!$B$2:$B$8,"NA")</calculatedColumnFormula>
    </tableColumn>
    <tableColumn id="13" xr3:uid="{7CE6D44D-FAE1-48B7-AA27-15DC4FD8CD3E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3]],Table1[[#This Row],[POM BONUS]])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3]],Table2[[#This Row],[POM BONUS]])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3]],Table3[[#This Row],[POM BONUS]])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3]],Table4[[#This Row],[POM BONUS]])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3]],Table5[[#This Row],[POM BONUS]])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3]],Table6[[#This Row],[POM BONUS]])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3]],Table7[[#This Row],[POM BONUS]])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4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3">
      <calculatedColumnFormula>_xlfn.XLOOKUP(Table411[[#This Row],[NAME]],Table8[NAME],Table8[RANK],"NA")</calculatedColumnFormula>
    </tableColumn>
    <tableColumn id="3" xr3:uid="{3A2F1E75-13BA-4832-8506-AB99E534EE55}" name="PREVIOUS RANK" dataDxfId="2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G11" sqref="G11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t="s">
        <v>86</v>
      </c>
      <c r="L2" t="s">
        <v>87</v>
      </c>
      <c r="M2" t="s">
        <v>84</v>
      </c>
      <c r="N2" t="s">
        <v>86</v>
      </c>
    </row>
    <row r="3" spans="1:14" x14ac:dyDescent="0.3">
      <c r="A3" t="s">
        <v>6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t="s">
        <v>86</v>
      </c>
      <c r="M3" t="s">
        <v>84</v>
      </c>
      <c r="N3" t="s">
        <v>86</v>
      </c>
    </row>
    <row r="4" spans="1:14" x14ac:dyDescent="0.3">
      <c r="A4" t="s">
        <v>7</v>
      </c>
      <c r="B4" t="s">
        <v>70</v>
      </c>
      <c r="C4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t="s">
        <v>86</v>
      </c>
      <c r="M4" t="s">
        <v>84</v>
      </c>
      <c r="N4" t="s">
        <v>88</v>
      </c>
    </row>
    <row r="5" spans="1:14" x14ac:dyDescent="0.3">
      <c r="A5" t="s">
        <v>8</v>
      </c>
      <c r="B5" t="s">
        <v>66</v>
      </c>
      <c r="C5" t="s">
        <v>206</v>
      </c>
      <c r="D5" t="s">
        <v>76</v>
      </c>
      <c r="E5" t="s">
        <v>60</v>
      </c>
      <c r="F5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t="s">
        <v>86</v>
      </c>
      <c r="M5" t="s">
        <v>84</v>
      </c>
      <c r="N5" t="s">
        <v>88</v>
      </c>
    </row>
    <row r="6" spans="1:14" x14ac:dyDescent="0.3">
      <c r="A6" t="s">
        <v>9</v>
      </c>
      <c r="B6" t="s">
        <v>66</v>
      </c>
      <c r="C6" t="s">
        <v>67</v>
      </c>
      <c r="D6" t="s">
        <v>68</v>
      </c>
      <c r="E6" t="s">
        <v>69</v>
      </c>
      <c r="F6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t="s">
        <v>86</v>
      </c>
      <c r="M6" t="s">
        <v>84</v>
      </c>
      <c r="N6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t="s">
        <v>88</v>
      </c>
    </row>
    <row r="8" spans="1:14" x14ac:dyDescent="0.3">
      <c r="A8" t="s">
        <v>11</v>
      </c>
      <c r="B8" t="s">
        <v>74</v>
      </c>
      <c r="C8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t="s">
        <v>86</v>
      </c>
      <c r="M8" t="s">
        <v>84</v>
      </c>
      <c r="N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M28"/>
  <sheetViews>
    <sheetView showGridLines="0" workbookViewId="0">
      <selection activeCell="A2" sqref="A2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1.88671875" bestFit="1" customWidth="1"/>
  </cols>
  <sheetData>
    <row r="1" spans="1:13" x14ac:dyDescent="0.3">
      <c r="A1" s="2" t="s">
        <v>273</v>
      </c>
      <c r="B1" s="2" t="s">
        <v>274</v>
      </c>
      <c r="C1" s="2" t="s">
        <v>0</v>
      </c>
      <c r="D1" s="2" t="s">
        <v>288</v>
      </c>
      <c r="E1" s="2" t="s">
        <v>275</v>
      </c>
      <c r="F1" s="2" t="s">
        <v>276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278</v>
      </c>
      <c r="L1" s="2" t="s">
        <v>279</v>
      </c>
      <c r="M1" s="2" t="s">
        <v>277</v>
      </c>
    </row>
    <row r="2" spans="1:13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2" s="1" t="s">
        <v>10</v>
      </c>
      <c r="D2" s="1">
        <f>SUM(Table8[[#This Row],[BATTER]:[EXTRAS]])</f>
        <v>1722</v>
      </c>
      <c r="E2" s="1" cm="1">
        <f t="array" ref="E2">IF(Table8[[#This Row],[RANK]]&lt;MAX(Table8[RANK]),Table8[[#This Row],[TALLY]] - INDEX(Table8[TALLY], Table8[[#This Row],[RANK]] + 1), "")</f>
        <v>594.5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627</v>
      </c>
      <c r="H2" s="1">
        <f>_xlfn.XLOOKUP(_xlfn.XLOOKUP(Table8[[#This Row],[NAME]],'TEAM PICK AND PREDICTIONS'!$A$2:$A$8,'TEAM PICK AND PREDICTIONS'!$C$2:$C$8,"NA"),Table0[PLAYER NAME],Table0[POINTS TALLY],0)</f>
        <v>300</v>
      </c>
      <c r="I2" s="1">
        <f>_xlfn.XLOOKUP(_xlfn.XLOOKUP(Table8[[#This Row],[NAME]],'TEAM PICK AND PREDICTIONS'!$A$2:$A$8,'TEAM PICK AND PREDICTIONS'!$D$2:$D$8,"NA"),Table0[PLAYER NAME],Table0[POINTS TALLY],0)*2</f>
        <v>522</v>
      </c>
      <c r="J2" s="1">
        <f>_xlfn.XLOOKUP(_xlfn.XLOOKUP(Table8[[#This Row],[NAME]],'TEAM PICK AND PREDICTIONS'!$A$2:$A$8,'TEAM PICK AND PREDICTIONS'!$E$2:$E$8,"NA"),Table0[PLAYER NAME],Table0[POINTS TALLY],0)</f>
        <v>-7</v>
      </c>
      <c r="K2" s="1">
        <f>_xlfn.XLOOKUP(Table8[[#This Row],[NAME]],'WINNING TEAM PREDICTIONS'!$A$2:$A$8,'WINNING TEAM PREDICTIONS'!$B$2:$B$8,"NA")</f>
        <v>180</v>
      </c>
      <c r="L2" s="1">
        <f>_xlfn.XLOOKUP(Table8[[#This Row],[NAME]],'TARGET PREDICTIONS'!$A$2:$A$8,'TARGET PREDICTIONS'!$B$2:$B$8,"NA")</f>
        <v>100</v>
      </c>
      <c r="M2" s="1"/>
    </row>
    <row r="3" spans="1:13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2</v>
      </c>
      <c r="C3" s="1" t="s">
        <v>9</v>
      </c>
      <c r="D3" s="1">
        <f>SUM(Table8[[#This Row],[BATTER]:[EXTRAS]])</f>
        <v>1127.5</v>
      </c>
      <c r="E3" s="1" cm="1">
        <f t="array" ref="E3">IF(Table8[[#This Row],[RANK]]&lt;MAX(Table8[RANK]),Table8[[#This Row],[TALLY]] - INDEX(Table8[TALLY], Table8[[#This Row],[RANK]] + 1), "")</f>
        <v>43.5</v>
      </c>
      <c r="F3" s="1">
        <f>IF(MAX(Table8[TALLY])-Table8[[#This Row],[TALLY]]=0,"",MAX(Table8[TALLY])-Table8[[#This Row],[TALLY]])</f>
        <v>594.5</v>
      </c>
      <c r="G3" s="1">
        <f>_xlfn.XLOOKUP(_xlfn.XLOOKUP(Table8[[#This Row],[NAME]],'TEAM PICK AND PREDICTIONS'!$A$2:$A$8,'TEAM PICK AND PREDICTIONS'!$B$2:$B$8,"NA"),Table0[PLAYER NAME],Table0[POINTS TALLY],0)*2</f>
        <v>22</v>
      </c>
      <c r="H3" s="1">
        <f>_xlfn.XLOOKUP(_xlfn.XLOOKUP(Table8[[#This Row],[NAME]],'TEAM PICK AND PREDICTIONS'!$A$2:$A$8,'TEAM PICK AND PREDICTIONS'!$C$2:$C$8,"NA"),Table0[PLAYER NAME],Table0[POINTS TALLY],0)</f>
        <v>400</v>
      </c>
      <c r="I3" s="1">
        <f>_xlfn.XLOOKUP(_xlfn.XLOOKUP(Table8[[#This Row],[NAME]],'TEAM PICK AND PREDICTIONS'!$A$2:$A$8,'TEAM PICK AND PREDICTIONS'!$D$2:$D$8,"NA"),Table0[PLAYER NAME],Table0[POINTS TALLY],0)*1.5</f>
        <v>292.5</v>
      </c>
      <c r="J3" s="1">
        <f>_xlfn.XLOOKUP(_xlfn.XLOOKUP(Table8[[#This Row],[NAME]],'TEAM PICK AND PREDICTIONS'!$A$2:$A$8,'TEAM PICK AND PREDICTIONS'!$E$2:$E$8,"NA"),Table0[PLAYER NAME],Table0[POINTS TALLY],0)</f>
        <v>0</v>
      </c>
      <c r="K3" s="1">
        <f>_xlfn.XLOOKUP(Table8[[#This Row],[NAME]],'WINNING TEAM PREDICTIONS'!$A$2:$A$8,'WINNING TEAM PREDICTIONS'!$B$2:$B$8,"NA")</f>
        <v>114.5</v>
      </c>
      <c r="L3" s="1">
        <f>_xlfn.XLOOKUP(Table8[[#This Row],[NAME]],'TARGET PREDICTIONS'!$A$2:$A$8,'TARGET PREDICTIONS'!$B$2:$B$8,"NA")</f>
        <v>248.5</v>
      </c>
      <c r="M3" s="1">
        <v>50</v>
      </c>
    </row>
    <row r="4" spans="1:13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4" s="1" t="s">
        <v>11</v>
      </c>
      <c r="D4" s="1">
        <f>SUM(Table8[[#This Row],[BATTER]:[EXTRAS]])</f>
        <v>1084</v>
      </c>
      <c r="E4" s="1" cm="1">
        <f t="array" ref="E4">IF(Table8[[#This Row],[RANK]]&lt;MAX(Table8[RANK]),Table8[[#This Row],[TALLY]] - INDEX(Table8[TALLY], Table8[[#This Row],[RANK]] + 1), "")</f>
        <v>97</v>
      </c>
      <c r="F4" s="1">
        <f>IF(MAX(Table8[TALLY])-Table8[[#This Row],[TALLY]]=0,"",MAX(Table8[TALLY])-Table8[[#This Row],[TALLY]])</f>
        <v>638</v>
      </c>
      <c r="G4" s="1">
        <f>_xlfn.XLOOKUP(_xlfn.XLOOKUP(Table8[[#This Row],[NAME]],'TEAM PICK AND PREDICTIONS'!$A$2:$A$8,'TEAM PICK AND PREDICTIONS'!$B$2:$B$8,"NA"),Table0[PLAYER NAME],Table0[POINTS TALLY],0)*2</f>
        <v>212</v>
      </c>
      <c r="H4" s="1">
        <f>_xlfn.XLOOKUP(_xlfn.XLOOKUP(Table8[[#This Row],[NAME]],'TEAM PICK AND PREDICTIONS'!$A$2:$A$8,'TEAM PICK AND PREDICTIONS'!$C$2:$C$8,"NA"),Table0[PLAYER NAME],Table0[POINTS TALLY],0)</f>
        <v>264</v>
      </c>
      <c r="I4" s="1">
        <f>_xlfn.XLOOKUP(_xlfn.XLOOKUP(Table8[[#This Row],[NAME]],'TEAM PICK AND PREDICTIONS'!$A$2:$A$8,'TEAM PICK AND PREDICTIONS'!$D$2:$D$8,"NA"),Table0[PLAYER NAME],Table0[POINTS TALLY],0)*1.5</f>
        <v>28.5</v>
      </c>
      <c r="J4" s="1">
        <f>_xlfn.XLOOKUP(_xlfn.XLOOKUP(Table8[[#This Row],[NAME]],'TEAM PICK AND PREDICTIONS'!$A$2:$A$8,'TEAM PICK AND PREDICTIONS'!$E$2:$E$8,"NA"),Table0[PLAYER NAME],Table0[POINTS TALLY],0)</f>
        <v>20</v>
      </c>
      <c r="K4" s="1">
        <f>_xlfn.XLOOKUP(Table8[[#This Row],[NAME]],'WINNING TEAM PREDICTIONS'!$A$2:$A$8,'WINNING TEAM PREDICTIONS'!$B$2:$B$8,"NA")</f>
        <v>137.5</v>
      </c>
      <c r="L4" s="1">
        <f>_xlfn.XLOOKUP(Table8[[#This Row],[NAME]],'TARGET PREDICTIONS'!$A$2:$A$8,'TARGET PREDICTIONS'!$B$2:$B$8,"NA")</f>
        <v>422</v>
      </c>
      <c r="M4" s="1"/>
    </row>
    <row r="5" spans="1:13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2</v>
      </c>
      <c r="C5" s="1" t="s">
        <v>7</v>
      </c>
      <c r="D5" s="1">
        <f>SUM(Table8[[#This Row],[BATTER]:[EXTRAS]])</f>
        <v>987</v>
      </c>
      <c r="E5" s="1" cm="1">
        <f t="array" ref="E5">IF(Table8[[#This Row],[RANK]]&lt;MAX(Table8[RANK]),Table8[[#This Row],[TALLY]] - INDEX(Table8[TALLY], Table8[[#This Row],[RANK]] + 1), "")</f>
        <v>193</v>
      </c>
      <c r="F5" s="1">
        <f>IF(MAX(Table8[TALLY])-Table8[[#This Row],[TALLY]]=0,"",MAX(Table8[TALLY])-Table8[[#This Row],[TALLY]])</f>
        <v>735</v>
      </c>
      <c r="G5" s="1">
        <f>_xlfn.XLOOKUP(_xlfn.XLOOKUP(Table8[[#This Row],[NAME]],'TEAM PICK AND PREDICTIONS'!$A$2:$A$8,'TEAM PICK AND PREDICTIONS'!$B$2:$B$8,"NA"),Table0[PLAYER NAME],Table0[POINTS TALLY],0)*1.5</f>
        <v>627</v>
      </c>
      <c r="H5" s="1">
        <f>_xlfn.XLOOKUP(_xlfn.XLOOKUP(Table8[[#This Row],[NAME]],'TEAM PICK AND PREDICTIONS'!$A$2:$A$8,'TEAM PICK AND PREDICTIONS'!$C$2:$C$8,"NA"),Table0[PLAYER NAME],Table0[POINTS TALLY],0)</f>
        <v>117</v>
      </c>
      <c r="I5" s="1">
        <f>_xlfn.XLOOKUP(_xlfn.XLOOKUP(Table8[[#This Row],[NAME]],'TEAM PICK AND PREDICTIONS'!$A$2:$A$8,'TEAM PICK AND PREDICTIONS'!$D$2:$D$8,"NA"),Table0[PLAYER NAME],Table0[POINTS TALLY],0)*2</f>
        <v>100</v>
      </c>
      <c r="J5" s="1">
        <f>_xlfn.XLOOKUP(_xlfn.XLOOKUP(Table8[[#This Row],[NAME]],'TEAM PICK AND PREDICTIONS'!$A$2:$A$8,'TEAM PICK AND PREDICTIONS'!$E$2:$E$8,"NA"),Table0[PLAYER NAME],Table0[POINTS TALLY],0)</f>
        <v>-7</v>
      </c>
      <c r="K5" s="1">
        <f>_xlfn.XLOOKUP(Table8[[#This Row],[NAME]],'WINNING TEAM PREDICTIONS'!$A$2:$A$8,'WINNING TEAM PREDICTIONS'!$B$2:$B$8,"NA")</f>
        <v>50</v>
      </c>
      <c r="L5" s="1">
        <f>_xlfn.XLOOKUP(Table8[[#This Row],[NAME]],'TARGET PREDICTIONS'!$A$2:$A$8,'TARGET PREDICTIONS'!$B$2:$B$8,"NA")</f>
        <v>100</v>
      </c>
      <c r="M5" s="1"/>
    </row>
    <row r="6" spans="1:13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6" s="1" t="s">
        <v>4</v>
      </c>
      <c r="D6" s="1">
        <f>SUM(Table8[[#This Row],[BATTER]:[EXTRAS]])</f>
        <v>794</v>
      </c>
      <c r="E6" s="1" cm="1">
        <f t="array" ref="E6">IF(Table8[[#This Row],[RANK]]&lt;MAX(Table8[RANK]),Table8[[#This Row],[TALLY]] - INDEX(Table8[TALLY], Table8[[#This Row],[RANK]] + 1), "")</f>
        <v>208.5</v>
      </c>
      <c r="F6" s="1">
        <f>IF(MAX(Table8[TALLY])-Table8[[#This Row],[TALLY]]=0,"",MAX(Table8[TALLY])-Table8[[#This Row],[TALLY]])</f>
        <v>928</v>
      </c>
      <c r="G6" s="1">
        <f>_xlfn.XLOOKUP(_xlfn.XLOOKUP(Table8[[#This Row],[NAME]],'TEAM PICK AND PREDICTIONS'!$A$2:$A$8,'TEAM PICK AND PREDICTIONS'!$B$2:$B$8,"NA"),Table0[PLAYER NAME],Table0[POINTS TALLY],0)*2</f>
        <v>160</v>
      </c>
      <c r="H6" s="1">
        <f>_xlfn.XLOOKUP(_xlfn.XLOOKUP(Table8[[#This Row],[NAME]],'TEAM PICK AND PREDICTIONS'!$A$2:$A$8,'TEAM PICK AND PREDICTIONS'!$C$2:$C$8,"NA"),Table0[PLAYER NAME],Table0[POINTS TALLY],0)*2</f>
        <v>350</v>
      </c>
      <c r="I6" s="1">
        <f>_xlfn.XLOOKUP(_xlfn.XLOOKUP(Table8[[#This Row],[NAME]],'TEAM PICK AND PREDICTIONS'!$A$2:$A$8,'TEAM PICK AND PREDICTIONS'!$D$2:$D$8,"NA"),Table0[PLAYER NAME],Table0[POINTS TALLY],0)</f>
        <v>0</v>
      </c>
      <c r="J6" s="1">
        <f>_xlfn.XLOOKUP(_xlfn.XLOOKUP(Table8[[#This Row],[NAME]],'TEAM PICK AND PREDICTIONS'!$A$2:$A$8,'TEAM PICK AND PREDICTIONS'!$E$2:$E$8,"NA"),Table0[PLAYER NAME],Table0[POINTS TALLY],0)</f>
        <v>159</v>
      </c>
      <c r="K6" s="1">
        <f>_xlfn.XLOOKUP(Table8[[#This Row],[NAME]],'WINNING TEAM PREDICTIONS'!$A$2:$A$8,'WINNING TEAM PREDICTIONS'!$B$2:$B$8,"NA")</f>
        <v>100</v>
      </c>
      <c r="L6" s="1">
        <f>_xlfn.XLOOKUP(Table8[[#This Row],[NAME]],'TARGET PREDICTIONS'!$A$2:$A$8,'TARGET PREDICTIONS'!$B$2:$B$8,"NA")</f>
        <v>25</v>
      </c>
      <c r="M6" s="1"/>
    </row>
    <row r="7" spans="1:13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7" s="1" t="s">
        <v>6</v>
      </c>
      <c r="D7" s="1">
        <f>SUM(Table8[[#This Row],[BATTER]:[EXTRAS]])</f>
        <v>585.5</v>
      </c>
      <c r="E7" s="1" cm="1">
        <f t="array" ref="E7">IF(Table8[[#This Row],[RANK]]&lt;MAX(Table8[RANK]),Table8[[#This Row],[TALLY]] - INDEX(Table8[TALLY], Table8[[#This Row],[RANK]] + 1), "")</f>
        <v>183</v>
      </c>
      <c r="F7" s="1">
        <f>IF(MAX(Table8[TALLY])-Table8[[#This Row],[TALLY]]=0,"",MAX(Table8[TALLY])-Table8[[#This Row],[TALLY]])</f>
        <v>1136.5</v>
      </c>
      <c r="G7" s="1">
        <f>_xlfn.XLOOKUP(_xlfn.XLOOKUP(Table8[[#This Row],[NAME]],'TEAM PICK AND PREDICTIONS'!$A$2:$A$8,'TEAM PICK AND PREDICTIONS'!$B$2:$B$8,"NA"),Table0[PLAYER NAME],Table0[POINTS TALLY],0)*2</f>
        <v>338</v>
      </c>
      <c r="H7" s="1">
        <f>_xlfn.XLOOKUP(_xlfn.XLOOKUP(Table8[[#This Row],[NAME]],'TEAM PICK AND PREDICTIONS'!$A$2:$A$8,'TEAM PICK AND PREDICTIONS'!$C$2:$C$8,"NA"),Table0[PLAYER NAME],Table0[POINTS TALLY],0)</f>
        <v>117</v>
      </c>
      <c r="I7" s="1">
        <f>_xlfn.XLOOKUP(_xlfn.XLOOKUP(Table8[[#This Row],[NAME]],'TEAM PICK AND PREDICTIONS'!$A$2:$A$8,'TEAM PICK AND PREDICTIONS'!$D$2:$D$8,"NA"),Table0[PLAYER NAME],Table0[POINTS TALLY],0)*1.5</f>
        <v>-34.5</v>
      </c>
      <c r="J7" s="1">
        <f>_xlfn.XLOOKUP(_xlfn.XLOOKUP(Table8[[#This Row],[NAME]],'TEAM PICK AND PREDICTIONS'!$A$2:$A$8,'TEAM PICK AND PREDICTIONS'!$E$2:$E$8,"NA"),Table0[PLAYER NAME],Table0[POINTS TALLY],0)</f>
        <v>75</v>
      </c>
      <c r="K7" s="1">
        <f>_xlfn.XLOOKUP(Table8[[#This Row],[NAME]],'WINNING TEAM PREDICTIONS'!$A$2:$A$8,'WINNING TEAM PREDICTIONS'!$B$2:$B$8,"NA")</f>
        <v>90</v>
      </c>
      <c r="L7" s="1">
        <f>_xlfn.XLOOKUP(Table8[[#This Row],[NAME]],'TARGET PREDICTIONS'!$A$2:$A$8,'TARGET PREDICTIONS'!$B$2:$B$8,"NA")</f>
        <v>0</v>
      </c>
      <c r="M7" s="1"/>
    </row>
    <row r="8" spans="1:13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8" s="1" t="s">
        <v>8</v>
      </c>
      <c r="D8" s="1">
        <f>SUM(Table8[[#This Row],[BATTER]:[EXTRAS]])</f>
        <v>402.5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1319.5</v>
      </c>
      <c r="G8" s="1">
        <f>_xlfn.XLOOKUP(_xlfn.XLOOKUP(Table8[[#This Row],[NAME]],'TEAM PICK AND PREDICTIONS'!$A$2:$A$8,'TEAM PICK AND PREDICTIONS'!$B$2:$B$8,"NA"),Table0[PLAYER NAME],Table0[POINTS TALLY],0)*2</f>
        <v>22</v>
      </c>
      <c r="H8" s="1">
        <f>_xlfn.XLOOKUP(_xlfn.XLOOKUP(Table8[[#This Row],[NAME]],'TEAM PICK AND PREDICTIONS'!$A$2:$A$8,'TEAM PICK AND PREDICTIONS'!$C$2:$C$8,"NA"),Table0[PLAYER NAME],Table0[POINTS TALLY],0)</f>
        <v>200</v>
      </c>
      <c r="I8" s="1">
        <f>_xlfn.XLOOKUP(_xlfn.XLOOKUP(Table8[[#This Row],[NAME]],'TEAM PICK AND PREDICTIONS'!$A$2:$A$8,'TEAM PICK AND PREDICTIONS'!$D$2:$D$8,"NA"),Table0[PLAYER NAME],Table0[POINTS TALLY],0)*1.5</f>
        <v>28.5</v>
      </c>
      <c r="J8" s="1">
        <f>_xlfn.XLOOKUP(_xlfn.XLOOKUP(Table8[[#This Row],[NAME]],'TEAM PICK AND PREDICTIONS'!$A$2:$A$8,'TEAM PICK AND PREDICTIONS'!$E$2:$E$8,"NA"),Table0[PLAYER NAME],Table0[POINTS TALLY],0)</f>
        <v>-23</v>
      </c>
      <c r="K8" s="1">
        <f>_xlfn.XLOOKUP(Table8[[#This Row],[NAME]],'WINNING TEAM PREDICTIONS'!$A$2:$A$8,'WINNING TEAM PREDICTIONS'!$B$2:$B$8,"NA")</f>
        <v>50</v>
      </c>
      <c r="L8" s="1">
        <f>_xlfn.XLOOKUP(Table8[[#This Row],[NAME]],'TARGET PREDICTIONS'!$A$2:$A$8,'TARGET PREDICTIONS'!$B$2:$B$8,"NA")</f>
        <v>125</v>
      </c>
      <c r="M8" s="1"/>
    </row>
    <row r="10" spans="1:13" x14ac:dyDescent="0.3">
      <c r="A10" s="9"/>
    </row>
    <row r="28" spans="1:1" x14ac:dyDescent="0.3">
      <c r="A28" s="9"/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9BA-33AC-47EF-BCC1-974F9AB745ED}">
  <dimension ref="A1:A13"/>
  <sheetViews>
    <sheetView workbookViewId="0">
      <selection activeCell="A16" sqref="A16"/>
    </sheetView>
  </sheetViews>
  <sheetFormatPr defaultRowHeight="14.4" x14ac:dyDescent="0.3"/>
  <sheetData>
    <row r="1" spans="1:1" x14ac:dyDescent="0.3">
      <c r="A1" t="s">
        <v>306</v>
      </c>
    </row>
    <row r="3" spans="1:1" x14ac:dyDescent="0.3">
      <c r="A3" t="s">
        <v>308</v>
      </c>
    </row>
    <row r="4" spans="1:1" x14ac:dyDescent="0.3">
      <c r="A4" t="s">
        <v>311</v>
      </c>
    </row>
    <row r="5" spans="1:1" x14ac:dyDescent="0.3">
      <c r="A5" t="s">
        <v>307</v>
      </c>
    </row>
    <row r="6" spans="1:1" x14ac:dyDescent="0.3">
      <c r="A6" s="9" t="s">
        <v>310</v>
      </c>
    </row>
    <row r="7" spans="1:1" x14ac:dyDescent="0.3">
      <c r="A7" t="s">
        <v>309</v>
      </c>
    </row>
    <row r="8" spans="1:1" x14ac:dyDescent="0.3">
      <c r="A8" s="9" t="s">
        <v>310</v>
      </c>
    </row>
    <row r="9" spans="1:1" x14ac:dyDescent="0.3">
      <c r="A9" t="s">
        <v>312</v>
      </c>
    </row>
    <row r="10" spans="1:1" x14ac:dyDescent="0.3">
      <c r="A10" t="s">
        <v>313</v>
      </c>
    </row>
    <row r="11" spans="1:1" x14ac:dyDescent="0.3">
      <c r="A11" t="s">
        <v>314</v>
      </c>
    </row>
    <row r="12" spans="1:1" x14ac:dyDescent="0.3">
      <c r="A12" t="s">
        <v>315</v>
      </c>
    </row>
    <row r="13" spans="1:1" x14ac:dyDescent="0.3">
      <c r="A13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zoomScale="90" zoomScaleNormal="90" workbookViewId="0">
      <pane xSplit="1" topLeftCell="AY1" activePane="topRight" state="frozen"/>
      <selection pane="topRight" activeCell="BC14" sqref="BC14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217</v>
      </c>
      <c r="C1" s="10" t="s">
        <v>12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 t="s">
        <v>13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 t="s">
        <v>14</v>
      </c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 t="s">
        <v>15</v>
      </c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 t="s">
        <v>16</v>
      </c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 t="s">
        <v>226</v>
      </c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 t="s">
        <v>227</v>
      </c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</row>
    <row r="2" spans="1:149" x14ac:dyDescent="0.3">
      <c r="B2" s="6" t="s">
        <v>228</v>
      </c>
      <c r="C2" s="11" t="s">
        <v>36</v>
      </c>
      <c r="D2" s="11"/>
      <c r="E2" s="11"/>
      <c r="F2" s="11"/>
      <c r="G2" s="11"/>
      <c r="H2" s="11"/>
      <c r="I2" s="11"/>
      <c r="J2" s="11" t="s">
        <v>37</v>
      </c>
      <c r="K2" s="11"/>
      <c r="L2" s="11"/>
      <c r="M2" s="11"/>
      <c r="N2" s="11"/>
      <c r="O2" s="11"/>
      <c r="P2" s="11"/>
      <c r="Q2" s="11" t="s">
        <v>38</v>
      </c>
      <c r="R2" s="11"/>
      <c r="S2" s="11"/>
      <c r="T2" s="11"/>
      <c r="U2" s="11"/>
      <c r="V2" s="4"/>
      <c r="W2" s="4"/>
      <c r="X2" s="11" t="s">
        <v>36</v>
      </c>
      <c r="Y2" s="11"/>
      <c r="Z2" s="11"/>
      <c r="AA2" s="11"/>
      <c r="AB2" s="11"/>
      <c r="AC2" s="11"/>
      <c r="AD2" s="11"/>
      <c r="AE2" s="11" t="s">
        <v>37</v>
      </c>
      <c r="AF2" s="11"/>
      <c r="AG2" s="11"/>
      <c r="AH2" s="11"/>
      <c r="AI2" s="11"/>
      <c r="AJ2" s="11"/>
      <c r="AK2" s="11"/>
      <c r="AL2" s="11" t="s">
        <v>38</v>
      </c>
      <c r="AM2" s="11"/>
      <c r="AN2" s="11"/>
      <c r="AO2" s="11"/>
      <c r="AP2" s="11"/>
      <c r="AQ2" s="4"/>
      <c r="AR2" s="4"/>
      <c r="AS2" s="11" t="s">
        <v>36</v>
      </c>
      <c r="AT2" s="11"/>
      <c r="AU2" s="11"/>
      <c r="AV2" s="11"/>
      <c r="AW2" s="11"/>
      <c r="AX2" s="11"/>
      <c r="AY2" s="11"/>
      <c r="AZ2" s="11" t="s">
        <v>37</v>
      </c>
      <c r="BA2" s="11"/>
      <c r="BB2" s="11"/>
      <c r="BC2" s="11"/>
      <c r="BD2" s="11"/>
      <c r="BE2" s="11"/>
      <c r="BF2" s="11"/>
      <c r="BG2" s="11" t="s">
        <v>38</v>
      </c>
      <c r="BH2" s="11"/>
      <c r="BI2" s="11"/>
      <c r="BJ2" s="11"/>
      <c r="BK2" s="11"/>
      <c r="BL2" s="4"/>
      <c r="BM2" s="4"/>
      <c r="BN2" s="11" t="s">
        <v>36</v>
      </c>
      <c r="BO2" s="11"/>
      <c r="BP2" s="11"/>
      <c r="BQ2" s="11"/>
      <c r="BR2" s="11"/>
      <c r="BS2" s="11"/>
      <c r="BT2" s="11"/>
      <c r="BU2" s="11" t="s">
        <v>37</v>
      </c>
      <c r="BV2" s="11"/>
      <c r="BW2" s="11"/>
      <c r="BX2" s="11"/>
      <c r="BY2" s="11"/>
      <c r="BZ2" s="11"/>
      <c r="CA2" s="11"/>
      <c r="CB2" s="11" t="s">
        <v>38</v>
      </c>
      <c r="CC2" s="11"/>
      <c r="CD2" s="11"/>
      <c r="CE2" s="11"/>
      <c r="CF2" s="11"/>
      <c r="CG2" s="4"/>
      <c r="CH2" s="4"/>
      <c r="CI2" s="11" t="s">
        <v>36</v>
      </c>
      <c r="CJ2" s="11"/>
      <c r="CK2" s="11"/>
      <c r="CL2" s="11"/>
      <c r="CM2" s="11"/>
      <c r="CN2" s="11"/>
      <c r="CO2" s="11"/>
      <c r="CP2" s="11" t="s">
        <v>37</v>
      </c>
      <c r="CQ2" s="11"/>
      <c r="CR2" s="11"/>
      <c r="CS2" s="11"/>
      <c r="CT2" s="11"/>
      <c r="CU2" s="11"/>
      <c r="CV2" s="11"/>
      <c r="CW2" s="11" t="s">
        <v>38</v>
      </c>
      <c r="CX2" s="11"/>
      <c r="CY2" s="11"/>
      <c r="CZ2" s="11"/>
      <c r="DA2" s="11"/>
      <c r="DB2" s="4"/>
      <c r="DC2" s="4"/>
      <c r="DD2" s="11" t="s">
        <v>36</v>
      </c>
      <c r="DE2" s="11"/>
      <c r="DF2" s="11"/>
      <c r="DG2" s="11"/>
      <c r="DH2" s="11"/>
      <c r="DI2" s="11"/>
      <c r="DJ2" s="11"/>
      <c r="DK2" s="11" t="s">
        <v>37</v>
      </c>
      <c r="DL2" s="11"/>
      <c r="DM2" s="11"/>
      <c r="DN2" s="11"/>
      <c r="DO2" s="11"/>
      <c r="DP2" s="11"/>
      <c r="DQ2" s="11"/>
      <c r="DR2" s="11" t="s">
        <v>38</v>
      </c>
      <c r="DS2" s="11"/>
      <c r="DT2" s="11"/>
      <c r="DU2" s="11"/>
      <c r="DV2" s="11"/>
      <c r="DW2" s="4"/>
      <c r="DX2" s="4"/>
      <c r="DY2" s="11" t="s">
        <v>36</v>
      </c>
      <c r="DZ2" s="11"/>
      <c r="EA2" s="11"/>
      <c r="EB2" s="11"/>
      <c r="EC2" s="11"/>
      <c r="ED2" s="11"/>
      <c r="EE2" s="11"/>
      <c r="EF2" s="11" t="s">
        <v>37</v>
      </c>
      <c r="EG2" s="11"/>
      <c r="EH2" s="11"/>
      <c r="EI2" s="11"/>
      <c r="EJ2" s="11"/>
      <c r="EK2" s="11"/>
      <c r="EL2" s="11"/>
      <c r="EM2" s="11" t="s">
        <v>38</v>
      </c>
      <c r="EN2" s="11"/>
      <c r="EO2" s="11"/>
      <c r="EP2" s="11"/>
      <c r="EQ2" s="11"/>
      <c r="ER2" s="4"/>
      <c r="ES2" s="4"/>
    </row>
    <row r="3" spans="1:149" x14ac:dyDescent="0.3">
      <c r="A3" s="3" t="s">
        <v>26</v>
      </c>
      <c r="B3" s="2" t="s">
        <v>27</v>
      </c>
      <c r="C3" s="2" t="s">
        <v>219</v>
      </c>
      <c r="D3" s="2" t="s">
        <v>218</v>
      </c>
      <c r="E3" s="2" t="s">
        <v>39</v>
      </c>
      <c r="F3" s="2" t="s">
        <v>40</v>
      </c>
      <c r="G3" s="2" t="s">
        <v>220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221</v>
      </c>
      <c r="M3" s="2" t="s">
        <v>222</v>
      </c>
      <c r="N3" s="2" t="s">
        <v>223</v>
      </c>
      <c r="O3" s="2" t="s">
        <v>45</v>
      </c>
      <c r="P3" s="2" t="s">
        <v>46</v>
      </c>
      <c r="Q3" s="2" t="s">
        <v>225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224</v>
      </c>
      <c r="W3" s="2" t="s">
        <v>35</v>
      </c>
      <c r="X3" s="2" t="s">
        <v>219</v>
      </c>
      <c r="Y3" s="2" t="s">
        <v>218</v>
      </c>
      <c r="Z3" s="2" t="s">
        <v>39</v>
      </c>
      <c r="AA3" s="2" t="s">
        <v>40</v>
      </c>
      <c r="AB3" s="2" t="s">
        <v>220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221</v>
      </c>
      <c r="AH3" s="2" t="s">
        <v>222</v>
      </c>
      <c r="AI3" s="2" t="s">
        <v>223</v>
      </c>
      <c r="AJ3" s="2" t="s">
        <v>45</v>
      </c>
      <c r="AK3" s="2" t="s">
        <v>46</v>
      </c>
      <c r="AL3" s="2" t="s">
        <v>225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224</v>
      </c>
      <c r="AR3" s="2" t="s">
        <v>35</v>
      </c>
      <c r="AS3" s="2" t="s">
        <v>219</v>
      </c>
      <c r="AT3" s="2" t="s">
        <v>218</v>
      </c>
      <c r="AU3" s="2" t="s">
        <v>39</v>
      </c>
      <c r="AV3" s="2" t="s">
        <v>40</v>
      </c>
      <c r="AW3" s="2" t="s">
        <v>220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221</v>
      </c>
      <c r="BC3" s="2" t="s">
        <v>222</v>
      </c>
      <c r="BD3" s="2" t="s">
        <v>223</v>
      </c>
      <c r="BE3" s="2" t="s">
        <v>45</v>
      </c>
      <c r="BF3" s="2" t="s">
        <v>46</v>
      </c>
      <c r="BG3" s="2" t="s">
        <v>225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224</v>
      </c>
      <c r="BM3" s="2" t="s">
        <v>35</v>
      </c>
      <c r="BN3" s="2" t="s">
        <v>219</v>
      </c>
      <c r="BO3" s="2" t="s">
        <v>218</v>
      </c>
      <c r="BP3" s="2" t="s">
        <v>39</v>
      </c>
      <c r="BQ3" s="2" t="s">
        <v>40</v>
      </c>
      <c r="BR3" s="2" t="s">
        <v>220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221</v>
      </c>
      <c r="BX3" s="2" t="s">
        <v>222</v>
      </c>
      <c r="BY3" s="2" t="s">
        <v>223</v>
      </c>
      <c r="BZ3" s="2" t="s">
        <v>45</v>
      </c>
      <c r="CA3" s="2" t="s">
        <v>46</v>
      </c>
      <c r="CB3" s="2" t="s">
        <v>225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224</v>
      </c>
      <c r="CH3" s="2" t="s">
        <v>35</v>
      </c>
      <c r="CI3" s="2" t="s">
        <v>219</v>
      </c>
      <c r="CJ3" s="2" t="s">
        <v>218</v>
      </c>
      <c r="CK3" s="2" t="s">
        <v>39</v>
      </c>
      <c r="CL3" s="2" t="s">
        <v>40</v>
      </c>
      <c r="CM3" s="2" t="s">
        <v>220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221</v>
      </c>
      <c r="CS3" s="2" t="s">
        <v>222</v>
      </c>
      <c r="CT3" s="2" t="s">
        <v>223</v>
      </c>
      <c r="CU3" s="2" t="s">
        <v>45</v>
      </c>
      <c r="CV3" s="2" t="s">
        <v>46</v>
      </c>
      <c r="CW3" s="2" t="s">
        <v>225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224</v>
      </c>
      <c r="DC3" s="2" t="s">
        <v>35</v>
      </c>
      <c r="DD3" s="2" t="s">
        <v>219</v>
      </c>
      <c r="DE3" s="2" t="s">
        <v>218</v>
      </c>
      <c r="DF3" s="2" t="s">
        <v>39</v>
      </c>
      <c r="DG3" s="2" t="s">
        <v>40</v>
      </c>
      <c r="DH3" s="2" t="s">
        <v>220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221</v>
      </c>
      <c r="DN3" s="2" t="s">
        <v>222</v>
      </c>
      <c r="DO3" s="2" t="s">
        <v>223</v>
      </c>
      <c r="DP3" s="2" t="s">
        <v>45</v>
      </c>
      <c r="DQ3" s="2" t="s">
        <v>46</v>
      </c>
      <c r="DR3" s="2" t="s">
        <v>225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224</v>
      </c>
      <c r="DX3" s="2" t="s">
        <v>35</v>
      </c>
      <c r="DY3" s="2" t="s">
        <v>219</v>
      </c>
      <c r="DZ3" s="2" t="s">
        <v>218</v>
      </c>
      <c r="EA3" s="2" t="s">
        <v>39</v>
      </c>
      <c r="EB3" s="2" t="s">
        <v>40</v>
      </c>
      <c r="EC3" s="2" t="s">
        <v>220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221</v>
      </c>
      <c r="EI3" s="2" t="s">
        <v>222</v>
      </c>
      <c r="EJ3" s="2" t="s">
        <v>223</v>
      </c>
      <c r="EK3" s="2" t="s">
        <v>45</v>
      </c>
      <c r="EL3" s="2" t="s">
        <v>46</v>
      </c>
      <c r="EM3" s="2" t="s">
        <v>225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224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261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3]],Table1[[#This Row],[POM BONUS]])</f>
        <v>80</v>
      </c>
      <c r="X4" s="1">
        <v>31</v>
      </c>
      <c r="Y4" s="1">
        <v>13</v>
      </c>
      <c r="Z4" s="1">
        <v>4</v>
      </c>
      <c r="AA4" s="1">
        <v>2</v>
      </c>
      <c r="AB4" s="1">
        <f>IFERROR(_xlfn.NUMBERVALUE(SUBSTITUTE(Table2[[#This Row],[RUNS SCORED]],"*",""))/Table2[[#This Row],[BALLS FACED]]*100,0)</f>
        <v>238.46153846153845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D4" s="1">
        <f>IF(Table2[[#This Row],[RUNS SCORED]]="", 0, VALUE(SUBSTITUTE(Table2[[#This Row],[RUNS SCORED]],"*","")) + Table2[[#This Row],[BONUS 1]])</f>
        <v>181</v>
      </c>
      <c r="AE4" s="1">
        <v>1</v>
      </c>
      <c r="AF4" s="1">
        <v>0</v>
      </c>
      <c r="AG4" s="1">
        <v>5</v>
      </c>
      <c r="AH4" s="1">
        <v>0</v>
      </c>
      <c r="AI4" s="1">
        <f>IFERROR(Table2[[#This Row],[RUNS GIVEN]]/Table2[[#This Row],[OVERS]],0)</f>
        <v>5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-25</v>
      </c>
      <c r="AL4" s="1">
        <v>1</v>
      </c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4" s="1">
        <f>IF(AND(Table2[[#This Row],[CATCHES TAKEN]]="",Table2[[#This Row],[RUNOUTS]]="",Table2[[#This Row],[STUMPINGS]]=""), 0, Table2[[#This Row],[BONUS 3]])</f>
        <v>25</v>
      </c>
      <c r="AQ4" s="1"/>
      <c r="AR4" s="1">
        <f>SUM(Table2[[#This Row],[SUB TOTAL 1]],Table2[[#This Row],[SUB TOTAL 2]],Table2[[#This Row],[SUB TOTAL 3]],Table2[[#This Row],[POM BONUS]])</f>
        <v>181</v>
      </c>
      <c r="AS4" s="1"/>
      <c r="AT4" s="1"/>
      <c r="AU4" s="1"/>
      <c r="AV4" s="1"/>
      <c r="AW4" s="1">
        <f>IFERROR(_xlfn.NUMBERVALUE(SUBSTITUTE(Table3[[#This Row],[RUNS SCORED]],"*",""))/Table3[[#This Row],[BALLS FACED]]*100,0)</f>
        <v>0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4" s="1">
        <f>IF(Table3[[#This Row],[RUNS SCORED]]="", 0, VALUE(SUBSTITUTE(Table3[[#This Row],[RUNS SCORED]],"*","")) + Table3[[#This Row],[BONUS 1]])</f>
        <v>0</v>
      </c>
      <c r="AZ4" s="1"/>
      <c r="BA4" s="1"/>
      <c r="BB4" s="1"/>
      <c r="BC4" s="1"/>
      <c r="BD4" s="1">
        <f>IFERROR(Table3[[#This Row],[RUNS GIVEN]]/Table3[[#This Row],[OVERS]],0)</f>
        <v>0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0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3]],Table3[[#This Row],[POM BONUS]])</f>
        <v>0</v>
      </c>
      <c r="BN4" s="1"/>
      <c r="BO4" s="1"/>
      <c r="BP4" s="1"/>
      <c r="BQ4" s="1"/>
      <c r="BR4" s="1">
        <f>IFERROR(_xlfn.NUMBERVALUE(SUBSTITUTE(Table4[[#This Row],[RUNS SCORED]],"*",""))/Table4[[#This Row],[BALLS FACED]]*100,0)</f>
        <v>0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4" s="1">
        <f>IF(Table4[[#This Row],[RUNS SCORED]]="", 0, VALUE(SUBSTITUTE(Table4[[#This Row],[RUNS SCORED]],"*","")) + Table4[[#This Row],[BONUS 1]])</f>
        <v>0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/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4" s="1">
        <f>IF(AND(Table4[[#This Row],[CATCHES TAKEN]]="",Table4[[#This Row],[RUNOUTS]]="",Table4[[#This Row],[STUMPINGS]]=""), 0, Table4[[#This Row],[BONUS 3]])</f>
        <v>0</v>
      </c>
      <c r="CG4" s="1"/>
      <c r="CH4" s="1">
        <f>SUM(Table4[[#This Row],[SUB TOTAL 1]],Table4[[#This Row],[SUB TOTAL 2]],Table4[[#This Row],[SUB TOTAL 3]],Table4[[#This Row],[POM BONUS]])</f>
        <v>0</v>
      </c>
      <c r="CI4" s="1"/>
      <c r="CJ4" s="1"/>
      <c r="CK4" s="1"/>
      <c r="CL4" s="1"/>
      <c r="CM4" s="1">
        <f>IFERROR(_xlfn.NUMBERVALUE(SUBSTITUTE(Table5[[#This Row],[RUNS SCORED]],"*",""))/Table5[[#This Row],[BALLS FACED]]*100,0)</f>
        <v>0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4" s="1">
        <f>IF(Table5[[#This Row],[RUNS SCORED]]="", 0, VALUE(SUBSTITUTE(Table5[[#This Row],[RUNS SCORED]],"*","")) + Table5[[#This Row],[BONUS 1]])</f>
        <v>0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/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4" s="1">
        <f>IF(AND(Table5[[#This Row],[CATCHES TAKEN]]="",Table5[[#This Row],[RUNOUTS]]="",Table5[[#This Row],[STUMPINGS]]=""), 0, Table5[[#This Row],[BONUS 3]])</f>
        <v>0</v>
      </c>
      <c r="DB4" s="1"/>
      <c r="DC4" s="1">
        <f>SUM(Table5[[#This Row],[SUB TOTAL 1]],Table5[[#This Row],[SUB TOTAL 2]],Table5[[#This Row],[SUB TOTAL 3]],Table5[[#This Row],[POM BONUS]])</f>
        <v>0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3]],Table6[[#This Row],[POM BONUS]])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3]],Table7[[#This Row],[POM BONUS]])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-23</v>
      </c>
      <c r="C5" s="1" t="s">
        <v>296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3]],Table1[[#This Row],[POM BONUS]])</f>
        <v>10</v>
      </c>
      <c r="X5" s="1">
        <v>2</v>
      </c>
      <c r="Y5" s="1">
        <v>5</v>
      </c>
      <c r="Z5" s="1">
        <v>0</v>
      </c>
      <c r="AA5" s="1">
        <v>0</v>
      </c>
      <c r="AB5" s="1">
        <f>IFERROR(_xlfn.NUMBERVALUE(SUBSTITUTE(Table2[[#This Row],[RUNS SCORED]],"*",""))/Table2[[#This Row],[BALLS FACED]]*100,0)</f>
        <v>40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5" s="1">
        <f>IF(Table2[[#This Row],[RUNS SCORED]]="", 0, VALUE(SUBSTITUTE(Table2[[#This Row],[RUNS SCORED]],"*","")) + Table2[[#This Row],[BONUS 1]])</f>
        <v>-8</v>
      </c>
      <c r="AE5" s="1">
        <v>3</v>
      </c>
      <c r="AF5" s="1">
        <v>0</v>
      </c>
      <c r="AG5" s="1">
        <v>22</v>
      </c>
      <c r="AH5" s="1">
        <v>0</v>
      </c>
      <c r="AI5" s="1">
        <f>IFERROR(Table2[[#This Row],[RUNS GIVEN]]/Table2[[#This Row],[OVERS]],0)</f>
        <v>7.333333333333333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-25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3]],Table2[[#This Row],[POM BONUS]])</f>
        <v>-33</v>
      </c>
      <c r="AS5" s="1"/>
      <c r="AT5" s="1"/>
      <c r="AU5" s="1"/>
      <c r="AV5" s="1"/>
      <c r="AW5" s="1">
        <f>IFERROR(_xlfn.NUMBERVALUE(SUBSTITUTE(Table3[[#This Row],[RUNS SCORED]],"*",""))/Table3[[#This Row],[BALLS FACED]]*100,0)</f>
        <v>0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0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3]],Table3[[#This Row],[POM BONUS]])</f>
        <v>0</v>
      </c>
      <c r="BN5" s="1"/>
      <c r="BO5" s="1"/>
      <c r="BP5" s="1"/>
      <c r="BQ5" s="1"/>
      <c r="BR5" s="1">
        <f>IFERROR(_xlfn.NUMBERVALUE(SUBSTITUTE(Table4[[#This Row],[RUNS SCORED]],"*",""))/Table4[[#This Row],[BALLS FACED]]*100,0)</f>
        <v>0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0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3]],Table4[[#This Row],[POM BONUS]])</f>
        <v>0</v>
      </c>
      <c r="CI5" s="1"/>
      <c r="CJ5" s="1"/>
      <c r="CK5" s="1"/>
      <c r="CL5" s="1"/>
      <c r="CM5" s="1">
        <f>IFERROR(_xlfn.NUMBERVALUE(SUBSTITUTE(Table5[[#This Row],[RUNS SCORED]],"*",""))/Table5[[#This Row],[BALLS FACED]]*100,0)</f>
        <v>0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0</v>
      </c>
      <c r="CP5" s="1"/>
      <c r="CQ5" s="1"/>
      <c r="CR5" s="1"/>
      <c r="CS5" s="1"/>
      <c r="CT5" s="1">
        <f>IFERROR(Table5[[#This Row],[RUNS GIVEN]]/Table5[[#This Row],[OVERS]],0)</f>
        <v>0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0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3]],Table5[[#This Row],[POM BONUS]])</f>
        <v>0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3]],Table6[[#This Row],[POM BONUS]])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3]],Table7[[#This Row],[POM BONUS]])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3]],Table1[[#This Row],[POM BONUS]])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3]],Table2[[#This Row],[POM BONUS]])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/>
      <c r="BA6" s="1"/>
      <c r="BB6" s="1"/>
      <c r="BC6" s="1"/>
      <c r="BD6" s="1">
        <f>IFERROR(Table3[[#This Row],[RUNS GIVEN]]/Table3[[#This Row],[OVERS]],0)</f>
        <v>0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6" s="1">
        <f>IF(Table3[[#This Row],[WICKETS TAKEN]]="", 0, IF(Table3[[#This Row],[WICKETS TAKEN]] = 0, -25,
        Table3[[#This Row],[WICKETS TAKEN]] * 50)+Table3[[#This Row],[BONUS 2]])</f>
        <v>0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3]],Table3[[#This Row],[POM BONUS]])</f>
        <v>0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/>
      <c r="BV6" s="1"/>
      <c r="BW6" s="1"/>
      <c r="BX6" s="1"/>
      <c r="BY6" s="1">
        <f>IFERROR(Table4[[#This Row],[RUNS GIVEN]]/Table4[[#This Row],[OVERS]],0)</f>
        <v>0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0</v>
      </c>
      <c r="CB6" s="1"/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6" s="1">
        <f>IF(AND(Table4[[#This Row],[CATCHES TAKEN]]="",Table4[[#This Row],[RUNOUTS]]="",Table4[[#This Row],[STUMPINGS]]=""), 0, Table4[[#This Row],[BONUS 3]])</f>
        <v>0</v>
      </c>
      <c r="CG6" s="1"/>
      <c r="CH6" s="1">
        <f>SUM(Table4[[#This Row],[SUB TOTAL 1]],Table4[[#This Row],[SUB TOTAL 2]],Table4[[#This Row],[SUB TOTAL 3]],Table4[[#This Row],[POM BONUS]])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3]],Table5[[#This Row],[POM BONUS]])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3]],Table6[[#This Row],[POM BONUS]])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3]],Table7[[#This Row],[POM BONUS]])</f>
        <v>0</v>
      </c>
    </row>
    <row r="7" spans="1:149" x14ac:dyDescent="0.3">
      <c r="A7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117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3]],Table1[[#This Row],[POM BONUS]])</f>
        <v>125</v>
      </c>
      <c r="X7" s="1" t="s">
        <v>295</v>
      </c>
      <c r="Y7" s="1">
        <v>3</v>
      </c>
      <c r="Z7" s="1">
        <v>0</v>
      </c>
      <c r="AA7" s="1">
        <v>0</v>
      </c>
      <c r="AB7" s="1">
        <f>IFERROR(_xlfn.NUMBERVALUE(SUBSTITUTE(Table2[[#This Row],[RUNS SCORED]],"*",""))/Table2[[#This Row],[BALLS FACED]]*100,0)</f>
        <v>66.666666666666657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D7" s="1">
        <f>IF(Table2[[#This Row],[RUNS SCORED]]="", 0, VALUE(SUBSTITUTE(Table2[[#This Row],[RUNS SCORED]],"*","")) + Table2[[#This Row],[BONUS 1]])</f>
        <v>17</v>
      </c>
      <c r="AE7" s="1">
        <v>4</v>
      </c>
      <c r="AF7" s="1">
        <v>0</v>
      </c>
      <c r="AG7" s="1">
        <v>37</v>
      </c>
      <c r="AH7" s="1">
        <v>0</v>
      </c>
      <c r="AI7" s="1">
        <f>IFERROR(Table2[[#This Row],[RUNS GIVEN]]/Table2[[#This Row],[OVERS]],0)</f>
        <v>9.25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-25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3]],Table2[[#This Row],[POM BONUS]])</f>
        <v>-8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/>
      <c r="BA7" s="1"/>
      <c r="BB7" s="1"/>
      <c r="BC7" s="1"/>
      <c r="BD7" s="1">
        <f>IFERROR(Table3[[#This Row],[RUNS GIVEN]]/Table3[[#This Row],[OVERS]],0)</f>
        <v>0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7" s="1">
        <f>IF(Table3[[#This Row],[WICKETS TAKEN]]="", 0, IF(Table3[[#This Row],[WICKETS TAKEN]] = 0, -25,
        Table3[[#This Row],[WICKETS TAKEN]] * 50)+Table3[[#This Row],[BONUS 2]])</f>
        <v>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3]],Table3[[#This Row],[POM BONUS]])</f>
        <v>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3]],Table4[[#This Row],[POM BONUS]])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3]],Table5[[#This Row],[POM BONUS]])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3]],Table6[[#This Row],[POM BONUS]])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3]],Table7[[#This Row],[POM BONUS]])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3]],Table1[[#This Row],[POM BONUS]])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>
        <v>3</v>
      </c>
      <c r="AF8" s="1">
        <v>0</v>
      </c>
      <c r="AG8" s="1">
        <v>34</v>
      </c>
      <c r="AH8" s="1">
        <v>1</v>
      </c>
      <c r="AI8" s="1">
        <f>IFERROR(Table2[[#This Row],[RUNS GIVEN]]/Table2[[#This Row],[OVERS]],0)</f>
        <v>11.333333333333334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8" s="1">
        <f>IF(Table2[[#This Row],[WICKETS TAKEN]]="", 0, IF(Table2[[#This Row],[WICKETS TAKEN]] = 0, -25,
        Table2[[#This Row],[WICKETS TAKEN]] * 50)+Table2[[#This Row],[BONUS 2]])</f>
        <v>25</v>
      </c>
      <c r="AL8" s="1">
        <v>2</v>
      </c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8" s="1">
        <f>IF(AND(Table2[[#This Row],[CATCHES TAKEN]]="",Table2[[#This Row],[RUNOUTS]]="",Table2[[#This Row],[STUMPINGS]]=""), 0, Table2[[#This Row],[BONUS 3]])</f>
        <v>50</v>
      </c>
      <c r="AQ8" s="1"/>
      <c r="AR8" s="1">
        <f>SUM(Table2[[#This Row],[SUB TOTAL 1]],Table2[[#This Row],[SUB TOTAL 2]],Table2[[#This Row],[SUB TOTAL 3]],Table2[[#This Row],[POM BONUS]])</f>
        <v>75</v>
      </c>
      <c r="AS8" s="1"/>
      <c r="AT8" s="1"/>
      <c r="AU8" s="1"/>
      <c r="AV8" s="1"/>
      <c r="AW8" s="1">
        <f>IFERROR(_xlfn.NUMBERVALUE(SUBSTITUTE(Table3[[#This Row],[RUNS SCORED]],"*",""))/Table3[[#This Row],[BALLS FACED]]*100,0)</f>
        <v>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8" s="1">
        <f>IF(Table3[[#This Row],[RUNS SCORED]]="", 0, VALUE(SUBSTITUTE(Table3[[#This Row],[RUNS SCORED]],"*","")) + Table3[[#This Row],[BONUS 1]])</f>
        <v>0</v>
      </c>
      <c r="AZ8" s="1"/>
      <c r="BA8" s="1"/>
      <c r="BB8" s="1"/>
      <c r="BC8" s="1"/>
      <c r="BD8" s="1">
        <f>IFERROR(Table3[[#This Row],[RUNS GIVEN]]/Table3[[#This Row],[OVERS]],0)</f>
        <v>0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0</v>
      </c>
      <c r="BG8" s="1"/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8" s="1">
        <f>IF(AND(Table3[[#This Row],[CATCHES TAKEN]]="",Table3[[#This Row],[RUNOUTS]]="",Table3[[#This Row],[STUMPINGS]]=""), 0, Table3[[#This Row],[BONUS 3]])</f>
        <v>0</v>
      </c>
      <c r="BL8" s="1"/>
      <c r="BM8" s="1">
        <f>SUM(Table3[[#This Row],[SUB TOTAL 1]],Table3[[#This Row],[SUB TOTAL 2]],Table3[[#This Row],[SUB TOTAL 3]],Table3[[#This Row],[POM BONUS]])</f>
        <v>0</v>
      </c>
      <c r="BN8" s="1"/>
      <c r="BO8" s="1"/>
      <c r="BP8" s="1"/>
      <c r="BQ8" s="1"/>
      <c r="BR8" s="1">
        <f>IFERROR(_xlfn.NUMBERVALUE(SUBSTITUTE(Table4[[#This Row],[RUNS SCORED]],"*",""))/Table4[[#This Row],[BALLS FACED]]*100,0)</f>
        <v>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8" s="1">
        <f>IF(Table4[[#This Row],[RUNS SCORED]]="", 0, VALUE(SUBSTITUTE(Table4[[#This Row],[RUNS SCORED]],"*","")) + Table4[[#This Row],[BONUS 1]])</f>
        <v>0</v>
      </c>
      <c r="BU8" s="1"/>
      <c r="BV8" s="1"/>
      <c r="BW8" s="1"/>
      <c r="BX8" s="1"/>
      <c r="BY8" s="1">
        <f>IFERROR(Table4[[#This Row],[RUNS GIVEN]]/Table4[[#This Row],[OVERS]],0)</f>
        <v>0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3]],Table4[[#This Row],[POM BONUS]])</f>
        <v>0</v>
      </c>
      <c r="CI8" s="1"/>
      <c r="CJ8" s="1"/>
      <c r="CK8" s="1"/>
      <c r="CL8" s="1"/>
      <c r="CM8" s="1">
        <f>IFERROR(_xlfn.NUMBERVALUE(SUBSTITUTE(Table5[[#This Row],[RUNS SCORED]],"*",""))/Table5[[#This Row],[BALLS FACED]]*100,0)</f>
        <v>0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8" s="1">
        <f>IF(Table5[[#This Row],[RUNS SCORED]]="", 0, VALUE(SUBSTITUTE(Table5[[#This Row],[RUNS SCORED]],"*","")) + Table5[[#This Row],[BONUS 1]])</f>
        <v>0</v>
      </c>
      <c r="CP8" s="1"/>
      <c r="CQ8" s="1"/>
      <c r="CR8" s="1"/>
      <c r="CS8" s="1"/>
      <c r="CT8" s="1">
        <f>IFERROR(Table5[[#This Row],[RUNS GIVEN]]/Table5[[#This Row],[OVERS]],0)</f>
        <v>0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0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3]],Table5[[#This Row],[POM BONUS]])</f>
        <v>0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3]],Table6[[#This Row],[POM BONUS]])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3]],Table7[[#This Row],[POM BONUS]])</f>
        <v>0</v>
      </c>
    </row>
    <row r="9" spans="1:149" x14ac:dyDescent="0.3">
      <c r="A9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11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3]],Table1[[#This Row],[POM BONUS]])</f>
        <v>-9</v>
      </c>
      <c r="X9" s="1">
        <v>5</v>
      </c>
      <c r="Y9" s="1">
        <v>12</v>
      </c>
      <c r="Z9" s="1">
        <v>1</v>
      </c>
      <c r="AA9" s="1">
        <v>0</v>
      </c>
      <c r="AB9" s="1">
        <f>IFERROR(_xlfn.NUMBERVALUE(SUBSTITUTE(Table2[[#This Row],[RUNS SCORED]],"*",""))/Table2[[#This Row],[BALLS FACED]]*100,0)</f>
        <v>41.666666666666671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9" s="1">
        <f>IF(Table2[[#This Row],[RUNS SCORED]]="", 0, VALUE(SUBSTITUTE(Table2[[#This Row],[RUNS SCORED]],"*","")) + Table2[[#This Row],[BONUS 1]])</f>
        <v>-5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>
        <v>1</v>
      </c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9" s="1">
        <f>IF(AND(Table2[[#This Row],[CATCHES TAKEN]]="",Table2[[#This Row],[RUNOUTS]]="",Table2[[#This Row],[STUMPINGS]]=""), 0, Table2[[#This Row],[BONUS 3]])</f>
        <v>25</v>
      </c>
      <c r="AQ9" s="1"/>
      <c r="AR9" s="1">
        <f>SUM(Table2[[#This Row],[SUB TOTAL 1]],Table2[[#This Row],[SUB TOTAL 2]],Table2[[#This Row],[SUB TOTAL 3]],Table2[[#This Row],[POM BONUS]])</f>
        <v>20</v>
      </c>
      <c r="AS9" s="1"/>
      <c r="AT9" s="1"/>
      <c r="AU9" s="1"/>
      <c r="AV9" s="1"/>
      <c r="AW9" s="1">
        <f>IFERROR(_xlfn.NUMBERVALUE(SUBSTITUTE(Table3[[#This Row],[RUNS SCORED]],"*",""))/Table3[[#This Row],[BALLS FACED]]*100,0)</f>
        <v>0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0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/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9" s="1">
        <f>IF(AND(Table3[[#This Row],[CATCHES TAKEN]]="",Table3[[#This Row],[RUNOUTS]]="",Table3[[#This Row],[STUMPINGS]]=""), 0, Table3[[#This Row],[BONUS 3]])</f>
        <v>0</v>
      </c>
      <c r="BL9" s="1"/>
      <c r="BM9" s="1">
        <f>SUM(Table3[[#This Row],[SUB TOTAL 1]],Table3[[#This Row],[SUB TOTAL 2]],Table3[[#This Row],[SUB TOTAL 3]],Table3[[#This Row],[POM BONUS]])</f>
        <v>0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3]],Table4[[#This Row],[POM BONUS]])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3]],Table5[[#This Row],[POM BONUS]])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3]],Table6[[#This Row],[POM BONUS]])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3]],Table7[[#This Row],[POM BONUS]])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175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3]],Table1[[#This Row],[POM BONUS]])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>
        <v>4</v>
      </c>
      <c r="AF10" s="1">
        <v>0</v>
      </c>
      <c r="AG10" s="1">
        <v>28</v>
      </c>
      <c r="AH10" s="1">
        <v>2</v>
      </c>
      <c r="AI10" s="1">
        <f>IFERROR(Table2[[#This Row],[RUNS GIVEN]]/Table2[[#This Row],[OVERS]],0)</f>
        <v>7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100</v>
      </c>
      <c r="AL10" s="1">
        <v>1</v>
      </c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0" s="1">
        <f>IF(AND(Table2[[#This Row],[CATCHES TAKEN]]="",Table2[[#This Row],[RUNOUTS]]="",Table2[[#This Row],[STUMPINGS]]=""), 0, Table2[[#This Row],[BONUS 3]])</f>
        <v>25</v>
      </c>
      <c r="AQ10" s="1"/>
      <c r="AR10" s="1">
        <f>SUM(Table2[[#This Row],[SUB TOTAL 1]],Table2[[#This Row],[SUB TOTAL 2]],Table2[[#This Row],[SUB TOTAL 3]],Table2[[#This Row],[POM BONUS]])</f>
        <v>125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3]],Table3[[#This Row],[POM BONUS]])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/>
      <c r="BV10" s="1"/>
      <c r="BW10" s="1"/>
      <c r="BX10" s="1"/>
      <c r="BY10" s="1">
        <f>IFERROR(Table4[[#This Row],[RUNS GIVEN]]/Table4[[#This Row],[OVERS]],0)</f>
        <v>0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0" s="1">
        <f>IF(Table4[[#This Row],[WICKETS TAKEN]]="", 0, IF(Table4[[#This Row],[WICKETS TAKEN]] = 0, -25,
        Table4[[#This Row],[WICKETS TAKEN]] * 50)+Table4[[#This Row],[BONUS 2]])</f>
        <v>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3]],Table4[[#This Row],[POM BONUS]])</f>
        <v>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/>
      <c r="CQ10" s="1"/>
      <c r="CR10" s="1"/>
      <c r="CS10" s="1"/>
      <c r="CT10" s="1">
        <f>IFERROR(Table5[[#This Row],[RUNS GIVEN]]/Table5[[#This Row],[OVERS]],0)</f>
        <v>0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0" s="1">
        <f>IF(Table5[[#This Row],[WICKETS TAKEN]]="", 0, IF(Table5[[#This Row],[WICKETS TAKEN]] = 0, -25,
        Table5[[#This Row],[WICKETS TAKEN]] * 50)+Table5[[#This Row],[BONUS 2]])</f>
        <v>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3]],Table5[[#This Row],[POM BONUS]])</f>
        <v>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3]],Table6[[#This Row],[POM BONUS]])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3]],Table7[[#This Row],[POM BONUS]])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20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3]],Table1[[#This Row],[POM BONUS]])</f>
        <v>0</v>
      </c>
      <c r="X11" s="1">
        <v>5</v>
      </c>
      <c r="Y11" s="1">
        <v>5</v>
      </c>
      <c r="Z11" s="1">
        <v>0</v>
      </c>
      <c r="AA11" s="1">
        <v>0</v>
      </c>
      <c r="AB11" s="1">
        <f>IFERROR(_xlfn.NUMBERVALUE(SUBSTITUTE(Table2[[#This Row],[RUNS SCORED]],"*",""))/Table2[[#This Row],[BALLS FACED]]*100,0)</f>
        <v>100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1" s="1">
        <f>IF(Table2[[#This Row],[RUNS SCORED]]="", 0, VALUE(SUBSTITUTE(Table2[[#This Row],[RUNS SCORED]],"*","")) + Table2[[#This Row],[BONUS 1]])</f>
        <v>-5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>
        <v>1</v>
      </c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1" s="1">
        <f>IF(AND(Table2[[#This Row],[CATCHES TAKEN]]="",Table2[[#This Row],[RUNOUTS]]="",Table2[[#This Row],[STUMPINGS]]=""), 0, Table2[[#This Row],[BONUS 3]])</f>
        <v>25</v>
      </c>
      <c r="AQ11" s="1"/>
      <c r="AR11" s="1">
        <f>SUM(Table2[[#This Row],[SUB TOTAL 1]],Table2[[#This Row],[SUB TOTAL 2]],Table2[[#This Row],[SUB TOTAL 3]],Table2[[#This Row],[POM BONUS]])</f>
        <v>20</v>
      </c>
      <c r="AS11" s="1"/>
      <c r="AT11" s="1"/>
      <c r="AU11" s="1"/>
      <c r="AV11" s="1"/>
      <c r="AW11" s="1">
        <f>IFERROR(_xlfn.NUMBERVALUE(SUBSTITUTE(Table3[[#This Row],[RUNS SCORED]],"*",""))/Table3[[#This Row],[BALLS FACED]]*100,0)</f>
        <v>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1" s="1">
        <f>IF(Table3[[#This Row],[RUNS SCORED]]="", 0, VALUE(SUBSTITUTE(Table3[[#This Row],[RUNS SCORED]],"*","")) + Table3[[#This Row],[BONUS 1]])</f>
        <v>0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3]],Table3[[#This Row],[POM BONUS]])</f>
        <v>0</v>
      </c>
      <c r="BN11" s="1"/>
      <c r="BO11" s="1"/>
      <c r="BP11" s="1"/>
      <c r="BQ11" s="1"/>
      <c r="BR11" s="1">
        <f>IFERROR(_xlfn.NUMBERVALUE(SUBSTITUTE(Table4[[#This Row],[RUNS SCORED]],"*",""))/Table4[[#This Row],[BALLS FACED]]*100,0)</f>
        <v>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1" s="1">
        <f>IF(Table4[[#This Row],[RUNS SCORED]]="", 0, VALUE(SUBSTITUTE(Table4[[#This Row],[RUNS SCORED]],"*","")) + Table4[[#This Row],[BONUS 1]])</f>
        <v>0</v>
      </c>
      <c r="BU11" s="1"/>
      <c r="BV11" s="1"/>
      <c r="BW11" s="1"/>
      <c r="BX11" s="1"/>
      <c r="BY11" s="1">
        <f>IFERROR(Table4[[#This Row],[RUNS GIVEN]]/Table4[[#This Row],[OVERS]],0)</f>
        <v>0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0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3]],Table4[[#This Row],[POM BONUS]])</f>
        <v>0</v>
      </c>
      <c r="CI11" s="1"/>
      <c r="CJ11" s="1"/>
      <c r="CK11" s="1"/>
      <c r="CL11" s="1"/>
      <c r="CM11" s="1">
        <f>IFERROR(_xlfn.NUMBERVALUE(SUBSTITUTE(Table5[[#This Row],[RUNS SCORED]],"*",""))/Table5[[#This Row],[BALLS FACED]]*100,0)</f>
        <v>0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1" s="1">
        <f>IF(Table5[[#This Row],[RUNS SCORED]]="", 0, VALUE(SUBSTITUTE(Table5[[#This Row],[RUNS SCORED]],"*","")) + Table5[[#This Row],[BONUS 1]])</f>
        <v>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/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1" s="1">
        <f>IF(AND(Table5[[#This Row],[CATCHES TAKEN]]="",Table5[[#This Row],[RUNOUTS]]="",Table5[[#This Row],[STUMPINGS]]=""), 0, Table5[[#This Row],[BONUS 3]])</f>
        <v>0</v>
      </c>
      <c r="DB11" s="1"/>
      <c r="DC11" s="1">
        <f>SUM(Table5[[#This Row],[SUB TOTAL 1]],Table5[[#This Row],[SUB TOTAL 2]],Table5[[#This Row],[SUB TOTAL 3]],Table5[[#This Row],[POM BONUS]])</f>
        <v>0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3]],Table6[[#This Row],[POM BONUS]])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3]],Table7[[#This Row],[POM BONUS]])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75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3]],Table1[[#This Row],[POM BONUS]])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>
        <v>1</v>
      </c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12" s="1">
        <f>IF(AND(Table2[[#This Row],[CATCHES TAKEN]]="",Table2[[#This Row],[RUNOUTS]]="",Table2[[#This Row],[STUMPINGS]]=""), 0, Table2[[#This Row],[BONUS 3]])</f>
        <v>50</v>
      </c>
      <c r="AQ12" s="1"/>
      <c r="AR12" s="1">
        <f>SUM(Table2[[#This Row],[SUB TOTAL 1]],Table2[[#This Row],[SUB TOTAL 2]],Table2[[#This Row],[SUB TOTAL 3]],Table2[[#This Row],[POM BONUS]])</f>
        <v>50</v>
      </c>
      <c r="AS12" s="1"/>
      <c r="AT12" s="1"/>
      <c r="AU12" s="1"/>
      <c r="AV12" s="1"/>
      <c r="AW12" s="1">
        <f>IFERROR(_xlfn.NUMBERVALUE(SUBSTITUTE(Table3[[#This Row],[RUNS SCORED]],"*",""))/Table3[[#This Row],[BALLS FACED]]*100,0)</f>
        <v>0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0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/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2" s="1">
        <f>IF(AND(Table3[[#This Row],[CATCHES TAKEN]]="",Table3[[#This Row],[RUNOUTS]]="",Table3[[#This Row],[STUMPINGS]]=""), 0, Table3[[#This Row],[BONUS 3]])</f>
        <v>0</v>
      </c>
      <c r="BL12" s="1"/>
      <c r="BM12" s="1">
        <f>SUM(Table3[[#This Row],[SUB TOTAL 1]],Table3[[#This Row],[SUB TOTAL 2]],Table3[[#This Row],[SUB TOTAL 3]],Table3[[#This Row],[POM BONUS]])</f>
        <v>0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3]],Table4[[#This Row],[POM BONUS]])</f>
        <v>0</v>
      </c>
      <c r="CI12" s="1"/>
      <c r="CJ12" s="1"/>
      <c r="CK12" s="1"/>
      <c r="CL12" s="1"/>
      <c r="CM12" s="1">
        <f>IFERROR(_xlfn.NUMBERVALUE(SUBSTITUTE(Table5[[#This Row],[RUNS SCORED]],"*",""))/Table5[[#This Row],[BALLS FACED]]*100,0)</f>
        <v>0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0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/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2" s="1">
        <f>IF(AND(Table5[[#This Row],[CATCHES TAKEN]]="",Table5[[#This Row],[RUNOUTS]]="",Table5[[#This Row],[STUMPINGS]]=""), 0, Table5[[#This Row],[BONUS 3]])</f>
        <v>0</v>
      </c>
      <c r="DB12" s="1"/>
      <c r="DC12" s="1">
        <f>SUM(Table5[[#This Row],[SUB TOTAL 1]],Table5[[#This Row],[SUB TOTAL 2]],Table5[[#This Row],[SUB TOTAL 3]],Table5[[#This Row],[POM BONUS]])</f>
        <v>0</v>
      </c>
      <c r="DD12" s="1"/>
      <c r="DE12" s="1"/>
      <c r="DF12" s="1"/>
      <c r="DG12" s="1"/>
      <c r="DH12" s="1">
        <f>IFERROR(_xlfn.NUMBERVALUE(SUBSTITUTE(Table6[[#This Row],[RUNS SCORED]],"*",""))/Table6[[#This Row],[BALLS FACED]]*100,0)</f>
        <v>0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2" s="1">
        <f>IF(Table6[[#This Row],[RUNS SCORED]]="", 0, VALUE(SUBSTITUTE(Table6[[#This Row],[RUNS SCORED]],"*","")) + Table6[[#This Row],[BONUS 1]])</f>
        <v>0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3]],Table6[[#This Row],[POM BONUS]])</f>
        <v>0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3]],Table7[[#This Row],[POM BONUS]])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19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3]],Table1[[#This Row],[POM BONUS]])</f>
        <v>69</v>
      </c>
      <c r="X13" s="1">
        <v>0</v>
      </c>
      <c r="Y13" s="1">
        <v>1</v>
      </c>
      <c r="Z13" s="1">
        <v>0</v>
      </c>
      <c r="AA13" s="1">
        <v>0</v>
      </c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AD13" s="1">
        <f>IF(Table2[[#This Row],[RUNS SCORED]]="", 0, VALUE(SUBSTITUTE(Table2[[#This Row],[RUNS SCORED]],"*","")) + Table2[[#This Row],[BONUS 1]])</f>
        <v>-25</v>
      </c>
      <c r="AE13" s="1">
        <v>3</v>
      </c>
      <c r="AF13" s="1">
        <v>0</v>
      </c>
      <c r="AG13" s="1">
        <v>27</v>
      </c>
      <c r="AH13" s="1">
        <v>0</v>
      </c>
      <c r="AI13" s="1">
        <f>IFERROR(Table2[[#This Row],[RUNS GIVEN]]/Table2[[#This Row],[OVERS]],0)</f>
        <v>9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-25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3]],Table2[[#This Row],[POM BONUS]])</f>
        <v>-50</v>
      </c>
      <c r="AS13" s="1"/>
      <c r="AT13" s="1"/>
      <c r="AU13" s="1"/>
      <c r="AV13" s="1"/>
      <c r="AW13" s="1">
        <f>IFERROR(_xlfn.NUMBERVALUE(SUBSTITUTE(Table3[[#This Row],[RUNS SCORED]],"*",""))/Table3[[#This Row],[BALLS FACED]]*100,0)</f>
        <v>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3" s="1">
        <f>IF(Table3[[#This Row],[RUNS SCORED]]="", 0, VALUE(SUBSTITUTE(Table3[[#This Row],[RUNS SCORED]],"*","")) + Table3[[#This Row],[BONUS 1]])</f>
        <v>0</v>
      </c>
      <c r="AZ13" s="1"/>
      <c r="BA13" s="1"/>
      <c r="BB13" s="1"/>
      <c r="BC13" s="1"/>
      <c r="BD13" s="1">
        <f>IFERROR(Table3[[#This Row],[RUNS GIVEN]]/Table3[[#This Row],[OVERS]],0)</f>
        <v>0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0</v>
      </c>
      <c r="BG13" s="1"/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3" s="1">
        <f>IF(AND(Table3[[#This Row],[CATCHES TAKEN]]="",Table3[[#This Row],[RUNOUTS]]="",Table3[[#This Row],[STUMPINGS]]=""), 0, Table3[[#This Row],[BONUS 3]])</f>
        <v>0</v>
      </c>
      <c r="BL13" s="1"/>
      <c r="BM13" s="1">
        <f>SUM(Table3[[#This Row],[SUB TOTAL 1]],Table3[[#This Row],[SUB TOTAL 2]],Table3[[#This Row],[SUB TOTAL 3]],Table3[[#This Row],[POM BONUS]])</f>
        <v>0</v>
      </c>
      <c r="BN13" s="1"/>
      <c r="BO13" s="1"/>
      <c r="BP13" s="1"/>
      <c r="BQ13" s="1"/>
      <c r="BR13" s="1">
        <f>IFERROR(_xlfn.NUMBERVALUE(SUBSTITUTE(Table4[[#This Row],[RUNS SCORED]],"*",""))/Table4[[#This Row],[BALLS FACED]]*100,0)</f>
        <v>0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0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3]],Table4[[#This Row],[POM BONUS]])</f>
        <v>0</v>
      </c>
      <c r="CI13" s="1"/>
      <c r="CJ13" s="1"/>
      <c r="CK13" s="1"/>
      <c r="CL13" s="1"/>
      <c r="CM13" s="1">
        <f>IFERROR(_xlfn.NUMBERVALUE(SUBSTITUTE(Table5[[#This Row],[RUNS SCORED]],"*",""))/Table5[[#This Row],[BALLS FACED]]*100,0)</f>
        <v>0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3" s="1">
        <f>IF(Table5[[#This Row],[RUNS SCORED]]="", 0, VALUE(SUBSTITUTE(Table5[[#This Row],[RUNS SCORED]],"*","")) + Table5[[#This Row],[BONUS 1]])</f>
        <v>0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3]],Table5[[#This Row],[POM BONUS]])</f>
        <v>0</v>
      </c>
      <c r="DD13" s="1"/>
      <c r="DE13" s="1"/>
      <c r="DF13" s="1"/>
      <c r="DG13" s="1"/>
      <c r="DH13" s="1">
        <f>IFERROR(_xlfn.NUMBERVALUE(SUBSTITUTE(Table6[[#This Row],[RUNS SCORED]],"*",""))/Table6[[#This Row],[BALLS FACED]]*100,0)</f>
        <v>0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3" s="1">
        <f>IF(Table6[[#This Row],[RUNS SCORED]]="", 0, VALUE(SUBSTITUTE(Table6[[#This Row],[RUNS SCORED]],"*","")) + Table6[[#This Row],[BONUS 1]])</f>
        <v>0</v>
      </c>
      <c r="DK13" s="1"/>
      <c r="DL13" s="1"/>
      <c r="DM13" s="1"/>
      <c r="DN13" s="1"/>
      <c r="DO13" s="1">
        <f>IFERROR(Table6[[#This Row],[RUNS GIVEN]]/Table6[[#This Row],[OVERS]],0)</f>
        <v>0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3" s="1">
        <f>IF(Table6[[#This Row],[WICKETS TAKEN]]="", 0, IF(Table6[[#This Row],[WICKETS TAKEN]] = 0, -25,
        Table6[[#This Row],[WICKETS TAKEN]] * 50)+Table6[[#This Row],[BONUS 2]])</f>
        <v>0</v>
      </c>
      <c r="DR13" s="1"/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3" s="1">
        <f>IF(AND(Table6[[#This Row],[CATCHES TAKEN]]="",Table6[[#This Row],[RUNOUTS]]="",Table6[[#This Row],[STUMPINGS]]=""), 0, Table6[[#This Row],[BONUS 3]])</f>
        <v>0</v>
      </c>
      <c r="DW13" s="1"/>
      <c r="DX13" s="1">
        <f>SUM(Table6[[#This Row],[SUB TOTAL 1]],Table6[[#This Row],[SUB TOTAL 2]],Table6[[#This Row],[SUB TOTAL 3]],Table6[[#This Row],[POM BONUS]])</f>
        <v>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3]],Table7[[#This Row],[POM BONUS]])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300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3]],Table1[[#This Row],[POM BONUS]])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3]],Table2[[#This Row],[POM BONUS]])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>
        <v>4</v>
      </c>
      <c r="BA14" s="1">
        <v>0</v>
      </c>
      <c r="BB14" s="1">
        <v>28</v>
      </c>
      <c r="BC14" s="1">
        <v>3</v>
      </c>
      <c r="BD14" s="1">
        <f>IFERROR(Table3[[#This Row],[RUNS GIVEN]]/Table3[[#This Row],[OVERS]],0)</f>
        <v>7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14" s="1">
        <f>IF(Table3[[#This Row],[WICKETS TAKEN]]="", 0, IF(Table3[[#This Row],[WICKETS TAKEN]] = 0, -25,
        Table3[[#This Row],[WICKETS TAKEN]] * 50)+Table3[[#This Row],[BONUS 2]])</f>
        <v>250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3]],Table3[[#This Row],[POM BONUS]])</f>
        <v>250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/>
      <c r="BV14" s="1"/>
      <c r="BW14" s="1"/>
      <c r="BX14" s="1"/>
      <c r="BY14" s="1">
        <f>IFERROR(Table4[[#This Row],[RUNS GIVEN]]/Table4[[#This Row],[OVERS]],0)</f>
        <v>0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4" s="1">
        <f>IF(Table4[[#This Row],[WICKETS TAKEN]]="", 0, IF(Table4[[#This Row],[WICKETS TAKEN]] = 0, -25,
        Table4[[#This Row],[WICKETS TAKEN]] * 50)+Table4[[#This Row],[BONUS 2]])</f>
        <v>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3]],Table4[[#This Row],[POM BONUS]])</f>
        <v>0</v>
      </c>
      <c r="CI14" s="1"/>
      <c r="CJ14" s="1"/>
      <c r="CK14" s="1"/>
      <c r="CL14" s="1"/>
      <c r="CM14" s="1">
        <f>IFERROR(_xlfn.NUMBERVALUE(SUBSTITUTE(Table5[[#This Row],[RUNS SCORED]],"*",""))/Table5[[#This Row],[BALLS FACED]]*100,0)</f>
        <v>0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4" s="1">
        <f>IF(Table5[[#This Row],[RUNS SCORED]]="", 0, VALUE(SUBSTITUTE(Table5[[#This Row],[RUNS SCORED]],"*","")) + Table5[[#This Row],[BONUS 1]])</f>
        <v>0</v>
      </c>
      <c r="CP14" s="1"/>
      <c r="CQ14" s="1"/>
      <c r="CR14" s="1"/>
      <c r="CS14" s="1"/>
      <c r="CT14" s="1">
        <f>IFERROR(Table5[[#This Row],[RUNS GIVEN]]/Table5[[#This Row],[OVERS]],0)</f>
        <v>0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3]],Table5[[#This Row],[POM BONUS]])</f>
        <v>0</v>
      </c>
      <c r="DD14" s="1"/>
      <c r="DE14" s="1"/>
      <c r="DF14" s="1"/>
      <c r="DG14" s="1"/>
      <c r="DH14" s="1">
        <f>IFERROR(_xlfn.NUMBERVALUE(SUBSTITUTE(Table6[[#This Row],[RUNS SCORED]],"*",""))/Table6[[#This Row],[BALLS FACED]]*100,0)</f>
        <v>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4" s="1">
        <f>IF(Table6[[#This Row],[RUNS SCORED]]="", 0, VALUE(SUBSTITUTE(Table6[[#This Row],[RUNS SCORED]],"*","")) + Table6[[#This Row],[BONUS 1]])</f>
        <v>0</v>
      </c>
      <c r="DK14" s="1"/>
      <c r="DL14" s="1"/>
      <c r="DM14" s="1"/>
      <c r="DN14" s="1"/>
      <c r="DO14" s="1">
        <f>IFERROR(Table6[[#This Row],[RUNS GIVEN]]/Table6[[#This Row],[OVERS]],0)</f>
        <v>0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3]],Table6[[#This Row],[POM BONUS]])</f>
        <v>0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3]],Table7[[#This Row],[POM BONUS]])</f>
        <v>0</v>
      </c>
    </row>
    <row r="15" spans="1:149" x14ac:dyDescent="0.3">
      <c r="A15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264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3]],Table1[[#This Row],[POM BONUS]])</f>
        <v>150</v>
      </c>
      <c r="X15" s="1">
        <v>14</v>
      </c>
      <c r="Y15" s="1">
        <v>9</v>
      </c>
      <c r="Z15" s="1">
        <v>0</v>
      </c>
      <c r="AA15" s="1">
        <v>2</v>
      </c>
      <c r="AB15" s="1">
        <f>IFERROR(_xlfn.NUMBERVALUE(SUBSTITUTE(Table2[[#This Row],[RUNS SCORED]],"*",""))/Table2[[#This Row],[BALLS FACED]]*100,0)</f>
        <v>155.55555555555557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14</v>
      </c>
      <c r="AE15" s="1">
        <v>4</v>
      </c>
      <c r="AF15" s="1">
        <v>0</v>
      </c>
      <c r="AG15" s="1">
        <v>23</v>
      </c>
      <c r="AH15" s="1">
        <v>2</v>
      </c>
      <c r="AI15" s="1">
        <f>IFERROR(Table2[[#This Row],[RUNS GIVEN]]/Table2[[#This Row],[OVERS]],0)</f>
        <v>5.75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100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3]],Table2[[#This Row],[POM BONUS]])</f>
        <v>114</v>
      </c>
      <c r="AS15" s="1"/>
      <c r="AT15" s="1"/>
      <c r="AU15" s="1"/>
      <c r="AV15" s="1"/>
      <c r="AW15" s="1">
        <f>IFERROR(_xlfn.NUMBERVALUE(SUBSTITUTE(Table3[[#This Row],[RUNS SCORED]],"*",""))/Table3[[#This Row],[BALLS FACED]]*100,0)</f>
        <v>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5" s="1">
        <f>IF(Table3[[#This Row],[RUNS SCORED]]="", 0, VALUE(SUBSTITUTE(Table3[[#This Row],[RUNS SCORED]],"*","")) + Table3[[#This Row],[BONUS 1]])</f>
        <v>0</v>
      </c>
      <c r="AZ15" s="1"/>
      <c r="BA15" s="1"/>
      <c r="BB15" s="1"/>
      <c r="BC15" s="1"/>
      <c r="BD15" s="1">
        <f>IFERROR(Table3[[#This Row],[RUNS GIVEN]]/Table3[[#This Row],[OVERS]],0)</f>
        <v>0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5" s="1">
        <f>IF(Table3[[#This Row],[WICKETS TAKEN]]="", 0, IF(Table3[[#This Row],[WICKETS TAKEN]] = 0, -25,
        Table3[[#This Row],[WICKETS TAKEN]] * 50)+Table3[[#This Row],[BONUS 2]])</f>
        <v>0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3]],Table3[[#This Row],[POM BONUS]])</f>
        <v>0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3]],Table4[[#This Row],[POM BONUS]])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3]],Table5[[#This Row],[POM BONUS]])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3]],Table6[[#This Row],[POM BONUS]])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3]],Table7[[#This Row],[POM BONUS]])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418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3]],Table1[[#This Row],[POM BONUS]])</f>
        <v>150</v>
      </c>
      <c r="X16" s="1">
        <v>68</v>
      </c>
      <c r="Y16" s="1">
        <v>44</v>
      </c>
      <c r="Z16" s="1">
        <v>6</v>
      </c>
      <c r="AA16" s="1">
        <v>2</v>
      </c>
      <c r="AB16" s="1">
        <f>IFERROR(_xlfn.NUMBERVALUE(SUBSTITUTE(Table2[[#This Row],[RUNS SCORED]],"*",""))/Table2[[#This Row],[BALLS FACED]]*100,0)</f>
        <v>154.54545454545453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AD16" s="1">
        <f>IF(Table2[[#This Row],[RUNS SCORED]]="", 0, VALUE(SUBSTITUTE(Table2[[#This Row],[RUNS SCORED]],"*","")) + Table2[[#This Row],[BONUS 1]])</f>
        <v>168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>
        <v>100</v>
      </c>
      <c r="AR16" s="1">
        <f>SUM(Table2[[#This Row],[SUB TOTAL 1]],Table2[[#This Row],[SUB TOTAL 2]],Table2[[#This Row],[SUB TOTAL 3]],Table2[[#This Row],[POM BONUS]])</f>
        <v>268</v>
      </c>
      <c r="AS16" s="1"/>
      <c r="AT16" s="1"/>
      <c r="AU16" s="1"/>
      <c r="AV16" s="1"/>
      <c r="AW16" s="1">
        <f>IFERROR(_xlfn.NUMBERVALUE(SUBSTITUTE(Table3[[#This Row],[RUNS SCORED]],"*",""))/Table3[[#This Row],[BALLS FACED]]*100,0)</f>
        <v>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6" s="1">
        <f>IF(Table3[[#This Row],[RUNS SCORED]]="", 0, VALUE(SUBSTITUTE(Table3[[#This Row],[RUNS SCORED]],"*","")) + Table3[[#This Row],[BONUS 1]])</f>
        <v>0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3]],Table3[[#This Row],[POM BONUS]])</f>
        <v>0</v>
      </c>
      <c r="BN16" s="1"/>
      <c r="BO16" s="1"/>
      <c r="BP16" s="1"/>
      <c r="BQ16" s="1"/>
      <c r="BR16" s="1">
        <f>IFERROR(_xlfn.NUMBERVALUE(SUBSTITUTE(Table4[[#This Row],[RUNS SCORED]],"*",""))/Table4[[#This Row],[BALLS FACED]]*100,0)</f>
        <v>0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0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/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6" s="1">
        <f>IF(AND(Table4[[#This Row],[CATCHES TAKEN]]="",Table4[[#This Row],[RUNOUTS]]="",Table4[[#This Row],[STUMPINGS]]=""), 0, Table4[[#This Row],[BONUS 3]])</f>
        <v>0</v>
      </c>
      <c r="CG16" s="1"/>
      <c r="CH16" s="1">
        <f>SUM(Table4[[#This Row],[SUB TOTAL 1]],Table4[[#This Row],[SUB TOTAL 2]],Table4[[#This Row],[SUB TOTAL 3]],Table4[[#This Row],[POM BONUS]])</f>
        <v>0</v>
      </c>
      <c r="CI16" s="1"/>
      <c r="CJ16" s="1"/>
      <c r="CK16" s="1"/>
      <c r="CL16" s="1"/>
      <c r="CM16" s="1">
        <f>IFERROR(_xlfn.NUMBERVALUE(SUBSTITUTE(Table5[[#This Row],[RUNS SCORED]],"*",""))/Table5[[#This Row],[BALLS FACED]]*100,0)</f>
        <v>0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6" s="1">
        <f>IF(Table5[[#This Row],[RUNS SCORED]]="", 0, VALUE(SUBSTITUTE(Table5[[#This Row],[RUNS SCORED]],"*","")) + Table5[[#This Row],[BONUS 1]])</f>
        <v>0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3]],Table5[[#This Row],[POM BONUS]])</f>
        <v>0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3]],Table6[[#This Row],[POM BONUS]])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3]],Table7[[#This Row],[POM BONUS]])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3]],Table1[[#This Row],[POM BONUS]])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3]],Table2[[#This Row],[POM BONUS]])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/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7" s="1">
        <f>IF(AND(Table3[[#This Row],[CATCHES TAKEN]]="",Table3[[#This Row],[RUNOUTS]]="",Table3[[#This Row],[STUMPINGS]]=""), 0, Table3[[#This Row],[BONUS 3]])</f>
        <v>0</v>
      </c>
      <c r="BL17" s="1"/>
      <c r="BM17" s="1">
        <f>SUM(Table3[[#This Row],[SUB TOTAL 1]],Table3[[#This Row],[SUB TOTAL 2]],Table3[[#This Row],[SUB TOTAL 3]],Table3[[#This Row],[POM BONUS]])</f>
        <v>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3]],Table4[[#This Row],[POM BONUS]])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3]],Table5[[#This Row],[POM BONUS]])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3]],Table6[[#This Row],[POM BONUS]])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3]],Table7[[#This Row],[POM BONUS]])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-7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3]],Table1[[#This Row],[POM BONUS]])</f>
        <v>0</v>
      </c>
      <c r="X18" s="1">
        <v>3</v>
      </c>
      <c r="Y18" s="1">
        <v>12</v>
      </c>
      <c r="Z18" s="1">
        <v>0</v>
      </c>
      <c r="AA18" s="1">
        <v>0</v>
      </c>
      <c r="AB18" s="1">
        <f>IFERROR(_xlfn.NUMBERVALUE(SUBSTITUTE(Table2[[#This Row],[RUNS SCORED]],"*",""))/Table2[[#This Row],[BALLS FACED]]*100,0)</f>
        <v>25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8" s="1">
        <f>IF(Table2[[#This Row],[RUNS SCORED]]="", 0, VALUE(SUBSTITUTE(Table2[[#This Row],[RUNS SCORED]],"*","")) + Table2[[#This Row],[BONUS 1]])</f>
        <v>-7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3]],Table2[[#This Row],[POM BONUS]])</f>
        <v>-7</v>
      </c>
      <c r="AS18" s="1"/>
      <c r="AT18" s="1"/>
      <c r="AU18" s="1"/>
      <c r="AV18" s="1"/>
      <c r="AW18" s="1">
        <f>IFERROR(_xlfn.NUMBERVALUE(SUBSTITUTE(Table3[[#This Row],[RUNS SCORED]],"*",""))/Table3[[#This Row],[BALLS FACED]]*100,0)</f>
        <v>0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0</v>
      </c>
      <c r="AZ18" s="1"/>
      <c r="BA18" s="1"/>
      <c r="BB18" s="1"/>
      <c r="BC18" s="1"/>
      <c r="BD18" s="1">
        <f>IFERROR(Table3[[#This Row],[RUNS GIVEN]]/Table3[[#This Row],[OVERS]],0)</f>
        <v>0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3]],Table3[[#This Row],[POM BONUS]])</f>
        <v>0</v>
      </c>
      <c r="BN18" s="1"/>
      <c r="BO18" s="1"/>
      <c r="BP18" s="1"/>
      <c r="BQ18" s="1"/>
      <c r="BR18" s="1">
        <f>IFERROR(_xlfn.NUMBERVALUE(SUBSTITUTE(Table4[[#This Row],[RUNS SCORED]],"*",""))/Table4[[#This Row],[BALLS FACED]]*100,0)</f>
        <v>0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8" s="1">
        <f>IF(Table4[[#This Row],[RUNS SCORED]]="", 0, VALUE(SUBSTITUTE(Table4[[#This Row],[RUNS SCORED]],"*","")) + Table4[[#This Row],[BONUS 1]])</f>
        <v>0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3]],Table4[[#This Row],[POM BONUS]])</f>
        <v>0</v>
      </c>
      <c r="CI18" s="1"/>
      <c r="CJ18" s="1"/>
      <c r="CK18" s="1"/>
      <c r="CL18" s="1"/>
      <c r="CM18" s="1">
        <f>IFERROR(_xlfn.NUMBERVALUE(SUBSTITUTE(Table5[[#This Row],[RUNS SCORED]],"*",""))/Table5[[#This Row],[BALLS FACED]]*100,0)</f>
        <v>0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8" s="1">
        <f>IF(Table5[[#This Row],[RUNS SCORED]]="", 0, VALUE(SUBSTITUTE(Table5[[#This Row],[RUNS SCORED]],"*","")) + Table5[[#This Row],[BONUS 1]])</f>
        <v>0</v>
      </c>
      <c r="CP18" s="1"/>
      <c r="CQ18" s="1"/>
      <c r="CR18" s="1"/>
      <c r="CS18" s="1"/>
      <c r="CT18" s="1">
        <f>IFERROR(Table5[[#This Row],[RUNS GIVEN]]/Table5[[#This Row],[OVERS]],0)</f>
        <v>0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0</v>
      </c>
      <c r="CW18" s="1"/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8" s="1">
        <f>IF(AND(Table5[[#This Row],[CATCHES TAKEN]]="",Table5[[#This Row],[RUNOUTS]]="",Table5[[#This Row],[STUMPINGS]]=""), 0, Table5[[#This Row],[BONUS 3]])</f>
        <v>0</v>
      </c>
      <c r="DB18" s="1"/>
      <c r="DC18" s="1">
        <f>SUM(Table5[[#This Row],[SUB TOTAL 1]],Table5[[#This Row],[SUB TOTAL 2]],Table5[[#This Row],[SUB TOTAL 3]],Table5[[#This Row],[POM BONUS]])</f>
        <v>0</v>
      </c>
      <c r="DD18" s="1"/>
      <c r="DE18" s="1"/>
      <c r="DF18" s="1"/>
      <c r="DG18" s="1"/>
      <c r="DH18" s="1">
        <f>IFERROR(_xlfn.NUMBERVALUE(SUBSTITUTE(Table6[[#This Row],[RUNS SCORED]],"*",""))/Table6[[#This Row],[BALLS FACED]]*100,0)</f>
        <v>0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0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3]],Table6[[#This Row],[POM BONUS]])</f>
        <v>0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3]],Table7[[#This Row],[POM BONUS]])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400</v>
      </c>
      <c r="C19" s="1" t="s">
        <v>295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3]],Table1[[#This Row],[POM BONUS]])</f>
        <v>242</v>
      </c>
      <c r="X19" s="1" t="s">
        <v>297</v>
      </c>
      <c r="Y19" s="1">
        <v>16</v>
      </c>
      <c r="Z19" s="1">
        <v>0</v>
      </c>
      <c r="AA19" s="1">
        <v>0</v>
      </c>
      <c r="AB19" s="1">
        <f>IFERROR(_xlfn.NUMBERVALUE(SUBSTITUTE(Table2[[#This Row],[RUNS SCORED]],"*",""))/Table2[[#This Row],[BALLS FACED]]*100,0)</f>
        <v>206.25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D19" s="1">
        <f>IF(Table2[[#This Row],[RUNS SCORED]]="", 0, VALUE(SUBSTITUTE(Table2[[#This Row],[RUNS SCORED]],"*","")) + Table2[[#This Row],[BONUS 1]])</f>
        <v>208</v>
      </c>
      <c r="AE19" s="1">
        <v>2</v>
      </c>
      <c r="AF19" s="1">
        <v>0</v>
      </c>
      <c r="AG19" s="1">
        <v>23</v>
      </c>
      <c r="AH19" s="1">
        <v>0</v>
      </c>
      <c r="AI19" s="1">
        <f>IFERROR(Table2[[#This Row],[RUNS GIVEN]]/Table2[[#This Row],[OVERS]],0)</f>
        <v>11.5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9" s="1">
        <f>IF(Table2[[#This Row],[WICKETS TAKEN]]="", 0, IF(Table2[[#This Row],[WICKETS TAKEN]] = 0, -25,
        Table2[[#This Row],[WICKETS TAKEN]] * 50)+Table2[[#This Row],[BONUS 2]])</f>
        <v>-50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3]],Table2[[#This Row],[POM BONUS]])</f>
        <v>158</v>
      </c>
      <c r="AS19" s="1"/>
      <c r="AT19" s="1"/>
      <c r="AU19" s="1"/>
      <c r="AV19" s="1"/>
      <c r="AW19" s="1">
        <f>IFERROR(_xlfn.NUMBERVALUE(SUBSTITUTE(Table3[[#This Row],[RUNS SCORED]],"*",""))/Table3[[#This Row],[BALLS FACED]]*100,0)</f>
        <v>0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9" s="1">
        <f>IF(Table3[[#This Row],[RUNS SCORED]]="", 0, VALUE(SUBSTITUTE(Table3[[#This Row],[RUNS SCORED]],"*","")) + Table3[[#This Row],[BONUS 1]])</f>
        <v>0</v>
      </c>
      <c r="AZ19" s="1"/>
      <c r="BA19" s="1"/>
      <c r="BB19" s="1"/>
      <c r="BC19" s="1"/>
      <c r="BD19" s="1">
        <f>IFERROR(Table3[[#This Row],[RUNS GIVEN]]/Table3[[#This Row],[OVERS]],0)</f>
        <v>0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/>
      <c r="BM19" s="1">
        <f>SUM(Table3[[#This Row],[SUB TOTAL 1]],Table3[[#This Row],[SUB TOTAL 2]],Table3[[#This Row],[SUB TOTAL 3]],Table3[[#This Row],[POM BONUS]])</f>
        <v>0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/>
      <c r="BV19" s="1"/>
      <c r="BW19" s="1"/>
      <c r="BX19" s="1"/>
      <c r="BY19" s="1">
        <f>IFERROR(Table4[[#This Row],[RUNS GIVEN]]/Table4[[#This Row],[OVERS]],0)</f>
        <v>0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9" s="1">
        <f>IF(Table4[[#This Row],[WICKETS TAKEN]]="", 0, IF(Table4[[#This Row],[WICKETS TAKEN]] = 0, -25,
        Table4[[#This Row],[WICKETS TAKEN]] * 50)+Table4[[#This Row],[BONUS 2]])</f>
        <v>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3]],Table4[[#This Row],[POM BONUS]])</f>
        <v>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/>
      <c r="CQ19" s="1"/>
      <c r="CR19" s="1"/>
      <c r="CS19" s="1"/>
      <c r="CT19" s="1">
        <f>IFERROR(Table5[[#This Row],[RUNS GIVEN]]/Table5[[#This Row],[OVERS]],0)</f>
        <v>0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9" s="1">
        <f>IF(Table5[[#This Row],[WICKETS TAKEN]]="", 0, IF(Table5[[#This Row],[WICKETS TAKEN]] = 0, -25,
        Table5[[#This Row],[WICKETS TAKEN]] * 50)+Table5[[#This Row],[BONUS 2]])</f>
        <v>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3]],Table5[[#This Row],[POM BONUS]])</f>
        <v>0</v>
      </c>
      <c r="DD19" s="1"/>
      <c r="DE19" s="1"/>
      <c r="DF19" s="1"/>
      <c r="DG19" s="1"/>
      <c r="DH19" s="1">
        <f>IFERROR(_xlfn.NUMBERVALUE(SUBSTITUTE(Table6[[#This Row],[RUNS SCORED]],"*",""))/Table6[[#This Row],[BALLS FACED]]*100,0)</f>
        <v>0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0</v>
      </c>
      <c r="DK19" s="1"/>
      <c r="DL19" s="1"/>
      <c r="DM19" s="1"/>
      <c r="DN19" s="1"/>
      <c r="DO19" s="1">
        <f>IFERROR(Table6[[#This Row],[RUNS GIVEN]]/Table6[[#This Row],[OVERS]],0)</f>
        <v>0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9" s="1">
        <f>IF(Table6[[#This Row],[WICKETS TAKEN]]="", 0, IF(Table6[[#This Row],[WICKETS TAKEN]] = 0, -25,
        Table6[[#This Row],[WICKETS TAKEN]] * 50)+Table6[[#This Row],[BONUS 2]])</f>
        <v>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/>
      <c r="DX19" s="1">
        <f>SUM(Table6[[#This Row],[SUB TOTAL 1]],Table6[[#This Row],[SUB TOTAL 2]],Table6[[#This Row],[SUB TOTAL 3]],Table6[[#This Row],[POM BONUS]])</f>
        <v>0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3]],Table7[[#This Row],[POM BONUS]])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80</v>
      </c>
      <c r="C20" s="1" t="s">
        <v>294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3]],Table1[[#This Row],[POM BONUS]])</f>
        <v>70</v>
      </c>
      <c r="X20" s="1">
        <v>10</v>
      </c>
      <c r="Y20" s="1">
        <v>7</v>
      </c>
      <c r="Z20" s="1">
        <v>2</v>
      </c>
      <c r="AA20" s="1">
        <v>0</v>
      </c>
      <c r="AB20" s="1">
        <f>IFERROR(_xlfn.NUMBERVALUE(SUBSTITUTE(Table2[[#This Row],[RUNS SCORED]],"*",""))/Table2[[#This Row],[BALLS FACED]]*100,0)</f>
        <v>142.85714285714286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10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3]],Table2[[#This Row],[POM BONUS]])</f>
        <v>10</v>
      </c>
      <c r="AS20" s="1"/>
      <c r="AT20" s="1"/>
      <c r="AU20" s="1"/>
      <c r="AV20" s="1"/>
      <c r="AW20" s="1">
        <f>IFERROR(_xlfn.NUMBERVALUE(SUBSTITUTE(Table3[[#This Row],[RUNS SCORED]],"*",""))/Table3[[#This Row],[BALLS FACED]]*100,0)</f>
        <v>0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0" s="1">
        <f>IF(Table3[[#This Row],[RUNS SCORED]]="", 0, VALUE(SUBSTITUTE(Table3[[#This Row],[RUNS SCORED]],"*","")) + Table3[[#This Row],[BONUS 1]])</f>
        <v>0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3]],Table3[[#This Row],[POM BONUS]])</f>
        <v>0</v>
      </c>
      <c r="BN20" s="1"/>
      <c r="BO20" s="1"/>
      <c r="BP20" s="1"/>
      <c r="BQ20" s="1"/>
      <c r="BR20" s="1">
        <f>IFERROR(_xlfn.NUMBERVALUE(SUBSTITUTE(Table4[[#This Row],[RUNS SCORED]],"*",""))/Table4[[#This Row],[BALLS FACED]]*100,0)</f>
        <v>0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0" s="1">
        <f>IF(Table4[[#This Row],[RUNS SCORED]]="", 0, VALUE(SUBSTITUTE(Table4[[#This Row],[RUNS SCORED]],"*","")) + Table4[[#This Row],[BONUS 1]])</f>
        <v>0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3]],Table4[[#This Row],[POM BONUS]])</f>
        <v>0</v>
      </c>
      <c r="CI20" s="1"/>
      <c r="CJ20" s="1"/>
      <c r="CK20" s="1"/>
      <c r="CL20" s="1"/>
      <c r="CM20" s="1">
        <f>IFERROR(_xlfn.NUMBERVALUE(SUBSTITUTE(Table5[[#This Row],[RUNS SCORED]],"*",""))/Table5[[#This Row],[BALLS FACED]]*100,0)</f>
        <v>0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0" s="1">
        <f>IF(Table5[[#This Row],[RUNS SCORED]]="", 0, VALUE(SUBSTITUTE(Table5[[#This Row],[RUNS SCORED]],"*","")) + Table5[[#This Row],[BONUS 1]])</f>
        <v>0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3]],Table5[[#This Row],[POM BONUS]])</f>
        <v>0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3]],Table6[[#This Row],[POM BONUS]])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3]],Table7[[#This Row],[POM BONUS]])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169</v>
      </c>
      <c r="C21" s="1" t="s">
        <v>293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3]],Table1[[#This Row],[POM BONUS]])</f>
        <v>47</v>
      </c>
      <c r="X21" s="1" t="s">
        <v>298</v>
      </c>
      <c r="Y21" s="1">
        <v>37</v>
      </c>
      <c r="Z21" s="1">
        <v>5</v>
      </c>
      <c r="AA21" s="1">
        <v>1</v>
      </c>
      <c r="AB21" s="1">
        <f>IFERROR(_xlfn.NUMBERVALUE(SUBSTITUTE(Table2[[#This Row],[RUNS SCORED]],"*",""))/Table2[[#This Row],[BALLS FACED]]*100,0)</f>
        <v>127.02702702702702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AD21" s="1">
        <f>IF(Table2[[#This Row],[RUNS SCORED]]="", 0, VALUE(SUBSTITUTE(Table2[[#This Row],[RUNS SCORED]],"*","")) + Table2[[#This Row],[BONUS 1]])</f>
        <v>122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3]],Table2[[#This Row],[POM BONUS]])</f>
        <v>122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3]],Table3[[#This Row],[POM BONUS]])</f>
        <v>0</v>
      </c>
      <c r="BN21" s="1"/>
      <c r="BO21" s="1"/>
      <c r="BP21" s="1"/>
      <c r="BQ21" s="1"/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1" s="1">
        <f>IF(Table4[[#This Row],[RUNS SCORED]]="", 0, VALUE(SUBSTITUTE(Table4[[#This Row],[RUNS SCORED]],"*","")) + Table4[[#This Row],[BONUS 1]])</f>
        <v>0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/>
      <c r="CC21" s="1"/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1" s="1">
        <f>IF(AND(Table4[[#This Row],[CATCHES TAKEN]]="",Table4[[#This Row],[RUNOUTS]]="",Table4[[#This Row],[STUMPINGS]]=""), 0, Table4[[#This Row],[BONUS 3]])</f>
        <v>0</v>
      </c>
      <c r="CG21" s="1"/>
      <c r="CH21" s="1">
        <f>SUM(Table4[[#This Row],[SUB TOTAL 1]],Table4[[#This Row],[SUB TOTAL 2]],Table4[[#This Row],[SUB TOTAL 3]],Table4[[#This Row],[POM BONUS]])</f>
        <v>0</v>
      </c>
      <c r="CI21" s="1"/>
      <c r="CJ21" s="1"/>
      <c r="CK21" s="1"/>
      <c r="CL21" s="1"/>
      <c r="CM21" s="1">
        <f>IFERROR(_xlfn.NUMBERVALUE(SUBSTITUTE(Table5[[#This Row],[RUNS SCORED]],"*",""))/Table5[[#This Row],[BALLS FACED]]*100,0)</f>
        <v>0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1" s="1">
        <f>IF(Table5[[#This Row],[RUNS SCORED]]="", 0, VALUE(SUBSTITUTE(Table5[[#This Row],[RUNS SCORED]],"*","")) + Table5[[#This Row],[BONUS 1]])</f>
        <v>0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/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1" s="1">
        <f>IF(AND(Table5[[#This Row],[CATCHES TAKEN]]="",Table5[[#This Row],[RUNOUTS]]="",Table5[[#This Row],[STUMPINGS]]=""), 0, Table5[[#This Row],[BONUS 3]])</f>
        <v>0</v>
      </c>
      <c r="DB21" s="1"/>
      <c r="DC21" s="1">
        <f>SUM(Table5[[#This Row],[SUB TOTAL 1]],Table5[[#This Row],[SUB TOTAL 2]],Table5[[#This Row],[SUB TOTAL 3]],Table5[[#This Row],[POM BONUS]])</f>
        <v>0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3]],Table6[[#This Row],[POM BONUS]])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3]],Table7[[#This Row],[POM BONUS]])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106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3]],Table1[[#This Row],[POM BONUS]])</f>
        <v>0</v>
      </c>
      <c r="X22" s="1">
        <v>31</v>
      </c>
      <c r="Y22" s="1">
        <v>31</v>
      </c>
      <c r="Z22" s="1">
        <v>0</v>
      </c>
      <c r="AA22" s="1">
        <v>0</v>
      </c>
      <c r="AB22" s="1">
        <f>IFERROR(_xlfn.NUMBERVALUE(SUBSTITUTE(Table2[[#This Row],[RUNS SCORED]],"*",""))/Table2[[#This Row],[BALLS FACED]]*100,0)</f>
        <v>100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D22" s="1">
        <f>IF(Table2[[#This Row],[RUNS SCORED]]="", 0, VALUE(SUBSTITUTE(Table2[[#This Row],[RUNS SCORED]],"*","")) + Table2[[#This Row],[BONUS 1]])</f>
        <v>81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>
        <v>1</v>
      </c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22" s="1">
        <f>IF(AND(Table2[[#This Row],[CATCHES TAKEN]]="",Table2[[#This Row],[RUNOUTS]]="",Table2[[#This Row],[STUMPINGS]]=""), 0, Table2[[#This Row],[BONUS 3]])</f>
        <v>25</v>
      </c>
      <c r="AQ22" s="1"/>
      <c r="AR22" s="1">
        <f>SUM(Table2[[#This Row],[SUB TOTAL 1]],Table2[[#This Row],[SUB TOTAL 2]],Table2[[#This Row],[SUB TOTAL 3]],Table2[[#This Row],[POM BONUS]])</f>
        <v>106</v>
      </c>
      <c r="AS22" s="1"/>
      <c r="AT22" s="1"/>
      <c r="AU22" s="1"/>
      <c r="AV22" s="1"/>
      <c r="AW22" s="1">
        <f>IFERROR(_xlfn.NUMBERVALUE(SUBSTITUTE(Table3[[#This Row],[RUNS SCORED]],"*",""))/Table3[[#This Row],[BALLS FACED]]*100,0)</f>
        <v>0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2" s="1">
        <f>IF(Table3[[#This Row],[RUNS SCORED]]="", 0, VALUE(SUBSTITUTE(Table3[[#This Row],[RUNS SCORED]],"*","")) + Table3[[#This Row],[BONUS 1]])</f>
        <v>0</v>
      </c>
      <c r="AZ22" s="1"/>
      <c r="BA22" s="1"/>
      <c r="BB22" s="1"/>
      <c r="BC22" s="1"/>
      <c r="BD22" s="1">
        <f>IFERROR(Table3[[#This Row],[RUNS GIVEN]]/Table3[[#This Row],[OVERS]],0)</f>
        <v>0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0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3]],Table3[[#This Row],[POM BONUS]])</f>
        <v>0</v>
      </c>
      <c r="BN22" s="1"/>
      <c r="BO22" s="1"/>
      <c r="BP22" s="1"/>
      <c r="BQ22" s="1"/>
      <c r="BR22" s="1">
        <f>IFERROR(_xlfn.NUMBERVALUE(SUBSTITUTE(Table4[[#This Row],[RUNS SCORED]],"*",""))/Table4[[#This Row],[BALLS FACED]]*100,0)</f>
        <v>0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2" s="1">
        <f>IF(Table4[[#This Row],[RUNS SCORED]]="", 0, VALUE(SUBSTITUTE(Table4[[#This Row],[RUNS SCORED]],"*","")) + Table4[[#This Row],[BONUS 1]])</f>
        <v>0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3]],Table4[[#This Row],[POM BONUS]])</f>
        <v>0</v>
      </c>
      <c r="CI22" s="1"/>
      <c r="CJ22" s="1"/>
      <c r="CK22" s="1"/>
      <c r="CL22" s="1"/>
      <c r="CM22" s="1">
        <f>IFERROR(_xlfn.NUMBERVALUE(SUBSTITUTE(Table5[[#This Row],[RUNS SCORED]],"*",""))/Table5[[#This Row],[BALLS FACED]]*100,0)</f>
        <v>0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2" s="1">
        <f>IF(Table5[[#This Row],[RUNS SCORED]]="", 0, VALUE(SUBSTITUTE(Table5[[#This Row],[RUNS SCORED]],"*","")) + Table5[[#This Row],[BONUS 1]])</f>
        <v>0</v>
      </c>
      <c r="CP22" s="1"/>
      <c r="CQ22" s="1"/>
      <c r="CR22" s="1"/>
      <c r="CS22" s="1"/>
      <c r="CT22" s="1">
        <f>IFERROR(Table5[[#This Row],[RUNS GIVEN]]/Table5[[#This Row],[OVERS]],0)</f>
        <v>0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0</v>
      </c>
      <c r="CW22" s="1"/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2" s="1">
        <f>IF(AND(Table5[[#This Row],[CATCHES TAKEN]]="",Table5[[#This Row],[RUNOUTS]]="",Table5[[#This Row],[STUMPINGS]]=""), 0, Table5[[#This Row],[BONUS 3]])</f>
        <v>0</v>
      </c>
      <c r="DB22" s="1"/>
      <c r="DC22" s="1">
        <f>SUM(Table5[[#This Row],[SUB TOTAL 1]],Table5[[#This Row],[SUB TOTAL 2]],Table5[[#This Row],[SUB TOTAL 3]],Table5[[#This Row],[POM BONUS]])</f>
        <v>0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3]],Table6[[#This Row],[POM BONUS]])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3]],Table7[[#This Row],[POM BONUS]])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159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3]],Table1[[#This Row],[POM BONUS]])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3]],Table2[[#This Row],[POM BONUS]])</f>
        <v>-2</v>
      </c>
      <c r="AS23" s="1">
        <v>26</v>
      </c>
      <c r="AT23" s="1">
        <v>20</v>
      </c>
      <c r="AU23" s="1">
        <v>1</v>
      </c>
      <c r="AV23" s="1">
        <v>1</v>
      </c>
      <c r="AW23" s="1">
        <f>IFERROR(_xlfn.NUMBERVALUE(SUBSTITUTE(Table3[[#This Row],[RUNS SCORED]],"*",""))/Table3[[#This Row],[BALLS FACED]]*100,0)</f>
        <v>130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3" s="1">
        <f>IF(Table3[[#This Row],[RUNS SCORED]]="", 0, VALUE(SUBSTITUTE(Table3[[#This Row],[RUNS SCORED]],"*","")) + Table3[[#This Row],[BONUS 1]])</f>
        <v>76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3]],Table3[[#This Row],[POM BONUS]])</f>
        <v>76</v>
      </c>
      <c r="BN23" s="1"/>
      <c r="BO23" s="1"/>
      <c r="BP23" s="1"/>
      <c r="BQ23" s="1"/>
      <c r="BR23" s="1">
        <f>IFERROR(_xlfn.NUMBERVALUE(SUBSTITUTE(Table4[[#This Row],[RUNS SCORED]],"*",""))/Table4[[#This Row],[BALLS FACED]]*100,0)</f>
        <v>0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3" s="1">
        <f>IF(Table4[[#This Row],[RUNS SCORED]]="", 0, VALUE(SUBSTITUTE(Table4[[#This Row],[RUNS SCORED]],"*","")) + Table4[[#This Row],[BONUS 1]])</f>
        <v>0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/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3" s="1">
        <f>IF(AND(Table4[[#This Row],[CATCHES TAKEN]]="",Table4[[#This Row],[RUNOUTS]]="",Table4[[#This Row],[STUMPINGS]]=""), 0, Table4[[#This Row],[BONUS 3]])</f>
        <v>0</v>
      </c>
      <c r="CG23" s="1"/>
      <c r="CH23" s="1">
        <f>SUM(Table4[[#This Row],[SUB TOTAL 1]],Table4[[#This Row],[SUB TOTAL 2]],Table4[[#This Row],[SUB TOTAL 3]],Table4[[#This Row],[POM BONUS]])</f>
        <v>0</v>
      </c>
      <c r="CI23" s="1"/>
      <c r="CJ23" s="1"/>
      <c r="CK23" s="1"/>
      <c r="CL23" s="1"/>
      <c r="CM23" s="1">
        <f>IFERROR(_xlfn.NUMBERVALUE(SUBSTITUTE(Table5[[#This Row],[RUNS SCORED]],"*",""))/Table5[[#This Row],[BALLS FACED]]*100,0)</f>
        <v>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3" s="1">
        <f>IF(Table5[[#This Row],[RUNS SCORED]]="", 0, VALUE(SUBSTITUTE(Table5[[#This Row],[RUNS SCORED]],"*","")) + Table5[[#This Row],[BONUS 1]])</f>
        <v>0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/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3" s="1">
        <f>IF(AND(Table5[[#This Row],[CATCHES TAKEN]]="",Table5[[#This Row],[RUNOUTS]]="",Table5[[#This Row],[STUMPINGS]]=""), 0, Table5[[#This Row],[BONUS 3]])</f>
        <v>0</v>
      </c>
      <c r="DB23" s="1"/>
      <c r="DC23" s="1">
        <f>SUM(Table5[[#This Row],[SUB TOTAL 1]],Table5[[#This Row],[SUB TOTAL 2]],Table5[[#This Row],[SUB TOTAL 3]],Table5[[#This Row],[POM BONUS]])</f>
        <v>0</v>
      </c>
      <c r="DD23" s="1"/>
      <c r="DE23" s="1"/>
      <c r="DF23" s="1"/>
      <c r="DG23" s="1"/>
      <c r="DH23" s="1">
        <f>IFERROR(_xlfn.NUMBERVALUE(SUBSTITUTE(Table6[[#This Row],[RUNS SCORED]],"*",""))/Table6[[#This Row],[BALLS FACED]]*100,0)</f>
        <v>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3" s="1">
        <f>IF(Table6[[#This Row],[RUNS SCORED]]="", 0, VALUE(SUBSTITUTE(Table6[[#This Row],[RUNS SCORED]],"*","")) + Table6[[#This Row],[BONUS 1]])</f>
        <v>0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3]],Table6[[#This Row],[POM BONUS]])</f>
        <v>0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3]],Table7[[#This Row],[POM BONUS]])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200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3]],Table1[[#This Row],[POM BONUS]])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>
        <v>4</v>
      </c>
      <c r="AF24" s="1">
        <v>0</v>
      </c>
      <c r="AG24" s="1">
        <v>24</v>
      </c>
      <c r="AH24" s="1">
        <v>1</v>
      </c>
      <c r="AI24" s="1">
        <f>IFERROR(Table2[[#This Row],[RUNS GIVEN]]/Table2[[#This Row],[OVERS]],0)</f>
        <v>6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50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3]],Table2[[#This Row],[POM BONUS]])</f>
        <v>50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3]],Table3[[#This Row],[POM BONUS]])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/>
      <c r="BV24" s="1"/>
      <c r="BW24" s="1"/>
      <c r="BX24" s="1"/>
      <c r="BY24" s="1">
        <f>IFERROR(Table4[[#This Row],[RUNS GIVEN]]/Table4[[#This Row],[OVERS]],0)</f>
        <v>0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0</v>
      </c>
      <c r="CB24" s="1"/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4" s="1">
        <f>IF(AND(Table4[[#This Row],[CATCHES TAKEN]]="",Table4[[#This Row],[RUNOUTS]]="",Table4[[#This Row],[STUMPINGS]]=""), 0, Table4[[#This Row],[BONUS 3]])</f>
        <v>0</v>
      </c>
      <c r="CG24" s="1"/>
      <c r="CH24" s="1">
        <f>SUM(Table4[[#This Row],[SUB TOTAL 1]],Table4[[#This Row],[SUB TOTAL 2]],Table4[[#This Row],[SUB TOTAL 3]],Table4[[#This Row],[POM BONUS]])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/>
      <c r="CQ24" s="1"/>
      <c r="CR24" s="1"/>
      <c r="CS24" s="1"/>
      <c r="CT24" s="1">
        <f>IFERROR(Table5[[#This Row],[RUNS GIVEN]]/Table5[[#This Row],[OVERS]],0)</f>
        <v>0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3]],Table5[[#This Row],[POM BONUS]])</f>
        <v>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3]],Table6[[#This Row],[POM BONUS]])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3]],Table7[[#This Row],[POM BONUS]])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195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3]],Table1[[#This Row],[POM BONUS]])</f>
        <v>100</v>
      </c>
      <c r="X25" s="1" t="s">
        <v>294</v>
      </c>
      <c r="Y25" s="1">
        <v>9</v>
      </c>
      <c r="Z25" s="1">
        <v>2</v>
      </c>
      <c r="AA25" s="1">
        <v>1</v>
      </c>
      <c r="AB25" s="1">
        <f>IFERROR(_xlfn.NUMBERVALUE(SUBSTITUTE(Table2[[#This Row],[RUNS SCORED]],"*",""))/Table2[[#This Row],[BALLS FACED]]*100,0)</f>
        <v>222.22222222222223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AD25" s="1">
        <f>IF(Table2[[#This Row],[RUNS SCORED]]="", 0, VALUE(SUBSTITUTE(Table2[[#This Row],[RUNS SCORED]],"*","")) + Table2[[#This Row],[BONUS 1]])</f>
        <v>45</v>
      </c>
      <c r="AE25" s="1">
        <v>4</v>
      </c>
      <c r="AF25" s="1">
        <v>0</v>
      </c>
      <c r="AG25" s="1">
        <v>27</v>
      </c>
      <c r="AH25" s="1">
        <v>1</v>
      </c>
      <c r="AI25" s="1">
        <f>IFERROR(Table2[[#This Row],[RUNS GIVEN]]/Table2[[#This Row],[OVERS]],0)</f>
        <v>6.75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50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3]],Table2[[#This Row],[POM BONUS]])</f>
        <v>95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/>
      <c r="BA25" s="1"/>
      <c r="BB25" s="1"/>
      <c r="BC25" s="1"/>
      <c r="BD25" s="1">
        <f>IFERROR(Table3[[#This Row],[RUNS GIVEN]]/Table3[[#This Row],[OVERS]],0)</f>
        <v>0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5" s="1">
        <f>IF(Table3[[#This Row],[WICKETS TAKEN]]="", 0, IF(Table3[[#This Row],[WICKETS TAKEN]] = 0, -25,
        Table3[[#This Row],[WICKETS TAKEN]] * 50)+Table3[[#This Row],[BONUS 2]])</f>
        <v>0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3]],Table3[[#This Row],[POM BONUS]])</f>
        <v>0</v>
      </c>
      <c r="BN25" s="1"/>
      <c r="BO25" s="1"/>
      <c r="BP25" s="1"/>
      <c r="BQ25" s="1"/>
      <c r="BR25" s="1">
        <f>IFERROR(_xlfn.NUMBERVALUE(SUBSTITUTE(Table4[[#This Row],[RUNS SCORED]],"*",""))/Table4[[#This Row],[BALLS FACED]]*100,0)</f>
        <v>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5" s="1">
        <f>IF(Table4[[#This Row],[RUNS SCORED]]="", 0, VALUE(SUBSTITUTE(Table4[[#This Row],[RUNS SCORED]],"*","")) + Table4[[#This Row],[BONUS 1]])</f>
        <v>0</v>
      </c>
      <c r="BU25" s="1"/>
      <c r="BV25" s="1"/>
      <c r="BW25" s="1"/>
      <c r="BX25" s="1"/>
      <c r="BY25" s="1">
        <f>IFERROR(Table4[[#This Row],[RUNS GIVEN]]/Table4[[#This Row],[OVERS]],0)</f>
        <v>0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3]],Table4[[#This Row],[POM BONUS]])</f>
        <v>0</v>
      </c>
      <c r="CI25" s="1"/>
      <c r="CJ25" s="1"/>
      <c r="CK25" s="1"/>
      <c r="CL25" s="1"/>
      <c r="CM25" s="1">
        <f>IFERROR(_xlfn.NUMBERVALUE(SUBSTITUTE(Table5[[#This Row],[RUNS SCORED]],"*",""))/Table5[[#This Row],[BALLS FACED]]*100,0)</f>
        <v>0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0</v>
      </c>
      <c r="CP25" s="1"/>
      <c r="CQ25" s="1"/>
      <c r="CR25" s="1"/>
      <c r="CS25" s="1"/>
      <c r="CT25" s="1">
        <f>IFERROR(Table5[[#This Row],[RUNS GIVEN]]/Table5[[#This Row],[OVERS]],0)</f>
        <v>0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0</v>
      </c>
      <c r="CW25" s="1"/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5" s="1">
        <f>IF(AND(Table5[[#This Row],[CATCHES TAKEN]]="",Table5[[#This Row],[RUNOUTS]]="",Table5[[#This Row],[STUMPINGS]]=""), 0, Table5[[#This Row],[BONUS 3]])</f>
        <v>0</v>
      </c>
      <c r="DB25" s="1"/>
      <c r="DC25" s="1">
        <f>SUM(Table5[[#This Row],[SUB TOTAL 1]],Table5[[#This Row],[SUB TOTAL 2]],Table5[[#This Row],[SUB TOTAL 3]],Table5[[#This Row],[POM BONUS]])</f>
        <v>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3]],Table6[[#This Row],[POM BONUS]])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3]],Table7[[#This Row],[POM BONUS]])</f>
        <v>0</v>
      </c>
    </row>
    <row r="29" spans="1:149" x14ac:dyDescent="0.3">
      <c r="A29" s="7" t="s">
        <v>0</v>
      </c>
      <c r="B29" s="8" t="s">
        <v>280</v>
      </c>
      <c r="C29" s="8" t="s">
        <v>281</v>
      </c>
    </row>
    <row r="30" spans="1:149" x14ac:dyDescent="0.3">
      <c r="A30" t="s">
        <v>4</v>
      </c>
      <c r="B30" s="1">
        <f>_xlfn.XLOOKUP(Table411[[#This Row],[NAME]],Table8[NAME],Table8[RANK],"NA")</f>
        <v>5</v>
      </c>
      <c r="C30" s="1">
        <v>5</v>
      </c>
    </row>
    <row r="31" spans="1:149" x14ac:dyDescent="0.3">
      <c r="A31" t="s">
        <v>6</v>
      </c>
      <c r="B31" s="1">
        <f>_xlfn.XLOOKUP(Table411[[#This Row],[NAME]],Table8[NAME],Table8[RANK],"NA")</f>
        <v>6</v>
      </c>
      <c r="C31" s="1">
        <v>6</v>
      </c>
    </row>
    <row r="32" spans="1:149" x14ac:dyDescent="0.3">
      <c r="A32" t="s">
        <v>7</v>
      </c>
      <c r="B32" s="1">
        <f>_xlfn.XLOOKUP(Table411[[#This Row],[NAME]],Table8[NAME],Table8[RANK],"NA")</f>
        <v>4</v>
      </c>
      <c r="C32" s="1">
        <v>2</v>
      </c>
    </row>
    <row r="33" spans="1:3" x14ac:dyDescent="0.3">
      <c r="A33" t="s">
        <v>8</v>
      </c>
      <c r="B33" s="1">
        <f>_xlfn.XLOOKUP(Table411[[#This Row],[NAME]],Table8[NAME],Table8[RANK],"NA")</f>
        <v>7</v>
      </c>
      <c r="C33" s="1">
        <v>7</v>
      </c>
    </row>
    <row r="34" spans="1:3" x14ac:dyDescent="0.3">
      <c r="A34" t="s">
        <v>9</v>
      </c>
      <c r="B34" s="1">
        <f>_xlfn.XLOOKUP(Table411[[#This Row],[NAME]],Table8[NAME],Table8[RANK],"NA")</f>
        <v>2</v>
      </c>
      <c r="C34" s="1">
        <v>4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1</v>
      </c>
    </row>
    <row r="36" spans="1:3" x14ac:dyDescent="0.3">
      <c r="A36" t="s">
        <v>11</v>
      </c>
      <c r="B36" s="1">
        <f>_xlfn.XLOOKUP(Table411[[#This Row],[NAME]],Table8[NAME],Table8[RANK],"NA")</f>
        <v>3</v>
      </c>
      <c r="C36" s="1">
        <v>3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C2:I2"/>
    <mergeCell ref="J2:P2"/>
    <mergeCell ref="Q2:U2"/>
    <mergeCell ref="C1:W1"/>
    <mergeCell ref="X1:AR1"/>
    <mergeCell ref="X2:AD2"/>
    <mergeCell ref="AE2:AK2"/>
    <mergeCell ref="AL2:AP2"/>
    <mergeCell ref="AS1:BM1"/>
    <mergeCell ref="AS2:AY2"/>
    <mergeCell ref="AZ2:BF2"/>
    <mergeCell ref="BG2:BK2"/>
    <mergeCell ref="BN1:CH1"/>
    <mergeCell ref="BN2:BT2"/>
    <mergeCell ref="BU2:CA2"/>
    <mergeCell ref="CB2:CF2"/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topLeftCell="N1" workbookViewId="0">
      <selection activeCell="T4" sqref="T4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25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  <c r="M2">
        <v>111</v>
      </c>
      <c r="N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  <c r="M3">
        <v>165</v>
      </c>
      <c r="N3">
        <v>0</v>
      </c>
      <c r="S3">
        <v>166</v>
      </c>
      <c r="T3">
        <v>0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</row>
    <row r="5" spans="1:40" x14ac:dyDescent="0.3">
      <c r="A5" t="s">
        <v>8</v>
      </c>
      <c r="B5">
        <f t="shared" si="0"/>
        <v>125</v>
      </c>
      <c r="C5">
        <v>192</v>
      </c>
      <c r="D5">
        <v>100</v>
      </c>
      <c r="E5">
        <v>78</v>
      </c>
      <c r="F5">
        <v>25</v>
      </c>
    </row>
    <row r="6" spans="1:40" x14ac:dyDescent="0.3">
      <c r="A6" t="s">
        <v>9</v>
      </c>
      <c r="B6">
        <f t="shared" si="0"/>
        <v>248.5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  <c r="M6">
        <v>172</v>
      </c>
      <c r="N6">
        <v>0</v>
      </c>
      <c r="Q6">
        <v>121</v>
      </c>
      <c r="R6">
        <v>0</v>
      </c>
      <c r="S6">
        <v>153</v>
      </c>
      <c r="T6">
        <v>149.5</v>
      </c>
    </row>
    <row r="7" spans="1:40" x14ac:dyDescent="0.3">
      <c r="A7" t="s">
        <v>10</v>
      </c>
      <c r="B7">
        <f t="shared" si="0"/>
        <v>100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  <c r="L7">
        <v>0</v>
      </c>
      <c r="M7">
        <v>157</v>
      </c>
      <c r="N7">
        <v>0</v>
      </c>
      <c r="O7">
        <v>159</v>
      </c>
      <c r="P7">
        <v>0</v>
      </c>
      <c r="Q7">
        <v>103</v>
      </c>
      <c r="R7">
        <v>0</v>
      </c>
      <c r="S7">
        <v>172</v>
      </c>
      <c r="T7">
        <v>0</v>
      </c>
    </row>
    <row r="8" spans="1:40" x14ac:dyDescent="0.3">
      <c r="A8" t="s">
        <v>11</v>
      </c>
      <c r="B8">
        <f t="shared" si="0"/>
        <v>422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  <c r="M8">
        <v>185</v>
      </c>
      <c r="N8">
        <v>0</v>
      </c>
      <c r="O8">
        <v>170</v>
      </c>
      <c r="P8">
        <v>97</v>
      </c>
      <c r="Q8">
        <v>137</v>
      </c>
      <c r="R8">
        <v>25</v>
      </c>
      <c r="S8">
        <v>180</v>
      </c>
      <c r="T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topLeftCell="L1" workbookViewId="0">
      <selection activeCell="U6" sqref="U6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100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  <c r="M2" t="s">
        <v>31</v>
      </c>
      <c r="N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90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  <c r="M3" t="s">
        <v>31</v>
      </c>
      <c r="N3">
        <v>25</v>
      </c>
      <c r="S3" t="s">
        <v>98</v>
      </c>
      <c r="T3">
        <v>-10</v>
      </c>
    </row>
    <row r="4" spans="1:40" x14ac:dyDescent="0.3">
      <c r="A4" t="s">
        <v>7</v>
      </c>
      <c r="B4">
        <f t="shared" si="0"/>
        <v>50</v>
      </c>
      <c r="C4" t="s">
        <v>98</v>
      </c>
      <c r="D4">
        <v>25</v>
      </c>
      <c r="E4" t="s">
        <v>31</v>
      </c>
      <c r="F4">
        <v>25</v>
      </c>
    </row>
    <row r="5" spans="1:40" x14ac:dyDescent="0.3">
      <c r="A5" t="s">
        <v>8</v>
      </c>
      <c r="B5">
        <f t="shared" si="0"/>
        <v>50</v>
      </c>
      <c r="C5" t="s">
        <v>98</v>
      </c>
      <c r="D5">
        <v>25</v>
      </c>
      <c r="E5" t="s">
        <v>31</v>
      </c>
      <c r="F5">
        <v>25</v>
      </c>
    </row>
    <row r="6" spans="1:40" x14ac:dyDescent="0.3">
      <c r="A6" t="s">
        <v>9</v>
      </c>
      <c r="B6">
        <f t="shared" si="0"/>
        <v>114.5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  <c r="M6" t="s">
        <v>31</v>
      </c>
      <c r="N6">
        <v>25</v>
      </c>
      <c r="Q6" t="s">
        <v>100</v>
      </c>
      <c r="R6">
        <v>25</v>
      </c>
      <c r="S6" t="s">
        <v>98</v>
      </c>
      <c r="T6">
        <v>-10</v>
      </c>
    </row>
    <row r="7" spans="1:40" x14ac:dyDescent="0.3">
      <c r="A7" t="s">
        <v>10</v>
      </c>
      <c r="B7">
        <f t="shared" si="0"/>
        <v>180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  <c r="M7" t="s">
        <v>31</v>
      </c>
      <c r="N7">
        <v>25</v>
      </c>
      <c r="O7" t="s">
        <v>95</v>
      </c>
      <c r="P7">
        <v>18</v>
      </c>
      <c r="Q7" t="s">
        <v>100</v>
      </c>
      <c r="R7">
        <v>25</v>
      </c>
      <c r="S7" t="s">
        <v>98</v>
      </c>
      <c r="T7">
        <v>-10</v>
      </c>
    </row>
    <row r="8" spans="1:40" x14ac:dyDescent="0.3">
      <c r="A8" t="s">
        <v>11</v>
      </c>
      <c r="B8">
        <f t="shared" si="0"/>
        <v>137.5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  <c r="M8" t="s">
        <v>31</v>
      </c>
      <c r="N8">
        <v>25</v>
      </c>
      <c r="O8" t="s">
        <v>95</v>
      </c>
      <c r="P8">
        <v>22.5</v>
      </c>
      <c r="Q8" t="s">
        <v>100</v>
      </c>
      <c r="R8">
        <v>25</v>
      </c>
      <c r="S8" t="s">
        <v>98</v>
      </c>
      <c r="T8">
        <v>-10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C2" sqref="C2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226</v>
      </c>
      <c r="H1" t="s">
        <v>233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181</v>
      </c>
      <c r="D2">
        <f>'DESCRIPTIVE PLAYER POINTS'!BM4</f>
        <v>0</v>
      </c>
      <c r="E2">
        <f>'DESCRIPTIVE PLAYER POINTS'!CH4</f>
        <v>0</v>
      </c>
      <c r="F2">
        <f>'DESCRIPTIVE PLAYER POINTS'!DC4</f>
        <v>0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10</v>
      </c>
      <c r="C3">
        <f>'DESCRIPTIVE PLAYER POINTS'!AR5</f>
        <v>-33</v>
      </c>
      <c r="D3">
        <f>'DESCRIPTIVE PLAYER POINTS'!BM5</f>
        <v>0</v>
      </c>
      <c r="E3">
        <f>'DESCRIPTIVE PLAYER POINTS'!CH5</f>
        <v>0</v>
      </c>
      <c r="F3">
        <f>'DESCRIPTIVE PLAYER POINTS'!DC5</f>
        <v>0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0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-8</v>
      </c>
      <c r="D5">
        <f>'DESCRIPTIVE PLAYER POINTS'!BM7</f>
        <v>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75</v>
      </c>
      <c r="D6">
        <f>'DESCRIPTIVE PLAYER POINTS'!BM8</f>
        <v>0</v>
      </c>
      <c r="E6">
        <f>'DESCRIPTIVE PLAYER POINTS'!CH8</f>
        <v>0</v>
      </c>
      <c r="F6">
        <f>'DESCRIPTIVE PLAYER POINTS'!DC8</f>
        <v>0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20</v>
      </c>
      <c r="D7">
        <f>'DESCRIPTIVE PLAYER POINTS'!BM9</f>
        <v>0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125</v>
      </c>
      <c r="D8">
        <f>'DESCRIPTIVE PLAYER POINTS'!BM10</f>
        <v>0</v>
      </c>
      <c r="E8">
        <f>'DESCRIPTIVE PLAYER POINTS'!CH10</f>
        <v>0</v>
      </c>
      <c r="F8">
        <f>'DESCRIPTIVE PLAYER POINTS'!DC10</f>
        <v>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20</v>
      </c>
      <c r="D9">
        <f>'DESCRIPTIVE PLAYER POINTS'!BM11</f>
        <v>0</v>
      </c>
      <c r="E9">
        <f>'DESCRIPTIVE PLAYER POINTS'!CH11</f>
        <v>0</v>
      </c>
      <c r="F9">
        <f>'DESCRIPTIVE PLAYER POINTS'!DC11</f>
        <v>0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25</v>
      </c>
      <c r="C10">
        <f>'DESCRIPTIVE PLAYER POINTS'!AR12</f>
        <v>50</v>
      </c>
      <c r="D10">
        <f>'DESCRIPTIVE PLAYER POINTS'!BM12</f>
        <v>0</v>
      </c>
      <c r="E10">
        <f>'DESCRIPTIVE PLAYER POINTS'!CH12</f>
        <v>0</v>
      </c>
      <c r="F10">
        <f>'DESCRIPTIVE PLAYER POINTS'!DC12</f>
        <v>0</v>
      </c>
      <c r="G10">
        <f>'DESCRIPTIVE PLAYER POINTS'!DX12</f>
        <v>0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69</v>
      </c>
      <c r="C11">
        <f>'DESCRIPTIVE PLAYER POINTS'!AR13</f>
        <v>-50</v>
      </c>
      <c r="D11">
        <f>'DESCRIPTIVE PLAYER POINTS'!BM13</f>
        <v>0</v>
      </c>
      <c r="E11">
        <f>'DESCRIPTIVE PLAYER POINTS'!CH13</f>
        <v>0</v>
      </c>
      <c r="F11">
        <f>'DESCRIPTIVE PLAYER POINTS'!DC13</f>
        <v>0</v>
      </c>
      <c r="G11">
        <f>'DESCRIPTIVE PLAYER POINTS'!DX13</f>
        <v>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250</v>
      </c>
      <c r="E12">
        <f>'DESCRIPTIVE PLAYER POINTS'!CH14</f>
        <v>0</v>
      </c>
      <c r="F12">
        <f>'DESCRIPTIVE PLAYER POINTS'!DC14</f>
        <v>0</v>
      </c>
      <c r="G12">
        <f>'DESCRIPTIVE PLAYER POINTS'!DX14</f>
        <v>0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114</v>
      </c>
      <c r="D13">
        <f>'DESCRIPTIVE PLAYER POINTS'!BM15</f>
        <v>0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150</v>
      </c>
      <c r="C14">
        <f>'DESCRIPTIVE PLAYER POINTS'!AR16</f>
        <v>268</v>
      </c>
      <c r="D14">
        <f>'DESCRIPTIVE PLAYER POINTS'!BM16</f>
        <v>0</v>
      </c>
      <c r="E14">
        <f>'DESCRIPTIVE PLAYER POINTS'!CH16</f>
        <v>0</v>
      </c>
      <c r="F14">
        <f>'DESCRIPTIVE PLAYER POINTS'!DC16</f>
        <v>0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-7</v>
      </c>
      <c r="D16">
        <f>'DESCRIPTIVE PLAYER POINTS'!BM18</f>
        <v>0</v>
      </c>
      <c r="E16">
        <f>'DESCRIPTIVE PLAYER POINTS'!CH18</f>
        <v>0</v>
      </c>
      <c r="F16">
        <f>'DESCRIPTIVE PLAYER POINTS'!DC18</f>
        <v>0</v>
      </c>
      <c r="G16">
        <f>'DESCRIPTIVE PLAYER POINTS'!DX18</f>
        <v>0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158</v>
      </c>
      <c r="D17">
        <f>'DESCRIPTIVE PLAYER POINTS'!BM19</f>
        <v>0</v>
      </c>
      <c r="E17">
        <f>'DESCRIPTIVE PLAYER POINTS'!CH19</f>
        <v>0</v>
      </c>
      <c r="F17">
        <f>'DESCRIPTIVE PLAYER POINTS'!DC19</f>
        <v>0</v>
      </c>
      <c r="G17">
        <f>'DESCRIPTIVE PLAYER POINTS'!DX19</f>
        <v>0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10</v>
      </c>
      <c r="D18">
        <f>'DESCRIPTIVE PLAYER POINTS'!BM20</f>
        <v>0</v>
      </c>
      <c r="E18">
        <f>'DESCRIPTIVE PLAYER POINTS'!CH20</f>
        <v>0</v>
      </c>
      <c r="F18">
        <f>'DESCRIPTIVE PLAYER POINTS'!DC20</f>
        <v>0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122</v>
      </c>
      <c r="D19">
        <f>'DESCRIPTIVE PLAYER POINTS'!BM21</f>
        <v>0</v>
      </c>
      <c r="E19">
        <f>'DESCRIPTIVE PLAYER POINTS'!CH21</f>
        <v>0</v>
      </c>
      <c r="F19">
        <f>'DESCRIPTIVE PLAYER POINTS'!DC21</f>
        <v>0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106</v>
      </c>
      <c r="D20">
        <f>'DESCRIPTIVE PLAYER POINTS'!BM22</f>
        <v>0</v>
      </c>
      <c r="E20">
        <f>'DESCRIPTIVE PLAYER POINTS'!CH22</f>
        <v>0</v>
      </c>
      <c r="F20">
        <f>'DESCRIPTIVE PLAYER POINTS'!DC22</f>
        <v>0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76</v>
      </c>
      <c r="E21">
        <f>'DESCRIPTIVE PLAYER POINTS'!CH23</f>
        <v>0</v>
      </c>
      <c r="F21">
        <f>'DESCRIPTIVE PLAYER POINTS'!DC23</f>
        <v>0</v>
      </c>
      <c r="G21">
        <f>'DESCRIPTIVE PLAYER POINTS'!DX23</f>
        <v>0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50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95</v>
      </c>
      <c r="D23">
        <f>'DESCRIPTIVE PLAYER POINTS'!BM25</f>
        <v>0</v>
      </c>
      <c r="E23">
        <f>'DESCRIPTIVE PLAYER POINTS'!CH25</f>
        <v>0</v>
      </c>
      <c r="F23">
        <f>'DESCRIPTIVE PLAYER POINTS'!DC25</f>
        <v>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tabSelected="1" workbookViewId="0">
      <selection activeCell="E16" sqref="E16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230</v>
      </c>
      <c r="F1" t="s">
        <v>27</v>
      </c>
      <c r="G1" t="s">
        <v>229</v>
      </c>
      <c r="H1" t="s">
        <v>231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2</v>
      </c>
      <c r="F2">
        <f>_xlfn.XLOOKUP(A2,Table0[PLAYER NAME],Table0[POINTS TALLY],"")</f>
        <v>261</v>
      </c>
      <c r="G2">
        <f>IFERROR(F2/E2,"")</f>
        <v>130.5</v>
      </c>
      <c r="H2">
        <f>MAX('MATCH-WISE PERFORMANCE'!B2:H2)</f>
        <v>181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2</v>
      </c>
      <c r="F3">
        <f>_xlfn.XLOOKUP(A3,Table0[PLAYER NAME],Table0[POINTS TALLY],"")</f>
        <v>-23</v>
      </c>
      <c r="G3">
        <f t="shared" ref="G3:G23" si="0">IFERROR(F3/E3,"")</f>
        <v>-11.5</v>
      </c>
      <c r="H3">
        <f>MAX('MATCH-WISE PERFORMANCE'!B3:H3)</f>
        <v>10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F4">
        <f>_xlfn.XLOOKUP(A4,Table0[PLAYER NAME],Table0[POINTS TALLY],"")</f>
        <v>0</v>
      </c>
      <c r="G4" t="str">
        <f t="shared" si="0"/>
        <v/>
      </c>
      <c r="H4">
        <f>MAX('MATCH-WISE PERFORMANCE'!B4:H4)</f>
        <v>0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2</v>
      </c>
      <c r="F5">
        <f>_xlfn.XLOOKUP(A5,Table0[PLAYER NAME],Table0[POINTS TALLY],"")</f>
        <v>117</v>
      </c>
      <c r="G5">
        <f t="shared" si="0"/>
        <v>58.5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2</v>
      </c>
      <c r="F6">
        <f>_xlfn.XLOOKUP(A6,Table0[PLAYER NAME],Table0[POINTS TALLY],"")</f>
        <v>50</v>
      </c>
      <c r="G6">
        <f t="shared" si="0"/>
        <v>25</v>
      </c>
      <c r="H6">
        <f>MAX('MATCH-WISE PERFORMANCE'!B6:H6)</f>
        <v>75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2</v>
      </c>
      <c r="F7">
        <f>_xlfn.XLOOKUP(A7,Table0[PLAYER NAME],Table0[POINTS TALLY],"")</f>
        <v>11</v>
      </c>
      <c r="G7">
        <f t="shared" si="0"/>
        <v>5.5</v>
      </c>
      <c r="H7">
        <f>MAX('MATCH-WISE PERFORMANCE'!B7:H7)</f>
        <v>20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2</v>
      </c>
      <c r="F8">
        <f>_xlfn.XLOOKUP(A8,Table0[PLAYER NAME],Table0[POINTS TALLY],"")</f>
        <v>175</v>
      </c>
      <c r="G8">
        <f t="shared" si="0"/>
        <v>87.5</v>
      </c>
      <c r="H8">
        <f>MAX('MATCH-WISE PERFORMANCE'!B8:H8)</f>
        <v>125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2</v>
      </c>
      <c r="F9">
        <f>_xlfn.XLOOKUP(A9,Table0[PLAYER NAME],Table0[POINTS TALLY],"")</f>
        <v>20</v>
      </c>
      <c r="G9">
        <f t="shared" si="0"/>
        <v>10</v>
      </c>
      <c r="H9">
        <f>MAX('MATCH-WISE PERFORMANCE'!B9:H9)</f>
        <v>20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2</v>
      </c>
      <c r="F10">
        <f>_xlfn.XLOOKUP(A10,Table0[PLAYER NAME],Table0[POINTS TALLY],"")</f>
        <v>75</v>
      </c>
      <c r="G10">
        <f t="shared" si="0"/>
        <v>37.5</v>
      </c>
      <c r="H10">
        <f>MAX('MATCH-WISE PERFORMANCE'!B10:H10)</f>
        <v>50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2</v>
      </c>
      <c r="F11">
        <f>_xlfn.XLOOKUP(A11,Table0[PLAYER NAME],Table0[POINTS TALLY],"")</f>
        <v>19</v>
      </c>
      <c r="G11">
        <f t="shared" si="0"/>
        <v>9.5</v>
      </c>
      <c r="H11">
        <f>MAX('MATCH-WISE PERFORMANCE'!B11:H11)</f>
        <v>69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3</v>
      </c>
      <c r="F12">
        <f>_xlfn.XLOOKUP(A12,Table0[PLAYER NAME],Table0[POINTS TALLY],"")</f>
        <v>300</v>
      </c>
      <c r="G12">
        <f t="shared" si="0"/>
        <v>100</v>
      </c>
      <c r="H12">
        <f>MAX('MATCH-WISE PERFORMANCE'!B12:H12)</f>
        <v>250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2</v>
      </c>
      <c r="F13">
        <f>_xlfn.XLOOKUP(A13,Table0[PLAYER NAME],Table0[POINTS TALLY],"")</f>
        <v>264</v>
      </c>
      <c r="G13">
        <f t="shared" si="0"/>
        <v>132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2</v>
      </c>
      <c r="F14">
        <f>_xlfn.XLOOKUP(A14,Table0[PLAYER NAME],Table0[POINTS TALLY],"")</f>
        <v>418</v>
      </c>
      <c r="G14">
        <f t="shared" si="0"/>
        <v>209</v>
      </c>
      <c r="H14">
        <f>MAX('MATCH-WISE PERFORMANCE'!B14:H14)</f>
        <v>268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0</v>
      </c>
      <c r="G15" t="str">
        <f t="shared" si="0"/>
        <v/>
      </c>
      <c r="H15">
        <f>MAX('MATCH-WISE PERFORMANCE'!B15:H15)</f>
        <v>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2</v>
      </c>
      <c r="F16">
        <f>_xlfn.XLOOKUP(A16,Table0[PLAYER NAME],Table0[POINTS TALLY],"")</f>
        <v>-7</v>
      </c>
      <c r="G16">
        <f t="shared" si="0"/>
        <v>-3.5</v>
      </c>
      <c r="H16">
        <f>MAX('MATCH-WISE PERFORMANCE'!B16:H16)</f>
        <v>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2</v>
      </c>
      <c r="F17">
        <f>_xlfn.XLOOKUP(A17,Table0[PLAYER NAME],Table0[POINTS TALLY],"")</f>
        <v>400</v>
      </c>
      <c r="G17">
        <f t="shared" si="0"/>
        <v>200</v>
      </c>
      <c r="H17">
        <f>MAX('MATCH-WISE PERFORMANCE'!B17:H17)</f>
        <v>242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2</v>
      </c>
      <c r="F18">
        <f>_xlfn.XLOOKUP(A18,Table0[PLAYER NAME],Table0[POINTS TALLY],"")</f>
        <v>80</v>
      </c>
      <c r="G18">
        <f t="shared" si="0"/>
        <v>40</v>
      </c>
      <c r="H18">
        <f>MAX('MATCH-WISE PERFORMANCE'!B18:H18)</f>
        <v>70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2</v>
      </c>
      <c r="F19">
        <f>_xlfn.XLOOKUP(A19,Table0[PLAYER NAME],Table0[POINTS TALLY],"")</f>
        <v>169</v>
      </c>
      <c r="G19">
        <f t="shared" si="0"/>
        <v>84.5</v>
      </c>
      <c r="H19">
        <f>MAX('MATCH-WISE PERFORMANCE'!B19:H19)</f>
        <v>122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2</v>
      </c>
      <c r="F20">
        <f>_xlfn.XLOOKUP(A20,Table0[PLAYER NAME],Table0[POINTS TALLY],"")</f>
        <v>106</v>
      </c>
      <c r="G20">
        <f t="shared" si="0"/>
        <v>53</v>
      </c>
      <c r="H20">
        <f>MAX('MATCH-WISE PERFORMANCE'!B20:H20)</f>
        <v>106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3</v>
      </c>
      <c r="F21">
        <f>_xlfn.XLOOKUP(A21,Table0[PLAYER NAME],Table0[POINTS TALLY],"")</f>
        <v>159</v>
      </c>
      <c r="G21">
        <f t="shared" si="0"/>
        <v>53</v>
      </c>
      <c r="H21">
        <f>MAX('MATCH-WISE PERFORMANCE'!B21:H21)</f>
        <v>85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2</v>
      </c>
      <c r="F22">
        <f>_xlfn.XLOOKUP(A22,Table0[PLAYER NAME],Table0[POINTS TALLY],"")</f>
        <v>200</v>
      </c>
      <c r="G22">
        <f t="shared" si="0"/>
        <v>100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2</v>
      </c>
      <c r="F23">
        <f>_xlfn.XLOOKUP(A23,Table0[PLAYER NAME],Table0[POINTS TALLY],"")</f>
        <v>195</v>
      </c>
      <c r="G23">
        <f t="shared" si="0"/>
        <v>97.5</v>
      </c>
      <c r="H23">
        <f>MAX('MATCH-WISE PERFORMANCE'!B23:H23)</f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7"/>
  <sheetViews>
    <sheetView showGridLines="0" workbookViewId="0">
      <selection activeCell="A56" sqref="A56"/>
    </sheetView>
  </sheetViews>
  <sheetFormatPr defaultRowHeight="14.4" x14ac:dyDescent="0.3"/>
  <sheetData>
    <row r="1" spans="1:1" x14ac:dyDescent="0.3">
      <c r="A1" t="s">
        <v>289</v>
      </c>
    </row>
    <row r="3" spans="1:1" x14ac:dyDescent="0.3">
      <c r="A3" t="s">
        <v>207</v>
      </c>
    </row>
    <row r="5" spans="1:1" x14ac:dyDescent="0.3">
      <c r="A5" t="s">
        <v>291</v>
      </c>
    </row>
    <row r="7" spans="1:1" x14ac:dyDescent="0.3">
      <c r="A7" t="s">
        <v>17</v>
      </c>
    </row>
    <row r="8" spans="1:1" x14ac:dyDescent="0.3">
      <c r="A8" t="s">
        <v>234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235</v>
      </c>
    </row>
    <row r="22" spans="1:1" x14ac:dyDescent="0.3">
      <c r="A22" t="s">
        <v>212</v>
      </c>
    </row>
    <row r="23" spans="1:1" x14ac:dyDescent="0.3">
      <c r="A23" t="s">
        <v>236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292</v>
      </c>
    </row>
    <row r="31" spans="1:1" x14ac:dyDescent="0.3">
      <c r="A31" t="s">
        <v>239</v>
      </c>
    </row>
    <row r="32" spans="1:1" x14ac:dyDescent="0.3">
      <c r="A32" t="s">
        <v>237</v>
      </c>
    </row>
    <row r="33" spans="1:1" x14ac:dyDescent="0.3">
      <c r="A33" t="s">
        <v>238</v>
      </c>
    </row>
    <row r="35" spans="1:1" x14ac:dyDescent="0.3">
      <c r="A35" t="s">
        <v>299</v>
      </c>
    </row>
    <row r="37" spans="1:1" x14ac:dyDescent="0.3">
      <c r="A37" t="s">
        <v>24</v>
      </c>
    </row>
    <row r="38" spans="1:1" x14ac:dyDescent="0.3">
      <c r="A38" t="s">
        <v>240</v>
      </c>
    </row>
    <row r="40" spans="1:1" x14ac:dyDescent="0.3">
      <c r="A40" t="s">
        <v>300</v>
      </c>
    </row>
    <row r="42" spans="1:1" x14ac:dyDescent="0.3">
      <c r="A42" t="s">
        <v>215</v>
      </c>
    </row>
    <row r="43" spans="1:1" x14ac:dyDescent="0.3">
      <c r="A43" t="s">
        <v>285</v>
      </c>
    </row>
    <row r="44" spans="1:1" x14ac:dyDescent="0.3">
      <c r="A44" t="s">
        <v>284</v>
      </c>
    </row>
    <row r="45" spans="1:1" x14ac:dyDescent="0.3">
      <c r="A45" t="s">
        <v>283</v>
      </c>
    </row>
    <row r="46" spans="1:1" x14ac:dyDescent="0.3">
      <c r="A46" t="s">
        <v>282</v>
      </c>
    </row>
    <row r="47" spans="1:1" x14ac:dyDescent="0.3">
      <c r="A47" t="s">
        <v>216</v>
      </c>
    </row>
    <row r="49" spans="1:1" x14ac:dyDescent="0.3">
      <c r="A49" t="s">
        <v>301</v>
      </c>
    </row>
    <row r="51" spans="1:1" x14ac:dyDescent="0.3">
      <c r="A51" t="s">
        <v>286</v>
      </c>
    </row>
    <row r="52" spans="1:1" x14ac:dyDescent="0.3">
      <c r="A52" t="s">
        <v>287</v>
      </c>
    </row>
    <row r="54" spans="1:1" x14ac:dyDescent="0.3">
      <c r="A54" t="s">
        <v>302</v>
      </c>
    </row>
    <row r="55" spans="1:1" x14ac:dyDescent="0.3">
      <c r="A55" t="s">
        <v>305</v>
      </c>
    </row>
    <row r="56" spans="1:1" x14ac:dyDescent="0.3">
      <c r="A56" t="s">
        <v>303</v>
      </c>
    </row>
    <row r="57" spans="1:1" x14ac:dyDescent="0.3">
      <c r="A5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PICK AND PREDICTIONS</vt:lpstr>
      <vt:lpstr>LEADERBOARD</vt:lpstr>
      <vt:lpstr>NEWS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2025-09-17T06:46:10Z</dcterms:modified>
  <cp:category/>
  <cp:contentStatus/>
</cp:coreProperties>
</file>