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B4E2E469-342B-4B4A-A401-A586857ABC9B}" xr6:coauthVersionLast="47" xr6:coauthVersionMax="47" xr10:uidLastSave="{00000000-0000-0000-0000-000000000000}"/>
  <bookViews>
    <workbookView xWindow="-108" yWindow="-108" windowWidth="23256" windowHeight="13896" tabRatio="736" firstSheet="5" activeTab="6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4" i="10" l="1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CH7" i="10"/>
  <c r="CH9" i="10"/>
  <c r="CH12" i="10"/>
  <c r="CH15" i="10"/>
  <c r="CH17" i="10"/>
  <c r="BM10" i="10"/>
  <c r="BM21" i="10"/>
  <c r="BM2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7" i="16" s="1"/>
  <c r="B4" i="15"/>
  <c r="L5" i="16" s="1"/>
  <c r="B5" i="15"/>
  <c r="L8" i="16" s="1"/>
  <c r="B6" i="15"/>
  <c r="L3" i="16" s="1"/>
  <c r="B7" i="15"/>
  <c r="L2" i="16" s="1"/>
  <c r="B8" i="15"/>
  <c r="L4" i="16" s="1"/>
  <c r="B2" i="15"/>
  <c r="L6" i="16" s="1"/>
  <c r="B3" i="14"/>
  <c r="K7" i="16" s="1"/>
  <c r="B4" i="14"/>
  <c r="K5" i="16" s="1"/>
  <c r="B5" i="14"/>
  <c r="K8" i="16" s="1"/>
  <c r="B6" i="14"/>
  <c r="K3" i="16" s="1"/>
  <c r="B7" i="14"/>
  <c r="K2" i="16" s="1"/>
  <c r="B8" i="14"/>
  <c r="K4" i="16" s="1"/>
  <c r="B2" i="14"/>
  <c r="K6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5" i="13"/>
  <c r="E7" i="13"/>
  <c r="E10" i="13"/>
  <c r="E13" i="13"/>
  <c r="E15" i="13"/>
  <c r="D8" i="13"/>
  <c r="D19" i="13"/>
  <c r="D22" i="13"/>
  <c r="C4" i="13"/>
  <c r="C15" i="13"/>
  <c r="H2" i="13"/>
  <c r="G2" i="13"/>
  <c r="F2" i="13"/>
  <c r="B4" i="13"/>
  <c r="B9" i="13"/>
  <c r="B15" i="13"/>
  <c r="B20" i="13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F5" i="10"/>
  <c r="CF6" i="10"/>
  <c r="CF7" i="10"/>
  <c r="CF8" i="10"/>
  <c r="CF9" i="10"/>
  <c r="CF10" i="10"/>
  <c r="CF11" i="10"/>
  <c r="CF12" i="10"/>
  <c r="CF13" i="10"/>
  <c r="CF14" i="10"/>
  <c r="CF15" i="10"/>
  <c r="CF17" i="10"/>
  <c r="CF18" i="10"/>
  <c r="CF19" i="10"/>
  <c r="CF20" i="10"/>
  <c r="CF22" i="10"/>
  <c r="CF25" i="10"/>
  <c r="CE4" i="10"/>
  <c r="CF4" i="10" s="1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F16" i="10" s="1"/>
  <c r="CE17" i="10"/>
  <c r="CE18" i="10"/>
  <c r="CE19" i="10"/>
  <c r="CE20" i="10"/>
  <c r="CE21" i="10"/>
  <c r="CF21" i="10" s="1"/>
  <c r="CE22" i="10"/>
  <c r="CE23" i="10"/>
  <c r="CF23" i="10" s="1"/>
  <c r="CE24" i="10"/>
  <c r="CF24" i="10" s="1"/>
  <c r="CE25" i="10"/>
  <c r="CA4" i="10"/>
  <c r="CA5" i="10"/>
  <c r="CA6" i="10"/>
  <c r="CA7" i="10"/>
  <c r="CA8" i="10"/>
  <c r="CA9" i="10"/>
  <c r="CA11" i="10"/>
  <c r="CA12" i="10"/>
  <c r="CA13" i="10"/>
  <c r="CA15" i="10"/>
  <c r="CA16" i="10"/>
  <c r="CA17" i="10"/>
  <c r="CA18" i="10"/>
  <c r="CA20" i="10"/>
  <c r="CA21" i="10"/>
  <c r="CA22" i="10"/>
  <c r="CA23" i="10"/>
  <c r="CA24" i="10"/>
  <c r="CA25" i="10"/>
  <c r="BZ4" i="10"/>
  <c r="BZ5" i="10"/>
  <c r="BZ7" i="10"/>
  <c r="BZ8" i="10"/>
  <c r="BZ9" i="10"/>
  <c r="BZ10" i="10"/>
  <c r="CA10" i="10" s="1"/>
  <c r="CH10" i="10" s="1"/>
  <c r="E8" i="13" s="1"/>
  <c r="BZ12" i="10"/>
  <c r="BZ13" i="10"/>
  <c r="BZ15" i="10"/>
  <c r="BZ16" i="10"/>
  <c r="BZ17" i="10"/>
  <c r="BZ18" i="10"/>
  <c r="BZ20" i="10"/>
  <c r="BZ21" i="10"/>
  <c r="BZ22" i="10"/>
  <c r="BZ23" i="10"/>
  <c r="BZ25" i="10"/>
  <c r="BY4" i="10"/>
  <c r="BY5" i="10"/>
  <c r="BY6" i="10"/>
  <c r="BZ6" i="10" s="1"/>
  <c r="BY7" i="10"/>
  <c r="BY8" i="10"/>
  <c r="BY9" i="10"/>
  <c r="BY10" i="10"/>
  <c r="BY11" i="10"/>
  <c r="BZ11" i="10" s="1"/>
  <c r="BY12" i="10"/>
  <c r="BY13" i="10"/>
  <c r="BY14" i="10"/>
  <c r="BZ14" i="10" s="1"/>
  <c r="CA14" i="10" s="1"/>
  <c r="CH14" i="10" s="1"/>
  <c r="E12" i="13" s="1"/>
  <c r="BY15" i="10"/>
  <c r="BY16" i="10"/>
  <c r="BY17" i="10"/>
  <c r="BY18" i="10"/>
  <c r="BY19" i="10"/>
  <c r="BZ19" i="10" s="1"/>
  <c r="CA19" i="10" s="1"/>
  <c r="CH19" i="10" s="1"/>
  <c r="E17" i="13" s="1"/>
  <c r="BY20" i="10"/>
  <c r="BY21" i="10"/>
  <c r="BY22" i="10"/>
  <c r="BY23" i="10"/>
  <c r="BY24" i="10"/>
  <c r="BZ24" i="10" s="1"/>
  <c r="BY25" i="10"/>
  <c r="BT6" i="10"/>
  <c r="BT7" i="10"/>
  <c r="BT9" i="10"/>
  <c r="BT10" i="10"/>
  <c r="BT12" i="10"/>
  <c r="BT14" i="10"/>
  <c r="BT15" i="10"/>
  <c r="BT17" i="10"/>
  <c r="BT19" i="10"/>
  <c r="BT24" i="10"/>
  <c r="BS6" i="10"/>
  <c r="BS7" i="10"/>
  <c r="BS9" i="10"/>
  <c r="BS10" i="10"/>
  <c r="BS11" i="10"/>
  <c r="BT11" i="10" s="1"/>
  <c r="BS12" i="10"/>
  <c r="BS14" i="10"/>
  <c r="BS15" i="10"/>
  <c r="BS16" i="10"/>
  <c r="BT16" i="10" s="1"/>
  <c r="BS17" i="10"/>
  <c r="BS19" i="10"/>
  <c r="BS20" i="10"/>
  <c r="BT20" i="10" s="1"/>
  <c r="CH20" i="10" s="1"/>
  <c r="E18" i="13" s="1"/>
  <c r="BS21" i="10"/>
  <c r="BT21" i="10" s="1"/>
  <c r="BS22" i="10"/>
  <c r="BT22" i="10" s="1"/>
  <c r="CH22" i="10" s="1"/>
  <c r="E20" i="13" s="1"/>
  <c r="BS24" i="10"/>
  <c r="BS25" i="10"/>
  <c r="BT25" i="10" s="1"/>
  <c r="BR4" i="10"/>
  <c r="BS4" i="10" s="1"/>
  <c r="BT4" i="10" s="1"/>
  <c r="BR5" i="10"/>
  <c r="BS5" i="10" s="1"/>
  <c r="BT5" i="10" s="1"/>
  <c r="CH5" i="10" s="1"/>
  <c r="E3" i="13" s="1"/>
  <c r="BR6" i="10"/>
  <c r="BR7" i="10"/>
  <c r="BR8" i="10"/>
  <c r="BS8" i="10" s="1"/>
  <c r="BT8" i="10" s="1"/>
  <c r="BR9" i="10"/>
  <c r="BR10" i="10"/>
  <c r="BR11" i="10"/>
  <c r="BR12" i="10"/>
  <c r="BR13" i="10"/>
  <c r="BS13" i="10" s="1"/>
  <c r="BT13" i="10" s="1"/>
  <c r="CH13" i="10" s="1"/>
  <c r="E11" i="13" s="1"/>
  <c r="BR14" i="10"/>
  <c r="BR15" i="10"/>
  <c r="BR16" i="10"/>
  <c r="BR17" i="10"/>
  <c r="BR18" i="10"/>
  <c r="BS18" i="10" s="1"/>
  <c r="BR19" i="10"/>
  <c r="BR20" i="10"/>
  <c r="BR21" i="10"/>
  <c r="BR22" i="10"/>
  <c r="BR23" i="10"/>
  <c r="BS23" i="10" s="1"/>
  <c r="BT23" i="10" s="1"/>
  <c r="BR24" i="10"/>
  <c r="BR25" i="10"/>
  <c r="BK4" i="10"/>
  <c r="BK5" i="10"/>
  <c r="BK6" i="10"/>
  <c r="BK7" i="10"/>
  <c r="BK9" i="10"/>
  <c r="BK10" i="10"/>
  <c r="BK11" i="10"/>
  <c r="BK12" i="10"/>
  <c r="BK13" i="10"/>
  <c r="BK14" i="10"/>
  <c r="BK15" i="10"/>
  <c r="BK16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K8" i="10" s="1"/>
  <c r="BJ9" i="10"/>
  <c r="BJ10" i="10"/>
  <c r="BJ11" i="10"/>
  <c r="BJ12" i="10"/>
  <c r="BJ13" i="10"/>
  <c r="BJ14" i="10"/>
  <c r="BJ15" i="10"/>
  <c r="BJ16" i="10"/>
  <c r="BJ17" i="10"/>
  <c r="BK17" i="10" s="1"/>
  <c r="BM17" i="10" s="1"/>
  <c r="BJ18" i="10"/>
  <c r="BJ19" i="10"/>
  <c r="BJ20" i="10"/>
  <c r="BJ21" i="10"/>
  <c r="BJ22" i="10"/>
  <c r="BJ23" i="10"/>
  <c r="BJ24" i="10"/>
  <c r="BJ25" i="10"/>
  <c r="BF5" i="10"/>
  <c r="BF9" i="10"/>
  <c r="BF10" i="10"/>
  <c r="BF11" i="10"/>
  <c r="BF12" i="10"/>
  <c r="BF16" i="10"/>
  <c r="BF17" i="10"/>
  <c r="BF19" i="10"/>
  <c r="BF20" i="10"/>
  <c r="BF21" i="10"/>
  <c r="BF23" i="10"/>
  <c r="BF24" i="10"/>
  <c r="BE4" i="10"/>
  <c r="BF4" i="10" s="1"/>
  <c r="BE5" i="10"/>
  <c r="BE6" i="10"/>
  <c r="BF6" i="10" s="1"/>
  <c r="BM6" i="10" s="1"/>
  <c r="D4" i="13" s="1"/>
  <c r="BE9" i="10"/>
  <c r="BE10" i="10"/>
  <c r="BE11" i="10"/>
  <c r="BE12" i="10"/>
  <c r="BE14" i="10"/>
  <c r="BF14" i="10" s="1"/>
  <c r="BM14" i="10" s="1"/>
  <c r="D12" i="13" s="1"/>
  <c r="BE15" i="10"/>
  <c r="BF15" i="10" s="1"/>
  <c r="BE16" i="10"/>
  <c r="BE17" i="10"/>
  <c r="BE19" i="10"/>
  <c r="BE20" i="10"/>
  <c r="BE21" i="10"/>
  <c r="BE22" i="10"/>
  <c r="BF22" i="10" s="1"/>
  <c r="BE23" i="10"/>
  <c r="BE24" i="10"/>
  <c r="BE25" i="10"/>
  <c r="BF25" i="10" s="1"/>
  <c r="BM25" i="10" s="1"/>
  <c r="D23" i="13" s="1"/>
  <c r="BD4" i="10"/>
  <c r="BD5" i="10"/>
  <c r="BD6" i="10"/>
  <c r="BD7" i="10"/>
  <c r="BE7" i="10" s="1"/>
  <c r="BF7" i="10" s="1"/>
  <c r="BM7" i="10" s="1"/>
  <c r="D5" i="13" s="1"/>
  <c r="BD8" i="10"/>
  <c r="BE8" i="10" s="1"/>
  <c r="BF8" i="10" s="1"/>
  <c r="BD9" i="10"/>
  <c r="BD10" i="10"/>
  <c r="BD11" i="10"/>
  <c r="BD12" i="10"/>
  <c r="BD13" i="10"/>
  <c r="BE13" i="10" s="1"/>
  <c r="BF13" i="10" s="1"/>
  <c r="BD14" i="10"/>
  <c r="BD15" i="10"/>
  <c r="BD16" i="10"/>
  <c r="BD17" i="10"/>
  <c r="BD18" i="10"/>
  <c r="BE18" i="10" s="1"/>
  <c r="BF18" i="10" s="1"/>
  <c r="BD19" i="10"/>
  <c r="BD20" i="10"/>
  <c r="BD21" i="10"/>
  <c r="BD22" i="10"/>
  <c r="BD23" i="10"/>
  <c r="BD24" i="10"/>
  <c r="BD25" i="10"/>
  <c r="AY6" i="10"/>
  <c r="AY7" i="10"/>
  <c r="AY10" i="10"/>
  <c r="AY14" i="10"/>
  <c r="AY17" i="10"/>
  <c r="AY20" i="10"/>
  <c r="BM20" i="10" s="1"/>
  <c r="D18" i="13" s="1"/>
  <c r="AY21" i="10"/>
  <c r="AY24" i="10"/>
  <c r="AY25" i="10"/>
  <c r="AX4" i="10"/>
  <c r="AY4" i="10" s="1"/>
  <c r="AX5" i="10"/>
  <c r="AY5" i="10" s="1"/>
  <c r="BM5" i="10" s="1"/>
  <c r="D3" i="13" s="1"/>
  <c r="AX6" i="10"/>
  <c r="AX7" i="10"/>
  <c r="AX8" i="10"/>
  <c r="AY8" i="10" s="1"/>
  <c r="AX9" i="10"/>
  <c r="AY9" i="10" s="1"/>
  <c r="AX10" i="10"/>
  <c r="AX13" i="10"/>
  <c r="AY13" i="10" s="1"/>
  <c r="AX14" i="10"/>
  <c r="AX15" i="10"/>
  <c r="AY15" i="10" s="1"/>
  <c r="AX16" i="10"/>
  <c r="AY16" i="10" s="1"/>
  <c r="BM16" i="10" s="1"/>
  <c r="D14" i="13" s="1"/>
  <c r="AX17" i="10"/>
  <c r="AX20" i="10"/>
  <c r="AX21" i="10"/>
  <c r="AX22" i="10"/>
  <c r="AY22" i="10" s="1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X11" i="10" s="1"/>
  <c r="AY11" i="10" s="1"/>
  <c r="BM11" i="10" s="1"/>
  <c r="D9" i="13" s="1"/>
  <c r="AW12" i="10"/>
  <c r="AX12" i="10" s="1"/>
  <c r="AY12" i="10" s="1"/>
  <c r="AW13" i="10"/>
  <c r="AW14" i="10"/>
  <c r="AW15" i="10"/>
  <c r="AW16" i="10"/>
  <c r="AW17" i="10"/>
  <c r="AW18" i="10"/>
  <c r="AX18" i="10" s="1"/>
  <c r="AY18" i="10" s="1"/>
  <c r="AW19" i="10"/>
  <c r="AX19" i="10" s="1"/>
  <c r="AY19" i="10" s="1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CH21" i="10" l="1"/>
  <c r="E19" i="13" s="1"/>
  <c r="CH24" i="10"/>
  <c r="E22" i="13" s="1"/>
  <c r="CH4" i="10"/>
  <c r="E2" i="13" s="1"/>
  <c r="CH8" i="10"/>
  <c r="E6" i="13" s="1"/>
  <c r="BT18" i="10"/>
  <c r="CH18" i="10" s="1"/>
  <c r="E16" i="13" s="1"/>
  <c r="CH16" i="10"/>
  <c r="E14" i="13" s="1"/>
  <c r="CH11" i="10"/>
  <c r="E9" i="13" s="1"/>
  <c r="CH25" i="10"/>
  <c r="E23" i="13" s="1"/>
  <c r="CH6" i="10"/>
  <c r="E4" i="13" s="1"/>
  <c r="H4" i="12" s="1"/>
  <c r="CH23" i="10"/>
  <c r="E21" i="13" s="1"/>
  <c r="B17" i="10"/>
  <c r="D15" i="13"/>
  <c r="BM22" i="10"/>
  <c r="D20" i="13" s="1"/>
  <c r="BM8" i="10"/>
  <c r="D6" i="13" s="1"/>
  <c r="BM4" i="10"/>
  <c r="D2" i="13" s="1"/>
  <c r="BM9" i="10"/>
  <c r="D7" i="13" s="1"/>
  <c r="BM15" i="10"/>
  <c r="D13" i="13" s="1"/>
  <c r="BM19" i="10"/>
  <c r="D17" i="13" s="1"/>
  <c r="BM13" i="10"/>
  <c r="D11" i="13" s="1"/>
  <c r="BM12" i="10"/>
  <c r="D10" i="13" s="1"/>
  <c r="BM18" i="10"/>
  <c r="D16" i="13" s="1"/>
  <c r="AR9" i="10"/>
  <c r="C7" i="13" s="1"/>
  <c r="AR15" i="10"/>
  <c r="C13" i="13" s="1"/>
  <c r="AR7" i="10"/>
  <c r="C5" i="13" s="1"/>
  <c r="H15" i="12"/>
  <c r="F15" i="12"/>
  <c r="G15" i="12" s="1"/>
  <c r="J3" i="16"/>
  <c r="C3" i="13"/>
  <c r="C23" i="13"/>
  <c r="C9" i="13"/>
  <c r="H9" i="12" s="1"/>
  <c r="B11" i="10"/>
  <c r="C6" i="13"/>
  <c r="C2" i="13"/>
  <c r="C11" i="13"/>
  <c r="C17" i="13"/>
  <c r="B22" i="10"/>
  <c r="C20" i="13"/>
  <c r="H20" i="12" s="1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B6" i="10" l="1"/>
  <c r="F9" i="12"/>
  <c r="G9" i="12" s="1"/>
  <c r="J4" i="16"/>
  <c r="F20" i="12"/>
  <c r="G20" i="12" s="1"/>
  <c r="G4" i="16"/>
  <c r="B25" i="10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F4" i="12" l="1"/>
  <c r="G4" i="12" s="1"/>
  <c r="I6" i="16"/>
  <c r="H7" i="16"/>
  <c r="H5" i="16"/>
  <c r="F5" i="12"/>
  <c r="G5" i="12" s="1"/>
  <c r="H4" i="16"/>
  <c r="F13" i="12"/>
  <c r="G13" i="12" s="1"/>
  <c r="F7" i="12"/>
  <c r="G7" i="12" s="1"/>
  <c r="G8" i="16"/>
  <c r="G3" i="16"/>
  <c r="F23" i="12"/>
  <c r="G23" i="12" s="1"/>
  <c r="I3" i="16"/>
  <c r="F14" i="12"/>
  <c r="G14" i="12" s="1"/>
  <c r="G2" i="16"/>
  <c r="G5" i="16"/>
  <c r="F3" i="12"/>
  <c r="G3" i="12" s="1"/>
  <c r="J8" i="16"/>
  <c r="I7" i="16"/>
  <c r="F10" i="12"/>
  <c r="G10" i="12" s="1"/>
  <c r="J7" i="16"/>
  <c r="F17" i="12"/>
  <c r="G17" i="12" s="1"/>
  <c r="H3" i="16"/>
  <c r="J2" i="16"/>
  <c r="F16" i="12"/>
  <c r="G16" i="12" s="1"/>
  <c r="J5" i="16"/>
  <c r="I8" i="16"/>
  <c r="F11" i="12"/>
  <c r="G11" i="12" s="1"/>
  <c r="I4" i="16"/>
  <c r="J6" i="16"/>
  <c r="F21" i="12"/>
  <c r="G21" i="12" s="1"/>
  <c r="F12" i="12"/>
  <c r="G12" i="12" s="1"/>
  <c r="H2" i="16"/>
  <c r="F8" i="12"/>
  <c r="G8" i="12" s="1"/>
  <c r="H6" i="16"/>
  <c r="I5" i="16"/>
  <c r="F6" i="12"/>
  <c r="G6" i="12" s="1"/>
  <c r="F22" i="12"/>
  <c r="G22" i="12" s="1"/>
  <c r="H8" i="16"/>
  <c r="G6" i="16"/>
  <c r="F18" i="12"/>
  <c r="G18" i="12" s="1"/>
  <c r="F19" i="12"/>
  <c r="G19" i="12" s="1"/>
  <c r="G7" i="16"/>
  <c r="I2" i="16"/>
  <c r="F2" i="12"/>
  <c r="G2" i="12" s="1"/>
  <c r="D4" i="16" l="1"/>
  <c r="D8" i="16"/>
  <c r="D3" i="16"/>
  <c r="D7" i="16"/>
  <c r="D6" i="16"/>
  <c r="D5" i="16"/>
  <c r="D2" i="16"/>
  <c r="F6" i="16" l="1"/>
  <c r="F4" i="16"/>
  <c r="F8" i="16"/>
  <c r="A2" i="16"/>
  <c r="B35" i="10" s="1"/>
  <c r="A6" i="16"/>
  <c r="B30" i="10" s="1"/>
  <c r="F2" i="16"/>
  <c r="F7" i="16"/>
  <c r="A7" i="16"/>
  <c r="B7" i="16" s="1"/>
  <c r="A5" i="16"/>
  <c r="B5" i="16" s="1"/>
  <c r="A3" i="16"/>
  <c r="B3" i="16" s="1"/>
  <c r="A4" i="16"/>
  <c r="F3" i="16"/>
  <c r="F5" i="16"/>
  <c r="A8" i="16"/>
  <c r="B8" i="16" s="1"/>
  <c r="B2" i="16" l="1"/>
  <c r="B6" i="16"/>
  <c r="E2" i="16" a="1"/>
  <c r="E2" i="16" s="1"/>
  <c r="B31" i="10"/>
  <c r="E3" i="16" a="1"/>
  <c r="E3" i="16" s="1"/>
  <c r="B32" i="10"/>
  <c r="B33" i="10"/>
  <c r="E6" i="16" a="1"/>
  <c r="E6" i="16" s="1"/>
  <c r="B4" i="16"/>
  <c r="E5" i="16" a="1"/>
  <c r="E5" i="16" s="1"/>
  <c r="B36" i="10"/>
  <c r="B34" i="10"/>
  <c r="E4" i="16" a="1"/>
  <c r="E4" i="16" s="1"/>
  <c r="E8" i="16" a="1"/>
  <c r="E8" i="16" s="1"/>
  <c r="E7" i="16" a="1"/>
  <c r="E7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<sst xmlns="http://schemas.openxmlformats.org/spreadsheetml/2006/main" count="1123" uniqueCount="340">
  <si>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</si>
  <si>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</si>
  <si>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</si>
  <si>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</si>
  <si>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</si>
  <si>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</si>
  <si>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</si>
  <si>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</si>
  <si>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</si>
  <si>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</si>
  <si>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</si>
  <si>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</si>
  <si>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</si>
  <si>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</si>
  <si>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</si>
  <si>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</si>
  <si>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</si>
  <si>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</si>
  <si>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</si>
  <si>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</si>
  <si>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</si>
  <si>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</si>
  <si>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</si>
  <si>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</si>
  <si>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</si>
  <si>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</si>
  <si>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</si>
  <si>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</si>
  <si>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</si>
  <si>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</si>
  <si>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</si>
  <si>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</si>
  <si>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</si>
  <si>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</si>
  <si>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</si>
  <si>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</si>
  <si>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</si>
  <si>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</si>
  <si>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</si>
  <si>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</si>
  <si>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</si>
  <si>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</si>
  <si>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</si>
  <si>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</si>
  <si>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</si>
  <si>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</si>
  <si>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</si>
  <si>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</si>
  <si>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</si>
  <si>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</si>
  <si>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</si>
  <si>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</si>
  <si>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</si>
  <si>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</si>
  <si>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</si>
  <si>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</si>
  <si>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</si>
  <si>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</si>
  <si>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</si>
  <si>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</si>
  <si>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</si>
  <si>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</si>
  <si>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</si>
  <si>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</si>
  <si>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</si>
  <si>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</si>
  <si>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</si>
  <si>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</si>
  <si>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</si>
  <si>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</si>
  <si>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</si>
  <si>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</si>
  <si>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</si>
  <si>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</si>
  <si>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</si>
  <si>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</si>
  <si>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</si>
  <si>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</si>
  <si>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</si>
  <si>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</si>
  <si>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</si>
  <si>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</si>
  <si>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</si>
  <si>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</si>
  <si>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</si>
  <si>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</si>
  <si>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</si>
  <si>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</si>
  <si>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</si>
  <si>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</si>
  <si>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</si>
  <si>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</si>
  <si>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</si>
  <si>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</si>
  <si>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</si>
  <si>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</si>
  <si>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</si>
  <si>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</si>
  <si>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</si>
  <si>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</si>
  <si>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</si>
  <si>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</si>
  <si>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</si>
  <si>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</si>
  <si>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</si>
  <si>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</si>
  <si>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</si>
  <si>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</si>
  <si>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</si>
  <si>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</si>
  <si>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</si>
  <si>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</si>
  <si>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</si>
  <si>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</si>
  <si>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</si>
  <si>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</si>
  <si>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</si>
  <si>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</si>
  <si>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</si>
  <si>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</si>
  <si>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</si>
  <si>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</si>
  <si>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</si>
  <si>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</si>
  <si>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</si>
  <si>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</si>
  <si>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</si>
  <si>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</si>
  <si>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</si>
  <si>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</si>
  <si>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</si>
  <si>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</si>
  <si>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</si>
  <si>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</si>
  <si>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</si>
  <si>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</si>
  <si>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</si>
  <si>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</si>
  <si>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</si>
  <si>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</si>
  <si>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</si>
  <si>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</si>
  <si>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</si>
  <si>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</si>
  <si>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</si>
  <si>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</si>
  <si>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</si>
  <si>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</si>
  <si>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</si>
  <si>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</si>
  <si>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</si>
  <si>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</si>
  <si>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</si>
  <si>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</si>
  <si>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</si>
  <si>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</si>
  <si>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</si>
  <si>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</si>
  <si>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</si>
  <si>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</si>
  <si>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</si>
  <si>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</si>
  <si>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</si>
  <si>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</si>
  <si>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</si>
  <si>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</si>
  <si>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</si>
  <si>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</si>
  <si>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</si>
  <si>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</si>
  <si>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</si>
  <si>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</si>
  <si>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</si>
  <si>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</si>
  <si>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</si>
  <si>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</si>
  <si>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</si>
  <si>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</si>
  <si>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</si>
  <si>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</si>
  <si>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</si>
  <si>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</si>
  <si>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</si>
  <si>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</si>
  <si>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</si>
  <si>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</si>
  <si>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</si>
  <si>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</si>
  <si>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</si>
  <si>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</si>
  <si>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</si>
  <si>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</si>
  <si>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</si>
  <si>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</si>
  <si>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</si>
  <si>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</si>
  <si>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</si>
  <si>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</si>
  <si>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</si>
  <si>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</si>
  <si>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</si>
  <si>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</si>
  <si>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</si>
  <si>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</si>
  <si>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</si>
  <si>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</si>
  <si>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</si>
  <si>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</si>
  <si>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</si>
  <si>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</si>
  <si>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</si>
  <si>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</si>
  <si>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</si>
  <si>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</si>
  <si>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</si>
  <si>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</si>
  <si>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</si>
  <si>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</si>
  <si>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</si>
  <si>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</si>
  <si>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</si>
  <si>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</si>
  <si>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</si>
  <si>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</si>
  <si>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</si>
  <si>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</si>
  <si>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</si>
  <si>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</si>
  <si>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</si>
  <si>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</si>
  <si>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</si>
  <si>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</si>
  <si>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</si>
  <si>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</si>
  <si>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</si>
  <si>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</si>
  <si>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</si>
  <si>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</si>
  <si>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</si>
  <si>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</si>
  <si>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</si>
  <si>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</si>
  <si>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</si>
  <si>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</si>
  <si>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</si>
  <si>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</si>
  <si>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</si>
  <si>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</si>
  <si>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</si>
  <si>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</si>
  <si>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</si>
  <si>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</si>
  <si>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</si>
  <si>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</si>
  <si>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</si>
  <si>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</si>
  <si>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</si>
  <si>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</si>
  <si>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</si>
  <si>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</si>
  <si>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</si>
  <si>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</si>
  <si>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</si>
  <si>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</si>
  <si>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</si>
  <si>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</si>
  <si>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</si>
  <si>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</si>
  <si>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</si>
  <si>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</si>
  <si>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</si>
  <si>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</si>
  <si>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</si>
  <si>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</si>
  <si>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</si>
  <si>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</si>
  <si>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</si>
  <si>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</si>
  <si>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</si>
  <si>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</si>
  <si>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</si>
  <si>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</si>
  <si>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</si>
  <si>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</si>
  <si>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</si>
  <si>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</si>
  <si>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</si>
  <si>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</si>
  <si>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</si>
  <si>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</si>
  <si>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</si>
  <si>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</si>
  <si>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</si>
  <si>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</si>
  <si>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</si>
  <si>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</si>
  <si>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</si>
  <si>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</si>
  <si>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</si>
  <si>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</si>
  <si>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</si>
  <si>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</si>
  <si>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</si>
  <si>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</si>
  <si>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</si>
  <si>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</si>
  <si>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</si>
  <si>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AS OF NOW, IT'S A MID-TABLE DOGFIGHT - EVERY POINT COUNTS!...</t>
  </si>
  <si>
    <t>SONG LINES:</t>
  </si>
  <si>
    <t>-----------------</t>
  </si>
  <si>
    <t>29*</t>
  </si>
  <si>
    <t>6*</t>
  </si>
  <si>
    <t>26*</t>
  </si>
  <si>
    <t>17*</t>
  </si>
  <si>
    <t>30*</t>
  </si>
  <si>
    <t>SUPER 4s PRED.</t>
  </si>
  <si>
    <t>NO CHANGE IN STANDINGS OVER A WEEK</t>
  </si>
  <si>
    <t>Everybody listen listen listen</t>
  </si>
  <si>
    <t>Make way for the king</t>
  </si>
  <si>
    <t>Just watch the way</t>
  </si>
  <si>
    <t>He is gonna swing… alright</t>
  </si>
  <si>
    <t>Endhan ellai thaandum kaatrivan</t>
  </si>
  <si>
    <t>Kaattai erikkum neruppivan</t>
  </si>
  <si>
    <t>Kai pattal kothikkum neer ivan</t>
  </si>
  <si>
    <t>He is on a mission</t>
  </si>
  <si>
    <t>You can never stop him</t>
  </si>
  <si>
    <t>He is a human tornado</t>
  </si>
  <si>
    <t>Everybody listen</t>
  </si>
  <si>
    <t>He has got the right decision</t>
  </si>
  <si>
    <t>You cannot mess with him</t>
  </si>
  <si>
    <t>Not even with his shadow</t>
  </si>
  <si>
    <t>He is durai singam</t>
  </si>
  <si>
    <t>Nilamum vanangum</t>
  </si>
  <si>
    <t>Hey..singam singam</t>
  </si>
  <si>
    <t>Ayim boothangal yaavum</t>
  </si>
  <si>
    <t>Evanul adangum</t>
  </si>
  <si>
    <t>Hei vinnai theendum kathiravan</t>
  </si>
  <si>
    <t>Ivan nadanthal pothum</t>
  </si>
  <si>
    <t>Singam singam</t>
  </si>
  <si>
    <t>SURIYA TAKING OVER THE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</si>
</sst>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184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N8" totalsRowShown="0" headerRowDxfId="183" dataDxfId="182">
  <autoFilter ref="A1:N8" xr:uid="{3CF92C30-632C-49E3-B7A4-F863F89E0A6F}"/>
  <sortState xmlns:xlrd2="http://schemas.microsoft.com/office/spreadsheetml/2017/richdata2" ref="A2:M8">
    <sortCondition ref="A1:A8"/>
  </sortState>
  <tableColumns count="14">
    <tableColumn id="1" xr3:uid="{BB851843-99B6-4FEB-844F-ED25E3C4F0CB}" name="RANK" dataDxfId="181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80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9"/>
    <tableColumn id="4" xr3:uid="{A95197E2-463C-4DED-A8D4-4DB816B57DEF}" name="TALLY" dataDxfId="178">
      <calculatedColumnFormula>SUM(Table8[[#This Row],[BATTER]:[EXTRAS]])</calculatedColumnFormula>
    </tableColumn>
    <tableColumn id="5" xr3:uid="{EA6134DA-45EF-4BC1-AA0D-D281E9D1E0BE}" name="LEAD OVER NEXT ONE" dataDxfId="177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6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5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4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3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2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1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70">
      <calculatedColumnFormula>_xlfn.XLOOKUP(Table8[[#This Row],[NAME]],'TARGET PREDICTIONS'!$A$2:$A$8,'TARGET PREDICTIONS'!$B$2:$B$8,"NA")</calculatedColumnFormula>
    </tableColumn>
    <tableColumn id="13" xr3:uid="{7CE6D44D-FAE1-48B7-AA27-15DC4FD8CD3E}" name="SUPER 4s PRED." dataDxfId="169"/>
    <tableColumn id="14" xr3:uid="{8FA33169-13D3-4DC8-92A2-0864FB132636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11" sqref="G11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t="s">
        <v>86</v>
      </c>
      <c r="M4" t="s">
        <v>84</v>
      </c>
      <c r="N4" t="s">
        <v>88</v>
      </c>
    </row>
    <row r="5" spans="1:14" x14ac:dyDescent="0.3">
      <c r="A5" t="s">
        <v>8</v>
      </c>
      <c r="B5" t="s">
        <v>66</v>
      </c>
      <c r="C5" t="s">
        <v>206</v>
      </c>
      <c r="D5" t="s">
        <v>76</v>
      </c>
      <c r="E5" t="s">
        <v>60</v>
      </c>
      <c r="F5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t="s">
        <v>86</v>
      </c>
      <c r="M5" t="s">
        <v>84</v>
      </c>
      <c r="N5" t="s">
        <v>88</v>
      </c>
    </row>
    <row r="6" spans="1:14" x14ac:dyDescent="0.3">
      <c r="A6" t="s">
        <v>9</v>
      </c>
      <c r="B6" t="s">
        <v>66</v>
      </c>
      <c r="C6" t="s">
        <v>67</v>
      </c>
      <c r="D6" t="s">
        <v>68</v>
      </c>
      <c r="E6" t="s">
        <v>69</v>
      </c>
      <c r="F6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N28"/>
  <sheetViews>
    <sheetView showGridLines="0" workbookViewId="0">
      <selection activeCell="M2" sqref="M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8" bestFit="1" customWidth="1"/>
  </cols>
  <sheetData>
    <row r="1" spans="1:14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315</v>
      </c>
      <c r="N1" s="2" t="s">
        <v>277</v>
      </c>
    </row>
    <row r="2" spans="1:14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3987.5</v>
      </c>
      <c r="E2" s="1" cm="1">
        <f t="array" ref="E2">IF(Table8[[#This Row],[RANK]]&lt;MAX(Table8[RANK]),Table8[[#This Row],[TALLY]] - INDEX(Table8[TALLY], Table8[[#This Row],[RANK]] + 1), "")</f>
        <v>1795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691.5</v>
      </c>
      <c r="H2" s="1">
        <f>_xlfn.XLOOKUP(_xlfn.XLOOKUP(Table8[[#This Row],[NAME]],'TEAM PICK AND PREDICTIONS'!$A$2:$A$8,'TEAM PICK AND PREDICTIONS'!$C$2:$C$8,"NA"),Table0[PLAYER NAME],Table0[POINTS TALLY],0)</f>
        <v>650</v>
      </c>
      <c r="I2" s="1">
        <f>_xlfn.XLOOKUP(_xlfn.XLOOKUP(Table8[[#This Row],[NAME]],'TEAM PICK AND PREDICTIONS'!$A$2:$A$8,'TEAM PICK AND PREDICTIONS'!$D$2:$D$8,"NA"),Table0[PLAYER NAME],Table0[POINTS TALLY],0)*2</f>
        <v>1646</v>
      </c>
      <c r="J2" s="1">
        <f>_xlfn.XLOOKUP(_xlfn.XLOOKUP(Table8[[#This Row],[NAME]],'TEAM PICK AND PREDICTIONS'!$A$2:$A$8,'TEAM PICK AND PREDICTIONS'!$E$2:$E$8,"NA"),Table0[PLAYER NAME],Table0[POINTS TALLY],0)</f>
        <v>105</v>
      </c>
      <c r="K2" s="1">
        <f>_xlfn.XLOOKUP(Table8[[#This Row],[NAME]],'WINNING TEAM PREDICTIONS'!$A$2:$A$8,'WINNING TEAM PREDICTIONS'!$B$2:$B$8,"NA")</f>
        <v>270</v>
      </c>
      <c r="L2" s="1">
        <f>_xlfn.XLOOKUP(Table8[[#This Row],[NAME]],'TARGET PREDICTIONS'!$A$2:$A$8,'TARGET PREDICTIONS'!$B$2:$B$8,"NA")</f>
        <v>225</v>
      </c>
      <c r="M2" s="1">
        <v>400</v>
      </c>
      <c r="N2" s="1"/>
    </row>
    <row r="3" spans="1:14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9</v>
      </c>
      <c r="D3" s="1">
        <f>SUM(Table8[[#This Row],[BATTER]:[EXTRAS]])</f>
        <v>2192.5</v>
      </c>
      <c r="E3" s="1" cm="1">
        <f t="array" ref="E3">IF(Table8[[#This Row],[RANK]]&lt;MAX(Table8[RANK]),Table8[[#This Row],[TALLY]] - INDEX(Table8[TALLY], Table8[[#This Row],[RANK]] + 1), "")</f>
        <v>152.5</v>
      </c>
      <c r="F3" s="1">
        <f>IF(MAX(Table8[TALLY])-Table8[[#This Row],[TALLY]]=0,"",MAX(Table8[TALLY])-Table8[[#This Row],[TALLY]])</f>
        <v>1795</v>
      </c>
      <c r="G3" s="1">
        <f>_xlfn.XLOOKUP(_xlfn.XLOOKUP(Table8[[#This Row],[NAME]],'TEAM PICK AND PREDICTIONS'!$A$2:$A$8,'TEAM PICK AND PREDICTIONS'!$B$2:$B$8,"NA"),Table0[PLAYER NAME],Table0[POINTS TALLY],0)*2</f>
        <v>120</v>
      </c>
      <c r="H3" s="1">
        <f>_xlfn.XLOOKUP(_xlfn.XLOOKUP(Table8[[#This Row],[NAME]],'TEAM PICK AND PREDICTIONS'!$A$2:$A$8,'TEAM PICK AND PREDICTIONS'!$C$2:$C$8,"NA"),Table0[PLAYER NAME],Table0[POINTS TALLY],0)</f>
        <v>754</v>
      </c>
      <c r="I3" s="1">
        <f>_xlfn.XLOOKUP(_xlfn.XLOOKUP(Table8[[#This Row],[NAME]],'TEAM PICK AND PREDICTIONS'!$A$2:$A$8,'TEAM PICK AND PREDICTIONS'!$D$2:$D$8,"NA"),Table0[PLAYER NAME],Table0[POINTS TALLY],0)*1.5</f>
        <v>543</v>
      </c>
      <c r="J3" s="1">
        <f>_xlfn.XLOOKUP(_xlfn.XLOOKUP(Table8[[#This Row],[NAME]],'TEAM PICK AND PREDICTIONS'!$A$2:$A$8,'TEAM PICK AND PREDICTIONS'!$E$2:$E$8,"NA"),Table0[PLAYER NAME],Table0[POINTS TALLY],0)</f>
        <v>50</v>
      </c>
      <c r="K3" s="1">
        <f>_xlfn.XLOOKUP(Table8[[#This Row],[NAME]],'WINNING TEAM PREDICTIONS'!$A$2:$A$8,'WINNING TEAM PREDICTIONS'!$B$2:$B$8,"NA")</f>
        <v>177</v>
      </c>
      <c r="L3" s="1">
        <f>_xlfn.XLOOKUP(Table8[[#This Row],[NAME]],'TARGET PREDICTIONS'!$A$2:$A$8,'TARGET PREDICTIONS'!$B$2:$B$8,"NA")</f>
        <v>348.5</v>
      </c>
      <c r="M3" s="1">
        <v>150</v>
      </c>
      <c r="N3" s="1">
        <v>50</v>
      </c>
    </row>
    <row r="4" spans="1:14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2040</v>
      </c>
      <c r="E4" s="1" cm="1">
        <f t="array" ref="E4">IF(Table8[[#This Row],[RANK]]&lt;MAX(Table8[RANK]),Table8[[#This Row],[TALLY]] - INDEX(Table8[TALLY], Table8[[#This Row],[RANK]] + 1), "")</f>
        <v>350.5</v>
      </c>
      <c r="F4" s="1">
        <f>IF(MAX(Table8[TALLY])-Table8[[#This Row],[TALLY]]=0,"",MAX(Table8[TALLY])-Table8[[#This Row],[TALLY]])</f>
        <v>1947.5</v>
      </c>
      <c r="G4" s="1">
        <f>_xlfn.XLOOKUP(_xlfn.XLOOKUP(Table8[[#This Row],[NAME]],'TEAM PICK AND PREDICTIONS'!$A$2:$A$8,'TEAM PICK AND PREDICTIONS'!$B$2:$B$8,"NA"),Table0[PLAYER NAME],Table0[POINTS TALLY],0)*2</f>
        <v>530</v>
      </c>
      <c r="H4" s="1">
        <f>_xlfn.XLOOKUP(_xlfn.XLOOKUP(Table8[[#This Row],[NAME]],'TEAM PICK AND PREDICTIONS'!$A$2:$A$8,'TEAM PICK AND PREDICTIONS'!$C$2:$C$8,"NA"),Table0[PLAYER NAME],Table0[POINTS TALLY],0)</f>
        <v>310</v>
      </c>
      <c r="I4" s="1">
        <f>_xlfn.XLOOKUP(_xlfn.XLOOKUP(Table8[[#This Row],[NAME]],'TEAM PICK AND PREDICTIONS'!$A$2:$A$8,'TEAM PICK AND PREDICTIONS'!$D$2:$D$8,"NA"),Table0[PLAYER NAME],Table0[POINTS TALLY],0)*1.5</f>
        <v>51</v>
      </c>
      <c r="J4" s="1">
        <f>_xlfn.XLOOKUP(_xlfn.XLOOKUP(Table8[[#This Row],[NAME]],'TEAM PICK AND PREDICTIONS'!$A$2:$A$8,'TEAM PICK AND PREDICTIONS'!$E$2:$E$8,"NA"),Table0[PLAYER NAME],Table0[POINTS TALLY],0)</f>
        <v>187</v>
      </c>
      <c r="K4" s="1">
        <f>_xlfn.XLOOKUP(Table8[[#This Row],[NAME]],'WINNING TEAM PREDICTIONS'!$A$2:$A$8,'WINNING TEAM PREDICTIONS'!$B$2:$B$8,"NA")</f>
        <v>190</v>
      </c>
      <c r="L4" s="1">
        <f>_xlfn.XLOOKUP(Table8[[#This Row],[NAME]],'TARGET PREDICTIONS'!$A$2:$A$8,'TARGET PREDICTIONS'!$B$2:$B$8,"NA")</f>
        <v>472</v>
      </c>
      <c r="M4" s="1">
        <v>300</v>
      </c>
      <c r="N4" s="1"/>
    </row>
    <row r="5" spans="1:14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5" s="1" t="s">
        <v>7</v>
      </c>
      <c r="D5" s="1">
        <f>SUM(Table8[[#This Row],[BATTER]:[EXTRAS]])</f>
        <v>1689.5</v>
      </c>
      <c r="E5" s="1" cm="1">
        <f t="array" ref="E5">IF(Table8[[#This Row],[RANK]]&lt;MAX(Table8[RANK]),Table8[[#This Row],[TALLY]] - INDEX(Table8[TALLY], Table8[[#This Row],[RANK]] + 1), "")</f>
        <v>216.5</v>
      </c>
      <c r="F5" s="1">
        <f>IF(MAX(Table8[TALLY])-Table8[[#This Row],[TALLY]]=0,"",MAX(Table8[TALLY])-Table8[[#This Row],[TALLY]])</f>
        <v>2298</v>
      </c>
      <c r="G5" s="1">
        <f>_xlfn.XLOOKUP(_xlfn.XLOOKUP(Table8[[#This Row],[NAME]],'TEAM PICK AND PREDICTIONS'!$A$2:$A$8,'TEAM PICK AND PREDICTIONS'!$B$2:$B$8,"NA"),Table0[PLAYER NAME],Table0[POINTS TALLY],0)*1.5</f>
        <v>691.5</v>
      </c>
      <c r="H5" s="1">
        <f>_xlfn.XLOOKUP(_xlfn.XLOOKUP(Table8[[#This Row],[NAME]],'TEAM PICK AND PREDICTIONS'!$A$2:$A$8,'TEAM PICK AND PREDICTIONS'!$C$2:$C$8,"NA"),Table0[PLAYER NAME],Table0[POINTS TALLY],0)</f>
        <v>67</v>
      </c>
      <c r="I5" s="1">
        <f>_xlfn.XLOOKUP(_xlfn.XLOOKUP(Table8[[#This Row],[NAME]],'TEAM PICK AND PREDICTIONS'!$A$2:$A$8,'TEAM PICK AND PREDICTIONS'!$D$2:$D$8,"NA"),Table0[PLAYER NAME],Table0[POINTS TALLY],0)*2</f>
        <v>376</v>
      </c>
      <c r="J5" s="1">
        <f>_xlfn.XLOOKUP(_xlfn.XLOOKUP(Table8[[#This Row],[NAME]],'TEAM PICK AND PREDICTIONS'!$A$2:$A$8,'TEAM PICK AND PREDICTIONS'!$E$2:$E$8,"NA"),Table0[PLAYER NAME],Table0[POINTS TALLY],0)</f>
        <v>105</v>
      </c>
      <c r="K5" s="1">
        <f>_xlfn.XLOOKUP(Table8[[#This Row],[NAME]],'WINNING TEAM PREDICTIONS'!$A$2:$A$8,'WINNING TEAM PREDICTIONS'!$B$2:$B$8,"NA")</f>
        <v>50</v>
      </c>
      <c r="L5" s="1">
        <f>_xlfn.XLOOKUP(Table8[[#This Row],[NAME]],'TARGET PREDICTIONS'!$A$2:$A$8,'TARGET PREDICTIONS'!$B$2:$B$8,"NA")</f>
        <v>100</v>
      </c>
      <c r="M5" s="1">
        <v>300</v>
      </c>
      <c r="N5" s="1"/>
    </row>
    <row r="6" spans="1:14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6" s="1" t="s">
        <v>4</v>
      </c>
      <c r="D6" s="1">
        <f>SUM(Table8[[#This Row],[BATTER]:[EXTRAS]])</f>
        <v>1473</v>
      </c>
      <c r="E6" s="1" cm="1">
        <f t="array" ref="E6">IF(Table8[[#This Row],[RANK]]&lt;MAX(Table8[RANK]),Table8[[#This Row],[TALLY]] - INDEX(Table8[TALLY], Table8[[#This Row],[RANK]] + 1), "")</f>
        <v>355.5</v>
      </c>
      <c r="F6" s="1">
        <f>IF(MAX(Table8[TALLY])-Table8[[#This Row],[TALLY]]=0,"",MAX(Table8[TALLY])-Table8[[#This Row],[TALLY]])</f>
        <v>2514.5</v>
      </c>
      <c r="G6" s="1">
        <f>_xlfn.XLOOKUP(_xlfn.XLOOKUP(Table8[[#This Row],[NAME]],'TEAM PICK AND PREDICTIONS'!$A$2:$A$8,'TEAM PICK AND PREDICTIONS'!$B$2:$B$8,"NA"),Table0[PLAYER NAME],Table0[POINTS TALLY],0)*2</f>
        <v>344</v>
      </c>
      <c r="H6" s="1">
        <f>_xlfn.XLOOKUP(_xlfn.XLOOKUP(Table8[[#This Row],[NAME]],'TEAM PICK AND PREDICTIONS'!$A$2:$A$8,'TEAM PICK AND PREDICTIONS'!$C$2:$C$8,"NA"),Table0[PLAYER NAME],Table0[POINTS TALLY],0)*2</f>
        <v>250</v>
      </c>
      <c r="I6" s="1">
        <f>_xlfn.XLOOKUP(_xlfn.XLOOKUP(Table8[[#This Row],[NAME]],'TEAM PICK AND PREDICTIONS'!$A$2:$A$8,'TEAM PICK AND PREDICTIONS'!$D$2:$D$8,"NA"),Table0[PLAYER NAME],Table0[POINTS TALLY],0)</f>
        <v>25</v>
      </c>
      <c r="J6" s="1">
        <f>_xlfn.XLOOKUP(_xlfn.XLOOKUP(Table8[[#This Row],[NAME]],'TEAM PICK AND PREDICTIONS'!$A$2:$A$8,'TEAM PICK AND PREDICTIONS'!$E$2:$E$8,"NA"),Table0[PLAYER NAME],Table0[POINTS TALLY],0)</f>
        <v>367</v>
      </c>
      <c r="K6" s="1">
        <f>_xlfn.XLOOKUP(Table8[[#This Row],[NAME]],'WINNING TEAM PREDICTIONS'!$A$2:$A$8,'WINNING TEAM PREDICTIONS'!$B$2:$B$8,"NA")</f>
        <v>140</v>
      </c>
      <c r="L6" s="1">
        <f>_xlfn.XLOOKUP(Table8[[#This Row],[NAME]],'TARGET PREDICTIONS'!$A$2:$A$8,'TARGET PREDICTIONS'!$B$2:$B$8,"NA")</f>
        <v>47</v>
      </c>
      <c r="M6" s="1">
        <v>300</v>
      </c>
      <c r="N6" s="1"/>
    </row>
    <row r="7" spans="1:14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6</v>
      </c>
      <c r="D7" s="1">
        <f>SUM(Table8[[#This Row],[BATTER]:[EXTRAS]])</f>
        <v>1117.5</v>
      </c>
      <c r="E7" s="1" cm="1">
        <f t="array" ref="E7">IF(Table8[[#This Row],[RANK]]&lt;MAX(Table8[RANK]),Table8[[#This Row],[TALLY]] - INDEX(Table8[TALLY], Table8[[#This Row],[RANK]] + 1), "")</f>
        <v>131.5</v>
      </c>
      <c r="F7" s="1">
        <f>IF(MAX(Table8[TALLY])-Table8[[#This Row],[TALLY]]=0,"",MAX(Table8[TALLY])-Table8[[#This Row],[TALLY]])</f>
        <v>2870</v>
      </c>
      <c r="G7" s="1">
        <f>_xlfn.XLOOKUP(_xlfn.XLOOKUP(Table8[[#This Row],[NAME]],'TEAM PICK AND PREDICTIONS'!$A$2:$A$8,'TEAM PICK AND PREDICTIONS'!$B$2:$B$8,"NA"),Table0[PLAYER NAME],Table0[POINTS TALLY],0)*2</f>
        <v>438</v>
      </c>
      <c r="H7" s="1">
        <f>_xlfn.XLOOKUP(_xlfn.XLOOKUP(Table8[[#This Row],[NAME]],'TEAM PICK AND PREDICTIONS'!$A$2:$A$8,'TEAM PICK AND PREDICTIONS'!$C$2:$C$8,"NA"),Table0[PLAYER NAME],Table0[POINTS TALLY],0)</f>
        <v>67</v>
      </c>
      <c r="I7" s="1">
        <f>_xlfn.XLOOKUP(_xlfn.XLOOKUP(Table8[[#This Row],[NAME]],'TEAM PICK AND PREDICTIONS'!$A$2:$A$8,'TEAM PICK AND PREDICTIONS'!$D$2:$D$8,"NA"),Table0[PLAYER NAME],Table0[POINTS TALLY],0)*1.5</f>
        <v>22.5</v>
      </c>
      <c r="J7" s="1">
        <f>_xlfn.XLOOKUP(_xlfn.XLOOKUP(Table8[[#This Row],[NAME]],'TEAM PICK AND PREDICTIONS'!$A$2:$A$8,'TEAM PICK AND PREDICTIONS'!$E$2:$E$8,"NA"),Table0[PLAYER NAME],Table0[POINTS TALLY],0)</f>
        <v>118</v>
      </c>
      <c r="K7" s="1">
        <f>_xlfn.XLOOKUP(Table8[[#This Row],[NAME]],'WINNING TEAM PREDICTIONS'!$A$2:$A$8,'WINNING TEAM PREDICTIONS'!$B$2:$B$8,"NA")</f>
        <v>122</v>
      </c>
      <c r="L7" s="1">
        <f>_xlfn.XLOOKUP(Table8[[#This Row],[NAME]],'TARGET PREDICTIONS'!$A$2:$A$8,'TARGET PREDICTIONS'!$B$2:$B$8,"NA")</f>
        <v>50</v>
      </c>
      <c r="M7" s="1">
        <v>300</v>
      </c>
      <c r="N7" s="1"/>
    </row>
    <row r="8" spans="1:14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8</v>
      </c>
      <c r="D8" s="1">
        <f>SUM(Table8[[#This Row],[BATTER]:[EXTRAS]])</f>
        <v>986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3001.5</v>
      </c>
      <c r="G8" s="1">
        <f>_xlfn.XLOOKUP(_xlfn.XLOOKUP(Table8[[#This Row],[NAME]],'TEAM PICK AND PREDICTIONS'!$A$2:$A$8,'TEAM PICK AND PREDICTIONS'!$B$2:$B$8,"NA"),Table0[PLAYER NAME],Table0[POINTS TALLY],0)*2</f>
        <v>120</v>
      </c>
      <c r="H8" s="1">
        <f>_xlfn.XLOOKUP(_xlfn.XLOOKUP(Table8[[#This Row],[NAME]],'TEAM PICK AND PREDICTIONS'!$A$2:$A$8,'TEAM PICK AND PREDICTIONS'!$C$2:$C$8,"NA"),Table0[PLAYER NAME],Table0[POINTS TALLY],0)</f>
        <v>200</v>
      </c>
      <c r="I8" s="1">
        <f>_xlfn.XLOOKUP(_xlfn.XLOOKUP(Table8[[#This Row],[NAME]],'TEAM PICK AND PREDICTIONS'!$A$2:$A$8,'TEAM PICK AND PREDICTIONS'!$D$2:$D$8,"NA"),Table0[PLAYER NAME],Table0[POINTS TALLY],0)*1.5</f>
        <v>51</v>
      </c>
      <c r="J8" s="1">
        <f>_xlfn.XLOOKUP(_xlfn.XLOOKUP(Table8[[#This Row],[NAME]],'TEAM PICK AND PREDICTIONS'!$A$2:$A$8,'TEAM PICK AND PREDICTIONS'!$E$2:$E$8,"NA"),Table0[PLAYER NAME],Table0[POINTS TALLY],0)</f>
        <v>15</v>
      </c>
      <c r="K8" s="1">
        <f>_xlfn.XLOOKUP(Table8[[#This Row],[NAME]],'WINNING TEAM PREDICTIONS'!$A$2:$A$8,'WINNING TEAM PREDICTIONS'!$B$2:$B$8,"NA")</f>
        <v>75</v>
      </c>
      <c r="L8" s="1">
        <f>_xlfn.XLOOKUP(Table8[[#This Row],[NAME]],'TARGET PREDICTIONS'!$A$2:$A$8,'TARGET PREDICTIONS'!$B$2:$B$8,"NA")</f>
        <v>225</v>
      </c>
      <c r="M8" s="1">
        <v>300</v>
      </c>
      <c r="N8" s="1"/>
    </row>
    <row r="10" spans="1:14" x14ac:dyDescent="0.3">
      <c r="A10" s="9"/>
    </row>
    <row r="28" spans="1:1" x14ac:dyDescent="0.3">
      <c r="A28" s="9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3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339</v>
      </c>
    </row>
    <row r="4" spans="1:1" x14ac:dyDescent="0.3">
      <c r="A4" t="s">
        <v>316</v>
      </c>
    </row>
    <row r="5" spans="1:1" x14ac:dyDescent="0.3">
      <c r="A5" t="s">
        <v>307</v>
      </c>
    </row>
    <row r="6" spans="1:1" x14ac:dyDescent="0.3">
      <c r="A6" s="9" t="s">
        <v>309</v>
      </c>
    </row>
    <row r="7" spans="1:1" x14ac:dyDescent="0.3">
      <c r="A7" t="s">
        <v>308</v>
      </c>
    </row>
    <row r="8" spans="1:1" x14ac:dyDescent="0.3">
      <c r="A8" s="9" t="s">
        <v>309</v>
      </c>
    </row>
    <row r="9" spans="1:1" x14ac:dyDescent="0.3">
      <c r="A9" t="s">
        <v>317</v>
      </c>
    </row>
    <row r="10" spans="1:1" x14ac:dyDescent="0.3">
      <c r="A10" t="s">
        <v>318</v>
      </c>
    </row>
    <row r="11" spans="1:1" x14ac:dyDescent="0.3">
      <c r="A11" t="s">
        <v>317</v>
      </c>
    </row>
    <row r="12" spans="1:1" x14ac:dyDescent="0.3">
      <c r="A12" t="s">
        <v>319</v>
      </c>
    </row>
    <row r="13" spans="1:1" x14ac:dyDescent="0.3">
      <c r="A13" t="s">
        <v>320</v>
      </c>
    </row>
    <row r="14" spans="1:1" x14ac:dyDescent="0.3">
      <c r="A14" t="s">
        <v>336</v>
      </c>
    </row>
    <row r="15" spans="1:1" x14ac:dyDescent="0.3">
      <c r="A15" t="s">
        <v>321</v>
      </c>
    </row>
    <row r="16" spans="1:1" x14ac:dyDescent="0.3">
      <c r="A16" t="s">
        <v>322</v>
      </c>
    </row>
    <row r="17" spans="1:1" x14ac:dyDescent="0.3">
      <c r="A17" t="s">
        <v>323</v>
      </c>
    </row>
    <row r="18" spans="1:1" x14ac:dyDescent="0.3">
      <c r="A18" t="s">
        <v>327</v>
      </c>
    </row>
    <row r="19" spans="1:1" x14ac:dyDescent="0.3">
      <c r="A19" t="s">
        <v>324</v>
      </c>
    </row>
    <row r="20" spans="1:1" x14ac:dyDescent="0.3">
      <c r="A20" t="s">
        <v>325</v>
      </c>
    </row>
    <row r="21" spans="1:1" x14ac:dyDescent="0.3">
      <c r="A21" t="s">
        <v>326</v>
      </c>
    </row>
    <row r="22" spans="1:1" x14ac:dyDescent="0.3">
      <c r="A22" t="s">
        <v>327</v>
      </c>
    </row>
    <row r="23" spans="1:1" x14ac:dyDescent="0.3">
      <c r="A23" t="s">
        <v>328</v>
      </c>
    </row>
    <row r="24" spans="1:1" x14ac:dyDescent="0.3">
      <c r="A24" t="s">
        <v>329</v>
      </c>
    </row>
    <row r="25" spans="1:1" x14ac:dyDescent="0.3">
      <c r="A25" t="s">
        <v>330</v>
      </c>
    </row>
    <row r="26" spans="1:1" x14ac:dyDescent="0.3">
      <c r="A26" t="s">
        <v>338</v>
      </c>
    </row>
    <row r="27" spans="1:1" x14ac:dyDescent="0.3">
      <c r="A27" t="s">
        <v>331</v>
      </c>
    </row>
    <row r="28" spans="1:1" x14ac:dyDescent="0.3">
      <c r="A28" t="s">
        <v>337</v>
      </c>
    </row>
    <row r="29" spans="1:1" x14ac:dyDescent="0.3">
      <c r="A29" t="s">
        <v>332</v>
      </c>
    </row>
    <row r="30" spans="1:1" x14ac:dyDescent="0.3">
      <c r="A30" t="s">
        <v>333</v>
      </c>
    </row>
    <row r="31" spans="1:1" x14ac:dyDescent="0.3">
      <c r="A31" t="s">
        <v>331</v>
      </c>
    </row>
    <row r="32" spans="1:1" x14ac:dyDescent="0.3">
      <c r="A32" t="s">
        <v>334</v>
      </c>
    </row>
    <row r="33" spans="1:1" x14ac:dyDescent="0.3">
      <c r="A33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CB1" activePane="topRight" state="frozen"/>
      <selection pane="topRight" activeCell="CG5" sqref="CG5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0" t="s">
        <v>12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 t="s">
        <v>13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 t="s">
        <v>14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 t="s">
        <v>15</v>
      </c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 t="s">
        <v>16</v>
      </c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 t="s">
        <v>226</v>
      </c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 t="s">
        <v>227</v>
      </c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</row>
    <row r="2" spans="1:149" x14ac:dyDescent="0.3">
      <c r="B2" s="6" t="s">
        <v>228</v>
      </c>
      <c r="C2" s="11" t="s">
        <v>36</v>
      </c>
      <c r="D2" s="11"/>
      <c r="E2" s="11"/>
      <c r="F2" s="11"/>
      <c r="G2" s="11"/>
      <c r="H2" s="11"/>
      <c r="I2" s="11"/>
      <c r="J2" s="11" t="s">
        <v>37</v>
      </c>
      <c r="K2" s="11"/>
      <c r="L2" s="11"/>
      <c r="M2" s="11"/>
      <c r="N2" s="11"/>
      <c r="O2" s="11"/>
      <c r="P2" s="11"/>
      <c r="Q2" s="11" t="s">
        <v>38</v>
      </c>
      <c r="R2" s="11"/>
      <c r="S2" s="11"/>
      <c r="T2" s="11"/>
      <c r="U2" s="11"/>
      <c r="V2" s="4"/>
      <c r="W2" s="4"/>
      <c r="X2" s="11" t="s">
        <v>36</v>
      </c>
      <c r="Y2" s="11"/>
      <c r="Z2" s="11"/>
      <c r="AA2" s="11"/>
      <c r="AB2" s="11"/>
      <c r="AC2" s="11"/>
      <c r="AD2" s="11"/>
      <c r="AE2" s="11" t="s">
        <v>37</v>
      </c>
      <c r="AF2" s="11"/>
      <c r="AG2" s="11"/>
      <c r="AH2" s="11"/>
      <c r="AI2" s="11"/>
      <c r="AJ2" s="11"/>
      <c r="AK2" s="11"/>
      <c r="AL2" s="11" t="s">
        <v>38</v>
      </c>
      <c r="AM2" s="11"/>
      <c r="AN2" s="11"/>
      <c r="AO2" s="11"/>
      <c r="AP2" s="11"/>
      <c r="AQ2" s="4"/>
      <c r="AR2" s="4"/>
      <c r="AS2" s="11" t="s">
        <v>36</v>
      </c>
      <c r="AT2" s="11"/>
      <c r="AU2" s="11"/>
      <c r="AV2" s="11"/>
      <c r="AW2" s="11"/>
      <c r="AX2" s="11"/>
      <c r="AY2" s="11"/>
      <c r="AZ2" s="11" t="s">
        <v>37</v>
      </c>
      <c r="BA2" s="11"/>
      <c r="BB2" s="11"/>
      <c r="BC2" s="11"/>
      <c r="BD2" s="11"/>
      <c r="BE2" s="11"/>
      <c r="BF2" s="11"/>
      <c r="BG2" s="11" t="s">
        <v>38</v>
      </c>
      <c r="BH2" s="11"/>
      <c r="BI2" s="11"/>
      <c r="BJ2" s="11"/>
      <c r="BK2" s="11"/>
      <c r="BL2" s="4"/>
      <c r="BM2" s="4"/>
      <c r="BN2" s="11" t="s">
        <v>36</v>
      </c>
      <c r="BO2" s="11"/>
      <c r="BP2" s="11"/>
      <c r="BQ2" s="11"/>
      <c r="BR2" s="11"/>
      <c r="BS2" s="11"/>
      <c r="BT2" s="11"/>
      <c r="BU2" s="11" t="s">
        <v>37</v>
      </c>
      <c r="BV2" s="11"/>
      <c r="BW2" s="11"/>
      <c r="BX2" s="11"/>
      <c r="BY2" s="11"/>
      <c r="BZ2" s="11"/>
      <c r="CA2" s="11"/>
      <c r="CB2" s="11" t="s">
        <v>38</v>
      </c>
      <c r="CC2" s="11"/>
      <c r="CD2" s="11"/>
      <c r="CE2" s="11"/>
      <c r="CF2" s="11"/>
      <c r="CG2" s="4"/>
      <c r="CH2" s="4"/>
      <c r="CI2" s="11" t="s">
        <v>36</v>
      </c>
      <c r="CJ2" s="11"/>
      <c r="CK2" s="11"/>
      <c r="CL2" s="11"/>
      <c r="CM2" s="11"/>
      <c r="CN2" s="11"/>
      <c r="CO2" s="11"/>
      <c r="CP2" s="11" t="s">
        <v>37</v>
      </c>
      <c r="CQ2" s="11"/>
      <c r="CR2" s="11"/>
      <c r="CS2" s="11"/>
      <c r="CT2" s="11"/>
      <c r="CU2" s="11"/>
      <c r="CV2" s="11"/>
      <c r="CW2" s="11" t="s">
        <v>38</v>
      </c>
      <c r="CX2" s="11"/>
      <c r="CY2" s="11"/>
      <c r="CZ2" s="11"/>
      <c r="DA2" s="11"/>
      <c r="DB2" s="4"/>
      <c r="DC2" s="4"/>
      <c r="DD2" s="11" t="s">
        <v>36</v>
      </c>
      <c r="DE2" s="11"/>
      <c r="DF2" s="11"/>
      <c r="DG2" s="11"/>
      <c r="DH2" s="11"/>
      <c r="DI2" s="11"/>
      <c r="DJ2" s="11"/>
      <c r="DK2" s="11" t="s">
        <v>37</v>
      </c>
      <c r="DL2" s="11"/>
      <c r="DM2" s="11"/>
      <c r="DN2" s="11"/>
      <c r="DO2" s="11"/>
      <c r="DP2" s="11"/>
      <c r="DQ2" s="11"/>
      <c r="DR2" s="11" t="s">
        <v>38</v>
      </c>
      <c r="DS2" s="11"/>
      <c r="DT2" s="11"/>
      <c r="DU2" s="11"/>
      <c r="DV2" s="11"/>
      <c r="DW2" s="4"/>
      <c r="DX2" s="4"/>
      <c r="DY2" s="11" t="s">
        <v>36</v>
      </c>
      <c r="DZ2" s="11"/>
      <c r="EA2" s="11"/>
      <c r="EB2" s="11"/>
      <c r="EC2" s="11"/>
      <c r="ED2" s="11"/>
      <c r="EE2" s="11"/>
      <c r="EF2" s="11" t="s">
        <v>37</v>
      </c>
      <c r="EG2" s="11"/>
      <c r="EH2" s="11"/>
      <c r="EI2" s="11"/>
      <c r="EJ2" s="11"/>
      <c r="EK2" s="11"/>
      <c r="EL2" s="11"/>
      <c r="EM2" s="11" t="s">
        <v>38</v>
      </c>
      <c r="EN2" s="11"/>
      <c r="EO2" s="11"/>
      <c r="EP2" s="11"/>
      <c r="EQ2" s="11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823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>
        <v>38</v>
      </c>
      <c r="AT4" s="1">
        <v>15</v>
      </c>
      <c r="AU4" s="1">
        <v>5</v>
      </c>
      <c r="AV4" s="1">
        <v>2</v>
      </c>
      <c r="AW4" s="1">
        <f>IFERROR(_xlfn.NUMBERVALUE(SUBSTITUTE(Table3[[#This Row],[RUNS SCORED]],"*",""))/Table3[[#This Row],[BALLS FACED]]*100,0)</f>
        <v>253.33333333333331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Y4" s="1">
        <f>IF(Table3[[#This Row],[RUNS SCORED]]="", 0, VALUE(SUBSTITUTE(Table3[[#This Row],[RUNS SCORED]],"*","")) + Table3[[#This Row],[BONUS 1]])</f>
        <v>188</v>
      </c>
      <c r="AZ4" s="1">
        <v>1</v>
      </c>
      <c r="BA4" s="1">
        <v>0</v>
      </c>
      <c r="BB4" s="1">
        <v>12</v>
      </c>
      <c r="BC4" s="1">
        <v>0</v>
      </c>
      <c r="BD4" s="1">
        <f>IFERROR(Table3[[#This Row],[RUNS GIVEN]]/Table3[[#This Row],[OVERS]],0)</f>
        <v>12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-25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163</v>
      </c>
      <c r="BN4" s="1">
        <v>74</v>
      </c>
      <c r="BO4" s="1">
        <v>39</v>
      </c>
      <c r="BP4" s="1">
        <v>6</v>
      </c>
      <c r="BQ4" s="1">
        <v>5</v>
      </c>
      <c r="BR4" s="1">
        <f>IFERROR(_xlfn.NUMBERVALUE(SUBSTITUTE(Table4[[#This Row],[RUNS SCORED]],"*",""))/Table4[[#This Row],[BALLS FACED]]*100,0)</f>
        <v>189.74358974358972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BT4" s="1">
        <f>IF(Table4[[#This Row],[RUNS SCORED]]="", 0, VALUE(SUBSTITUTE(Table4[[#This Row],[RUNS SCORED]],"*","")) + Table4[[#This Row],[BONUS 1]])</f>
        <v>274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>
        <v>1</v>
      </c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4" s="1">
        <f>IF(AND(Table4[[#This Row],[CATCHES TAKEN]]="",Table4[[#This Row],[RUNOUTS]]="",Table4[[#This Row],[STUMPINGS]]=""), 0, Table4[[#This Row],[BONUS 3]])</f>
        <v>25</v>
      </c>
      <c r="CG4" s="1">
        <v>100</v>
      </c>
      <c r="CH4" s="1">
        <f>SUM(Table4[[#This Row],[SUB TOTAL 1]],Table4[[#This Row],[SUB TOTAL 2]],Table4[[#This Row],[SUB TOTAL 3]],Table4[[#This Row],[POM BONUS]])</f>
        <v>399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3]],Table5[[#This Row],[POM BONUS]])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3]],Table7[[#This Row],[POM BONUS]])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>
        <v>17</v>
      </c>
      <c r="AT5" s="1">
        <v>12</v>
      </c>
      <c r="AU5" s="1">
        <v>2</v>
      </c>
      <c r="AV5" s="1">
        <v>0</v>
      </c>
      <c r="AW5" s="1">
        <f>IFERROR(_xlfn.NUMBERVALUE(SUBSTITUTE(Table3[[#This Row],[RUNS SCORED]],"*",""))/Table3[[#This Row],[BALLS FACED]]*100,0)</f>
        <v>141.66666666666669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17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17</v>
      </c>
      <c r="BN5" s="1">
        <v>21</v>
      </c>
      <c r="BO5" s="1">
        <v>12</v>
      </c>
      <c r="BP5" s="1">
        <v>1</v>
      </c>
      <c r="BQ5" s="1">
        <v>1</v>
      </c>
      <c r="BR5" s="1">
        <f>IFERROR(_xlfn.NUMBERVALUE(SUBSTITUTE(Table4[[#This Row],[RUNS SCORED]],"*",""))/Table4[[#This Row],[BALLS FACED]]*100,0)</f>
        <v>175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21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21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3]],Table6[[#This Row],[POM BONUS]])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>
        <v>4</v>
      </c>
      <c r="BA6" s="1">
        <v>0</v>
      </c>
      <c r="BB6" s="1">
        <v>49</v>
      </c>
      <c r="BC6" s="1">
        <v>1</v>
      </c>
      <c r="BD6" s="1">
        <f>IFERROR(Table3[[#This Row],[RUNS GIVEN]]/Table3[[#This Row],[OVERS]],0)</f>
        <v>12.25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6" s="1">
        <f>IF(Table3[[#This Row],[WICKETS TAKEN]]="", 0, IF(Table3[[#This Row],[WICKETS TAKEN]] = 0, -25,
        Table3[[#This Row],[WICKETS TAKEN]] * 50)+Table3[[#This Row],[BONUS 2]])</f>
        <v>25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25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>
        <v>4</v>
      </c>
      <c r="BV6" s="1">
        <v>0</v>
      </c>
      <c r="BW6" s="1">
        <v>36</v>
      </c>
      <c r="BX6" s="1">
        <v>0</v>
      </c>
      <c r="BY6" s="1">
        <f>IFERROR(Table4[[#This Row],[RUNS GIVEN]]/Table4[[#This Row],[OVERS]],0)</f>
        <v>9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-25</v>
      </c>
      <c r="CB6" s="1">
        <v>1</v>
      </c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6" s="1">
        <f>IF(AND(Table4[[#This Row],[CATCHES TAKEN]]="",Table4[[#This Row],[RUNOUTS]]="",Table4[[#This Row],[STUMPINGS]]=""), 0, Table4[[#This Row],[BONUS 3]])</f>
        <v>25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s="12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67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>
        <v>3</v>
      </c>
      <c r="BA7" s="1">
        <v>0</v>
      </c>
      <c r="BB7" s="1">
        <v>38</v>
      </c>
      <c r="BC7" s="1">
        <v>0</v>
      </c>
      <c r="BD7" s="1">
        <f>IFERROR(Table3[[#This Row],[RUNS GIVEN]]/Table3[[#This Row],[OVERS]],0)</f>
        <v>12.666666666666666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7" s="1">
        <f>IF(Table3[[#This Row],[WICKETS TAKEN]]="", 0, IF(Table3[[#This Row],[WICKETS TAKEN]] = 0, -25,
        Table3[[#This Row],[WICKETS TAKEN]] * 50)+Table3[[#This Row],[BONUS 2]])</f>
        <v>-50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-50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188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>
        <v>1</v>
      </c>
      <c r="AT8" s="1">
        <v>1</v>
      </c>
      <c r="AU8" s="1">
        <v>0</v>
      </c>
      <c r="AV8" s="1">
        <v>0</v>
      </c>
      <c r="AW8" s="1">
        <f>IFERROR(_xlfn.NUMBERVALUE(SUBSTITUTE(Table3[[#This Row],[RUNS SCORED]],"*",""))/Table3[[#This Row],[BALLS FACED]]*100,0)</f>
        <v>100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8" s="1">
        <f>IF(Table3[[#This Row],[RUNS SCORED]]="", 0, VALUE(SUBSTITUTE(Table3[[#This Row],[RUNS SCORED]],"*","")) + Table3[[#This Row],[BONUS 1]])</f>
        <v>-9</v>
      </c>
      <c r="AZ8" s="1">
        <v>4</v>
      </c>
      <c r="BA8" s="1">
        <v>0</v>
      </c>
      <c r="BB8" s="1">
        <v>26</v>
      </c>
      <c r="BC8" s="1">
        <v>1</v>
      </c>
      <c r="BD8" s="1">
        <f>IFERROR(Table3[[#This Row],[RUNS GIVEN]]/Table3[[#This Row],[OVERS]],0)</f>
        <v>6.5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50</v>
      </c>
      <c r="BG8" s="1">
        <v>1</v>
      </c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8" s="1">
        <f>IF(AND(Table3[[#This Row],[CATCHES TAKEN]]="",Table3[[#This Row],[RUNOUTS]]="",Table3[[#This Row],[STUMPINGS]]=""), 0, Table3[[#This Row],[BONUS 3]])</f>
        <v>25</v>
      </c>
      <c r="BL8" s="1"/>
      <c r="BM8" s="1">
        <f>SUM(Table3[[#This Row],[SUB TOTAL 1]],Table3[[#This Row],[SUB TOTAL 2]],Table3[[#This Row],[SUB TOTAL 3]],Table3[[#This Row],[POM BONUS]])</f>
        <v>66</v>
      </c>
      <c r="BN8" s="1" t="s">
        <v>293</v>
      </c>
      <c r="BO8" s="1">
        <v>7</v>
      </c>
      <c r="BP8" s="1">
        <v>1</v>
      </c>
      <c r="BQ8" s="1">
        <v>0</v>
      </c>
      <c r="BR8" s="1">
        <f>IFERROR(_xlfn.NUMBERVALUE(SUBSTITUTE(Table4[[#This Row],[RUNS SCORED]],"*",""))/Table4[[#This Row],[BALLS FACED]]*100,0)</f>
        <v>100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BT8" s="1">
        <f>IF(Table4[[#This Row],[RUNS SCORED]]="", 0, VALUE(SUBSTITUTE(Table4[[#This Row],[RUNS SCORED]],"*","")) + Table4[[#This Row],[BONUS 1]])</f>
        <v>22</v>
      </c>
      <c r="BU8" s="1">
        <v>3</v>
      </c>
      <c r="BV8" s="1">
        <v>0</v>
      </c>
      <c r="BW8" s="1">
        <v>29</v>
      </c>
      <c r="BX8" s="1">
        <v>1</v>
      </c>
      <c r="BY8" s="1">
        <f>IFERROR(Table4[[#This Row],[RUNS GIVEN]]/Table4[[#This Row],[OVERS]],0)</f>
        <v>9.6666666666666661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50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72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0</v>
      </c>
    </row>
    <row r="9" spans="1:149" x14ac:dyDescent="0.3">
      <c r="A9" s="12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60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>
        <v>24</v>
      </c>
      <c r="AT9" s="1">
        <v>27</v>
      </c>
      <c r="AU9" s="1">
        <v>0</v>
      </c>
      <c r="AV9" s="1">
        <v>1</v>
      </c>
      <c r="AW9" s="1">
        <f>IFERROR(_xlfn.NUMBERVALUE(SUBSTITUTE(Table3[[#This Row],[RUNS SCORED]],"*",""))/Table3[[#This Row],[BALLS FACED]]*100,0)</f>
        <v>88.888888888888886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24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>
        <v>1</v>
      </c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9" s="1">
        <f>IF(AND(Table3[[#This Row],[CATCHES TAKEN]]="",Table3[[#This Row],[RUNOUTS]]="",Table3[[#This Row],[STUMPINGS]]=""), 0, Table3[[#This Row],[BONUS 3]])</f>
        <v>25</v>
      </c>
      <c r="BL9" s="1"/>
      <c r="BM9" s="1">
        <f>SUM(Table3[[#This Row],[SUB TOTAL 1]],Table3[[#This Row],[SUB TOTAL 2]],Table3[[#This Row],[SUB TOTAL 3]],Table3[[#This Row],[POM BONUS]])</f>
        <v>49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125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>
        <v>4</v>
      </c>
      <c r="BV10" s="1">
        <v>0</v>
      </c>
      <c r="BW10" s="1">
        <v>45</v>
      </c>
      <c r="BX10" s="1">
        <v>0</v>
      </c>
      <c r="BY10" s="1">
        <f>IFERROR(Table4[[#This Row],[RUNS GIVEN]]/Table4[[#This Row],[OVERS]],0)</f>
        <v>11.25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0" s="1">
        <f>IF(Table4[[#This Row],[WICKETS TAKEN]]="", 0, IF(Table4[[#This Row],[WICKETS TAKEN]] = 0, -25,
        Table4[[#This Row],[WICKETS TAKEN]] * 50)+Table4[[#This Row],[BONUS 2]])</f>
        <v>-50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-50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3]],Table7[[#This Row],[POM BONUS]])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187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 t="s">
        <v>312</v>
      </c>
      <c r="AT11" s="1">
        <v>13</v>
      </c>
      <c r="AU11" s="1">
        <v>0</v>
      </c>
      <c r="AV11" s="1">
        <v>2</v>
      </c>
      <c r="AW11" s="1">
        <f>IFERROR(_xlfn.NUMBERVALUE(SUBSTITUTE(Table3[[#This Row],[RUNS SCORED]],"*",""))/Table3[[#This Row],[BALLS FACED]]*100,0)</f>
        <v>200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1" s="1">
        <f>IF(Table3[[#This Row],[RUNS SCORED]]="", 0, VALUE(SUBSTITUTE(Table3[[#This Row],[RUNS SCORED]],"*","")) + Table3[[#This Row],[BONUS 1]])</f>
        <v>201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201</v>
      </c>
      <c r="BN11" s="1">
        <v>1</v>
      </c>
      <c r="BO11" s="1">
        <v>2</v>
      </c>
      <c r="BP11" s="1">
        <v>0</v>
      </c>
      <c r="BQ11" s="1">
        <v>0</v>
      </c>
      <c r="BR11" s="1">
        <f>IFERROR(_xlfn.NUMBERVALUE(SUBSTITUTE(Table4[[#This Row],[RUNS SCORED]],"*",""))/Table4[[#This Row],[BALLS FACED]]*100,0)</f>
        <v>50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11" s="1">
        <f>IF(Table4[[#This Row],[RUNS SCORED]]="", 0, VALUE(SUBSTITUTE(Table4[[#This Row],[RUNS SCORED]],"*","")) + Table4[[#This Row],[BONUS 1]])</f>
        <v>-9</v>
      </c>
      <c r="BU11" s="1">
        <v>1</v>
      </c>
      <c r="BV11" s="1">
        <v>0</v>
      </c>
      <c r="BW11" s="1">
        <v>16</v>
      </c>
      <c r="BX11" s="1">
        <v>0</v>
      </c>
      <c r="BY11" s="1">
        <f>IFERROR(Table4[[#This Row],[RUNS GIVEN]]/Table4[[#This Row],[OVERS]],0)</f>
        <v>16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-25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-34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3]],Table5[[#This Row],[POM BONUS]])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3]],Table6[[#This Row],[POM BONUS]])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118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>
        <v>18</v>
      </c>
      <c r="AT12" s="1">
        <v>14</v>
      </c>
      <c r="AU12" s="1">
        <v>3</v>
      </c>
      <c r="AV12" s="1">
        <v>0</v>
      </c>
      <c r="AW12" s="1">
        <f>IFERROR(_xlfn.NUMBERVALUE(SUBSTITUTE(Table3[[#This Row],[RUNS SCORED]],"*",""))/Table3[[#This Row],[BALLS FACED]]*100,0)</f>
        <v>128.57142857142858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18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>
        <v>1</v>
      </c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2" s="1">
        <f>IF(AND(Table3[[#This Row],[CATCHES TAKEN]]="",Table3[[#This Row],[RUNOUTS]]="",Table3[[#This Row],[STUMPINGS]]=""), 0, Table3[[#This Row],[BONUS 3]])</f>
        <v>25</v>
      </c>
      <c r="BL12" s="1"/>
      <c r="BM12" s="1">
        <f>SUM(Table3[[#This Row],[SUB TOTAL 1]],Table3[[#This Row],[SUB TOTAL 2]],Table3[[#This Row],[SUB TOTAL 3]],Table3[[#This Row],[POM BONUS]])</f>
        <v>43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3]],Table5[[#This Row],[POM BONUS]])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34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>
        <v>4</v>
      </c>
      <c r="AT13" s="1">
        <v>5</v>
      </c>
      <c r="AU13" s="1">
        <v>0</v>
      </c>
      <c r="AV13" s="1">
        <v>0</v>
      </c>
      <c r="AW13" s="1">
        <f>IFERROR(_xlfn.NUMBERVALUE(SUBSTITUTE(Table3[[#This Row],[RUNS SCORED]],"*",""))/Table3[[#This Row],[BALLS FACED]]*100,0)</f>
        <v>80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3" s="1">
        <f>IF(Table3[[#This Row],[RUNS SCORED]]="", 0, VALUE(SUBSTITUTE(Table3[[#This Row],[RUNS SCORED]],"*","")) + Table3[[#This Row],[BONUS 1]])</f>
        <v>-6</v>
      </c>
      <c r="AZ13" s="1">
        <v>3</v>
      </c>
      <c r="BA13" s="1">
        <v>0</v>
      </c>
      <c r="BB13" s="1">
        <v>27</v>
      </c>
      <c r="BC13" s="1">
        <v>0</v>
      </c>
      <c r="BD13" s="1">
        <f>IFERROR(Table3[[#This Row],[RUNS GIVEN]]/Table3[[#This Row],[OVERS]],0)</f>
        <v>9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-25</v>
      </c>
      <c r="BG13" s="1">
        <v>1</v>
      </c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3" s="1">
        <f>IF(AND(Table3[[#This Row],[CATCHES TAKEN]]="",Table3[[#This Row],[RUNOUTS]]="",Table3[[#This Row],[STUMPINGS]]=""), 0, Table3[[#This Row],[BONUS 3]])</f>
        <v>25</v>
      </c>
      <c r="BL13" s="1"/>
      <c r="BM13" s="1">
        <f>SUM(Table3[[#This Row],[SUB TOTAL 1]],Table3[[#This Row],[SUB TOTAL 2]],Table3[[#This Row],[SUB TOTAL 3]],Table3[[#This Row],[POM BONUS]])</f>
        <v>-6</v>
      </c>
      <c r="BN13" s="1">
        <v>21</v>
      </c>
      <c r="BO13" s="1">
        <v>19</v>
      </c>
      <c r="BP13" s="1">
        <v>1</v>
      </c>
      <c r="BQ13" s="1">
        <v>1</v>
      </c>
      <c r="BR13" s="1">
        <f>IFERROR(_xlfn.NUMBERVALUE(SUBSTITUTE(Table4[[#This Row],[RUNS SCORED]],"*",""))/Table4[[#This Row],[BALLS FACED]]*100,0)</f>
        <v>110.5263157894737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21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21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3]],Table6[[#This Row],[POM BONUS]])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650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>
        <v>4</v>
      </c>
      <c r="BV14" s="1">
        <v>0</v>
      </c>
      <c r="BW14" s="1">
        <v>20</v>
      </c>
      <c r="BX14" s="1">
        <v>3</v>
      </c>
      <c r="BY14" s="1">
        <f>IFERROR(Table4[[#This Row],[RUNS GIVEN]]/Table4[[#This Row],[OVERS]],0)</f>
        <v>5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CA14" s="1">
        <f>IF(Table4[[#This Row],[WICKETS TAKEN]]="", 0, IF(Table4[[#This Row],[WICKETS TAKEN]] = 0, -25,
        Table4[[#This Row],[WICKETS TAKEN]] * 50)+Table4[[#This Row],[BONUS 2]])</f>
        <v>350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350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s="12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310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 t="s">
        <v>311</v>
      </c>
      <c r="AT15" s="1">
        <v>4</v>
      </c>
      <c r="AU15" s="1">
        <v>0</v>
      </c>
      <c r="AV15" s="1">
        <v>0</v>
      </c>
      <c r="AW15" s="1">
        <f>IFERROR(_xlfn.NUMBERVALUE(SUBSTITUTE(Table3[[#This Row],[RUNS SCORED]],"*",""))/Table3[[#This Row],[BALLS FACED]]*100,0)</f>
        <v>150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Y15" s="1">
        <f>IF(Table3[[#This Row],[RUNS SCORED]]="", 0, VALUE(SUBSTITUTE(Table3[[#This Row],[RUNS SCORED]],"*","")) + Table3[[#This Row],[BONUS 1]])</f>
        <v>21</v>
      </c>
      <c r="AZ15" s="1">
        <v>3</v>
      </c>
      <c r="BA15" s="1">
        <v>0</v>
      </c>
      <c r="BB15" s="1">
        <v>37</v>
      </c>
      <c r="BC15" s="1">
        <v>1</v>
      </c>
      <c r="BD15" s="1">
        <f>IFERROR(Table3[[#This Row],[RUNS GIVEN]]/Table3[[#This Row],[OVERS]],0)</f>
        <v>12.333333333333334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15" s="1">
        <f>IF(Table3[[#This Row],[WICKETS TAKEN]]="", 0, IF(Table3[[#This Row],[WICKETS TAKEN]] = 0, -25,
        Table3[[#This Row],[WICKETS TAKEN]] * 50)+Table3[[#This Row],[BONUS 2]])</f>
        <v>25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46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461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>
        <v>6</v>
      </c>
      <c r="AT16" s="1">
        <v>5</v>
      </c>
      <c r="AU16" s="1">
        <v>1</v>
      </c>
      <c r="AV16" s="1">
        <v>0</v>
      </c>
      <c r="AW16" s="1">
        <f>IFERROR(_xlfn.NUMBERVALUE(SUBSTITUTE(Table3[[#This Row],[RUNS SCORED]],"*",""))/Table3[[#This Row],[BALLS FACED]]*100,0)</f>
        <v>120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6" s="1">
        <f>IF(Table3[[#This Row],[RUNS SCORED]]="", 0, VALUE(SUBSTITUTE(Table3[[#This Row],[RUNS SCORED]],"*","")) + Table3[[#This Row],[BONUS 1]])</f>
        <v>-4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-4</v>
      </c>
      <c r="BN16" s="1">
        <v>22</v>
      </c>
      <c r="BO16" s="1">
        <v>15</v>
      </c>
      <c r="BP16" s="1">
        <v>3</v>
      </c>
      <c r="BQ16" s="1">
        <v>1</v>
      </c>
      <c r="BR16" s="1">
        <f>IFERROR(_xlfn.NUMBERVALUE(SUBSTITUTE(Table4[[#This Row],[RUNS SCORED]],"*",""))/Table4[[#This Row],[BALLS FACED]]*100,0)</f>
        <v>146.66666666666666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22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>
        <v>1</v>
      </c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16" s="1">
        <f>IF(AND(Table4[[#This Row],[CATCHES TAKEN]]="",Table4[[#This Row],[RUNOUTS]]="",Table4[[#This Row],[STUMPINGS]]=""), 0, Table4[[#This Row],[BONUS 3]])</f>
        <v>25</v>
      </c>
      <c r="CG16" s="1"/>
      <c r="CH16" s="1">
        <f>SUM(Table4[[#This Row],[SUB TOTAL 1]],Table4[[#This Row],[SUB TOTAL 2]],Table4[[#This Row],[SUB TOTAL 3]],Table4[[#This Row],[POM BONUS]])</f>
        <v>47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3]],Table6[[#This Row],[POM BONUS]])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>
        <v>2</v>
      </c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BK17" s="1">
        <f>IF(AND(Table3[[#This Row],[CATCHES TAKEN]]="",Table3[[#This Row],[RUNOUTS]]="",Table3[[#This Row],[STUMPINGS]]=""), 0, Table3[[#This Row],[BONUS 3]])</f>
        <v>50</v>
      </c>
      <c r="BL17" s="1"/>
      <c r="BM17" s="1">
        <f>SUM(Table3[[#This Row],[SUB TOTAL 1]],Table3[[#This Row],[SUB TOTAL 2]],Table3[[#This Row],[SUB TOTAL 3]],Table3[[#This Row],[POM BONUS]])</f>
        <v>50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3]],Table7[[#This Row],[POM BONUS]])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105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>
        <v>20</v>
      </c>
      <c r="AT18" s="1">
        <v>27</v>
      </c>
      <c r="AU18" s="1">
        <v>2</v>
      </c>
      <c r="AV18" s="1">
        <v>0</v>
      </c>
      <c r="AW18" s="1">
        <f>IFERROR(_xlfn.NUMBERVALUE(SUBSTITUTE(Table3[[#This Row],[RUNS SCORED]],"*",""))/Table3[[#This Row],[BALLS FACED]]*100,0)</f>
        <v>74.074074074074076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20</v>
      </c>
      <c r="AZ18" s="1">
        <v>1</v>
      </c>
      <c r="BA18" s="1">
        <v>0</v>
      </c>
      <c r="BB18" s="1">
        <v>9</v>
      </c>
      <c r="BC18" s="1">
        <v>1</v>
      </c>
      <c r="BD18" s="1">
        <f>IFERROR(Table3[[#This Row],[RUNS GIVEN]]/Table3[[#This Row],[OVERS]],0)</f>
        <v>9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50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70</v>
      </c>
      <c r="BN18" s="1" t="s">
        <v>313</v>
      </c>
      <c r="BO18" s="1">
        <v>13</v>
      </c>
      <c r="BP18" s="1">
        <v>0</v>
      </c>
      <c r="BQ18" s="1">
        <v>1</v>
      </c>
      <c r="BR18" s="1">
        <f>IFERROR(_xlfn.NUMBERVALUE(SUBSTITUTE(Table4[[#This Row],[RUNS SCORED]],"*",""))/Table4[[#This Row],[BALLS FACED]]*100,0)</f>
        <v>130.76923076923077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BT18" s="1">
        <f>IF(Table4[[#This Row],[RUNS SCORED]]="", 0, VALUE(SUBSTITUTE(Table4[[#This Row],[RUNS SCORED]],"*","")) + Table4[[#This Row],[BONUS 1]])</f>
        <v>42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42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3]],Table5[[#This Row],[POM BONUS]])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3]],Table7[[#This Row],[POM BONUS]])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754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 t="s">
        <v>310</v>
      </c>
      <c r="AT19" s="1">
        <v>14</v>
      </c>
      <c r="AU19" s="1">
        <v>3</v>
      </c>
      <c r="AV19" s="1">
        <v>2</v>
      </c>
      <c r="AW19" s="1">
        <f>IFERROR(_xlfn.NUMBERVALUE(SUBSTITUTE(Table3[[#This Row],[RUNS SCORED]],"*",""))/Table3[[#This Row],[BALLS FACED]]*100,0)</f>
        <v>207.14285714285717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9" s="1">
        <f>IF(Table3[[#This Row],[RUNS SCORED]]="", 0, VALUE(SUBSTITUTE(Table3[[#This Row],[RUNS SCORED]],"*","")) + Table3[[#This Row],[BONUS 1]])</f>
        <v>204</v>
      </c>
      <c r="AZ19" s="1">
        <v>3</v>
      </c>
      <c r="BA19" s="1">
        <v>0</v>
      </c>
      <c r="BB19" s="1">
        <v>16</v>
      </c>
      <c r="BC19" s="1">
        <v>2</v>
      </c>
      <c r="BD19" s="1">
        <f>IFERROR(Table3[[#This Row],[RUNS GIVEN]]/Table3[[#This Row],[OVERS]],0)</f>
        <v>5.333333333333333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100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>
        <v>100</v>
      </c>
      <c r="BM19" s="1">
        <f>SUM(Table3[[#This Row],[SUB TOTAL 1]],Table3[[#This Row],[SUB TOTAL 2]],Table3[[#This Row],[SUB TOTAL 3]],Table3[[#This Row],[POM BONUS]])</f>
        <v>404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>
        <v>3.5</v>
      </c>
      <c r="BV19" s="1">
        <v>0</v>
      </c>
      <c r="BW19" s="1">
        <v>40</v>
      </c>
      <c r="BX19" s="1">
        <v>0</v>
      </c>
      <c r="BY19" s="1">
        <f>IFERROR(Table4[[#This Row],[RUNS GIVEN]]/Table4[[#This Row],[OVERS]],0)</f>
        <v>11.428571428571429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9" s="1">
        <f>IF(Table4[[#This Row],[WICKETS TAKEN]]="", 0, IF(Table4[[#This Row],[WICKETS TAKEN]] = 0, -25,
        Table4[[#This Row],[WICKETS TAKEN]] * 50)+Table4[[#This Row],[BONUS 2]])</f>
        <v>-50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-50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3]],Table6[[#This Row],[POM BONUS]])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3]],Table7[[#This Row],[POM BONUS]])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172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>
        <v>5</v>
      </c>
      <c r="AT20" s="1">
        <v>8</v>
      </c>
      <c r="AU20" s="1">
        <v>1</v>
      </c>
      <c r="AV20" s="1">
        <v>0</v>
      </c>
      <c r="AW20" s="1">
        <f>IFERROR(_xlfn.NUMBERVALUE(SUBSTITUTE(Table3[[#This Row],[RUNS SCORED]],"*",""))/Table3[[#This Row],[BALLS FACED]]*100,0)</f>
        <v>62.5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20" s="1">
        <f>IF(Table3[[#This Row],[RUNS SCORED]]="", 0, VALUE(SUBSTITUTE(Table3[[#This Row],[RUNS SCORED]],"*","")) + Table3[[#This Row],[BONUS 1]])</f>
        <v>-5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-5</v>
      </c>
      <c r="BN20" s="1">
        <v>47</v>
      </c>
      <c r="BO20" s="1">
        <v>28</v>
      </c>
      <c r="BP20" s="1">
        <v>8</v>
      </c>
      <c r="BQ20" s="1">
        <v>0</v>
      </c>
      <c r="BR20" s="1">
        <f>IFERROR(_xlfn.NUMBERVALUE(SUBSTITUTE(Table4[[#This Row],[RUNS SCORED]],"*",""))/Table4[[#This Row],[BALLS FACED]]*100,0)</f>
        <v>167.85714285714286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BT20" s="1">
        <f>IF(Table4[[#This Row],[RUNS SCORED]]="", 0, VALUE(SUBSTITUTE(Table4[[#This Row],[RUNS SCORED]],"*","")) + Table4[[#This Row],[BONUS 1]])</f>
        <v>97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97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3]],Table6[[#This Row],[POM BONUS]])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219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>
        <v>0</v>
      </c>
      <c r="BO21" s="1">
        <v>3</v>
      </c>
      <c r="BP21" s="1">
        <v>0</v>
      </c>
      <c r="BQ21" s="1">
        <v>0</v>
      </c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BT21" s="1">
        <f>IF(Table4[[#This Row],[RUNS SCORED]]="", 0, VALUE(SUBSTITUTE(Table4[[#This Row],[RUNS SCORED]],"*","")) + Table4[[#This Row],[BONUS 1]])</f>
        <v>-25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>
        <v>1</v>
      </c>
      <c r="CC21" s="1">
        <v>1</v>
      </c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CF21" s="1">
        <f>IF(AND(Table4[[#This Row],[CATCHES TAKEN]]="",Table4[[#This Row],[RUNOUTS]]="",Table4[[#This Row],[STUMPINGS]]=""), 0, Table4[[#This Row],[BONUS 3]])</f>
        <v>75</v>
      </c>
      <c r="CG21" s="1"/>
      <c r="CH21" s="1">
        <f>SUM(Table4[[#This Row],[SUB TOTAL 1]],Table4[[#This Row],[SUB TOTAL 2]],Table4[[#This Row],[SUB TOTAL 3]],Table4[[#This Row],[POM BONUS]])</f>
        <v>50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3]],Table5[[#This Row],[POM BONUS]])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265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>
        <v>29</v>
      </c>
      <c r="AT22" s="1">
        <v>18</v>
      </c>
      <c r="AU22" s="1">
        <v>1</v>
      </c>
      <c r="AV22" s="1">
        <v>2</v>
      </c>
      <c r="AW22" s="1">
        <f>IFERROR(_xlfn.NUMBERVALUE(SUBSTITUTE(Table3[[#This Row],[RUNS SCORED]],"*",""))/Table3[[#This Row],[BALLS FACED]]*100,0)</f>
        <v>161.11111111111111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2" s="1">
        <f>IF(Table3[[#This Row],[RUNS SCORED]]="", 0, VALUE(SUBSTITUTE(Table3[[#This Row],[RUNS SCORED]],"*","")) + Table3[[#This Row],[BONUS 1]])</f>
        <v>79</v>
      </c>
      <c r="AZ22" s="1">
        <v>1</v>
      </c>
      <c r="BA22" s="1">
        <v>0</v>
      </c>
      <c r="BB22" s="1">
        <v>8</v>
      </c>
      <c r="BC22" s="1">
        <v>0</v>
      </c>
      <c r="BD22" s="1">
        <f>IFERROR(Table3[[#This Row],[RUNS GIVEN]]/Table3[[#This Row],[OVERS]],0)</f>
        <v>8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-25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54</v>
      </c>
      <c r="BN22" s="1" t="s">
        <v>314</v>
      </c>
      <c r="BO22" s="1">
        <v>19</v>
      </c>
      <c r="BP22" s="1">
        <v>2</v>
      </c>
      <c r="BQ22" s="1">
        <v>2</v>
      </c>
      <c r="BR22" s="1">
        <f>IFERROR(_xlfn.NUMBERVALUE(SUBSTITUTE(Table4[[#This Row],[RUNS SCORED]],"*",""))/Table4[[#This Row],[BALLS FACED]]*100,0)</f>
        <v>157.89473684210526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BT22" s="1">
        <f>IF(Table4[[#This Row],[RUNS SCORED]]="", 0, VALUE(SUBSTITUTE(Table4[[#This Row],[RUNS SCORED]],"*","")) + Table4[[#This Row],[BONUS 1]])</f>
        <v>105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105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3]],Table5[[#This Row],[POM BONUS]])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3]],Table7[[#This Row],[POM BONUS]])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367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>
        <v>58</v>
      </c>
      <c r="BO23" s="1">
        <v>37</v>
      </c>
      <c r="BP23" s="1">
        <v>4</v>
      </c>
      <c r="BQ23" s="1">
        <v>2</v>
      </c>
      <c r="BR23" s="1">
        <f>IFERROR(_xlfn.NUMBERVALUE(SUBSTITUTE(Table4[[#This Row],[RUNS SCORED]],"*",""))/Table4[[#This Row],[BALLS FACED]]*100,0)</f>
        <v>156.75675675675674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BT23" s="1">
        <f>IF(Table4[[#This Row],[RUNS SCORED]]="", 0, VALUE(SUBSTITUTE(Table4[[#This Row],[RUNS SCORED]],"*","")) + Table4[[#This Row],[BONUS 1]])</f>
        <v>158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>
        <v>1</v>
      </c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CF23" s="1">
        <f>IF(AND(Table4[[#This Row],[CATCHES TAKEN]]="",Table4[[#This Row],[RUNOUTS]]="",Table4[[#This Row],[STUMPINGS]]=""), 0, Table4[[#This Row],[BONUS 3]])</f>
        <v>50</v>
      </c>
      <c r="CG23" s="1"/>
      <c r="CH23" s="1">
        <f>SUM(Table4[[#This Row],[SUB TOTAL 1]],Table4[[#This Row],[SUB TOTAL 2]],Table4[[#This Row],[SUB TOTAL 3]],Table4[[#This Row],[POM BONUS]])</f>
        <v>208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3]],Table5[[#This Row],[POM BONUS]])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200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>
        <v>4</v>
      </c>
      <c r="BV24" s="1">
        <v>0</v>
      </c>
      <c r="BW24" s="1">
        <v>25</v>
      </c>
      <c r="BX24" s="1">
        <v>0</v>
      </c>
      <c r="BY24" s="1">
        <f>IFERROR(Table4[[#This Row],[RUNS GIVEN]]/Table4[[#This Row],[OVERS]],0)</f>
        <v>6.25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-25</v>
      </c>
      <c r="CB24" s="1">
        <v>1</v>
      </c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24" s="1">
        <f>IF(AND(Table4[[#This Row],[CATCHES TAKEN]]="",Table4[[#This Row],[RUNOUTS]]="",Table4[[#This Row],[STUMPINGS]]=""), 0, Table4[[#This Row],[BONUS 3]])</f>
        <v>25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3]],Table6[[#This Row],[POM BONUS]])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362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>
        <v>4</v>
      </c>
      <c r="BA25" s="1">
        <v>0</v>
      </c>
      <c r="BB25" s="1">
        <v>18</v>
      </c>
      <c r="BC25" s="1">
        <v>0</v>
      </c>
      <c r="BD25" s="1">
        <f>IFERROR(Table3[[#This Row],[RUNS GIVEN]]/Table3[[#This Row],[OVERS]],0)</f>
        <v>4.5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25" s="1">
        <f>IF(Table3[[#This Row],[WICKETS TAKEN]]="", 0, IF(Table3[[#This Row],[WICKETS TAKEN]] = 0, -25,
        Table3[[#This Row],[WICKETS TAKEN]] * 50)+Table3[[#This Row],[BONUS 2]])</f>
        <v>75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75</v>
      </c>
      <c r="BN25" s="1">
        <v>2</v>
      </c>
      <c r="BO25" s="1">
        <v>2</v>
      </c>
      <c r="BP25" s="1">
        <v>0</v>
      </c>
      <c r="BQ25" s="1">
        <v>0</v>
      </c>
      <c r="BR25" s="1">
        <f>IFERROR(_xlfn.NUMBERVALUE(SUBSTITUTE(Table4[[#This Row],[RUNS SCORED]],"*",""))/Table4[[#This Row],[BALLS FACED]]*100,0)</f>
        <v>100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25" s="1">
        <f>IF(Table4[[#This Row],[RUNS SCORED]]="", 0, VALUE(SUBSTITUTE(Table4[[#This Row],[RUNS SCORED]],"*","")) + Table4[[#This Row],[BONUS 1]])</f>
        <v>-8</v>
      </c>
      <c r="BU25" s="1">
        <v>4</v>
      </c>
      <c r="BV25" s="1">
        <v>0</v>
      </c>
      <c r="BW25" s="1">
        <v>22</v>
      </c>
      <c r="BX25" s="1">
        <v>2</v>
      </c>
      <c r="BY25" s="1">
        <f>IFERROR(Table4[[#This Row],[RUNS GIVEN]]/Table4[[#This Row],[OVERS]],0)</f>
        <v>5.5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100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92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3]],Table5[[#This Row],[POM BONUS]])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5</v>
      </c>
      <c r="C30" s="1">
        <v>5</v>
      </c>
    </row>
    <row r="31" spans="1:149" x14ac:dyDescent="0.3">
      <c r="A31" t="s">
        <v>6</v>
      </c>
      <c r="B31" s="1">
        <f>_xlfn.XLOOKUP(Table411[[#This Row],[NAME]],Table8[NAME],Table8[RANK],"NA")</f>
        <v>6</v>
      </c>
      <c r="C31" s="1">
        <v>6</v>
      </c>
    </row>
    <row r="32" spans="1:149" x14ac:dyDescent="0.3">
      <c r="A32" t="s">
        <v>7</v>
      </c>
      <c r="B32" s="1">
        <f>_xlfn.XLOOKUP(Table411[[#This Row],[NAME]],Table8[NAME],Table8[RANK],"NA")</f>
        <v>4</v>
      </c>
      <c r="C32" s="1">
        <v>4</v>
      </c>
    </row>
    <row r="33" spans="1:3" x14ac:dyDescent="0.3">
      <c r="A33" t="s">
        <v>8</v>
      </c>
      <c r="B33" s="1">
        <f>_xlfn.XLOOKUP(Table411[[#This Row],[NAME]],Table8[NAME],Table8[RANK],"NA")</f>
        <v>7</v>
      </c>
      <c r="C33" s="1">
        <v>7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2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C2:I2"/>
    <mergeCell ref="J2:P2"/>
    <mergeCell ref="Q2:U2"/>
    <mergeCell ref="C1:W1"/>
    <mergeCell ref="X1:AR1"/>
    <mergeCell ref="X2:AD2"/>
    <mergeCell ref="AE2:AK2"/>
    <mergeCell ref="AL2:AP2"/>
    <mergeCell ref="AS1:BM1"/>
    <mergeCell ref="AS2:AY2"/>
    <mergeCell ref="AZ2:BF2"/>
    <mergeCell ref="BG2:BK2"/>
    <mergeCell ref="BN1:CH1"/>
    <mergeCell ref="BN2:BT2"/>
    <mergeCell ref="BU2:CA2"/>
    <mergeCell ref="CB2:CF2"/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topLeftCell="T1" workbookViewId="0">
      <selection activeCell="AD7" sqref="AD7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47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  <c r="Y2">
        <v>230</v>
      </c>
      <c r="Z2">
        <v>0</v>
      </c>
      <c r="AA2">
        <v>177</v>
      </c>
      <c r="AB2">
        <v>22</v>
      </c>
      <c r="AC2">
        <v>138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  <c r="U3">
        <v>180</v>
      </c>
      <c r="V3">
        <v>0</v>
      </c>
      <c r="W3">
        <v>180</v>
      </c>
      <c r="X3">
        <v>50</v>
      </c>
      <c r="Y3">
        <v>280</v>
      </c>
      <c r="Z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225</v>
      </c>
      <c r="C5">
        <v>192</v>
      </c>
      <c r="D5">
        <v>100</v>
      </c>
      <c r="E5">
        <v>78</v>
      </c>
      <c r="F5">
        <v>25</v>
      </c>
      <c r="W5">
        <v>166</v>
      </c>
      <c r="X5">
        <v>100</v>
      </c>
    </row>
    <row r="6" spans="1:40" x14ac:dyDescent="0.3">
      <c r="A6" t="s">
        <v>9</v>
      </c>
      <c r="B6">
        <f t="shared" si="0"/>
        <v>348.5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  <c r="U6">
        <v>182</v>
      </c>
      <c r="V6">
        <v>0</v>
      </c>
      <c r="Y6">
        <v>233</v>
      </c>
      <c r="Z6">
        <v>0</v>
      </c>
      <c r="AC6">
        <v>167</v>
      </c>
      <c r="AD6">
        <v>100</v>
      </c>
    </row>
    <row r="7" spans="1:40" x14ac:dyDescent="0.3">
      <c r="A7" t="s">
        <v>10</v>
      </c>
      <c r="B7">
        <f t="shared" si="0"/>
        <v>225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  <c r="U7">
        <v>155</v>
      </c>
      <c r="V7">
        <v>50</v>
      </c>
      <c r="W7">
        <v>160</v>
      </c>
      <c r="X7">
        <v>50</v>
      </c>
      <c r="Y7">
        <v>214</v>
      </c>
      <c r="Z7">
        <v>25</v>
      </c>
      <c r="AA7">
        <v>191</v>
      </c>
      <c r="AC7">
        <v>147</v>
      </c>
    </row>
    <row r="8" spans="1:40" x14ac:dyDescent="0.3">
      <c r="A8" t="s">
        <v>11</v>
      </c>
      <c r="B8">
        <f t="shared" si="0"/>
        <v>472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  <c r="U8">
        <v>175</v>
      </c>
      <c r="V8">
        <v>0</v>
      </c>
      <c r="W8">
        <v>178</v>
      </c>
      <c r="X8">
        <v>50</v>
      </c>
      <c r="Y8">
        <v>223</v>
      </c>
      <c r="Z8">
        <v>0</v>
      </c>
      <c r="AA8">
        <v>183</v>
      </c>
      <c r="AC8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T1" workbookViewId="0">
      <selection activeCell="AC3" sqref="AC3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140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  <c r="Y2" t="s">
        <v>31</v>
      </c>
      <c r="Z2">
        <v>25</v>
      </c>
      <c r="AA2" t="s">
        <v>100</v>
      </c>
      <c r="AB2">
        <v>-10</v>
      </c>
      <c r="AC2" t="s">
        <v>31</v>
      </c>
      <c r="AD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122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  <c r="U3" t="s">
        <v>104</v>
      </c>
      <c r="V3">
        <v>17</v>
      </c>
      <c r="W3" t="s">
        <v>98</v>
      </c>
      <c r="X3">
        <v>-10</v>
      </c>
      <c r="Y3" t="s">
        <v>31</v>
      </c>
      <c r="Z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75</v>
      </c>
      <c r="C5" t="s">
        <v>98</v>
      </c>
      <c r="D5">
        <v>25</v>
      </c>
      <c r="E5" t="s">
        <v>31</v>
      </c>
      <c r="F5">
        <v>25</v>
      </c>
      <c r="W5" t="s">
        <v>100</v>
      </c>
      <c r="X5">
        <v>25</v>
      </c>
    </row>
    <row r="6" spans="1:40" x14ac:dyDescent="0.3">
      <c r="A6" t="s">
        <v>9</v>
      </c>
      <c r="B6">
        <f t="shared" si="0"/>
        <v>177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  <c r="U6" t="s">
        <v>104</v>
      </c>
      <c r="V6">
        <v>22.5</v>
      </c>
      <c r="W6" t="s">
        <v>98</v>
      </c>
      <c r="X6">
        <v>-10</v>
      </c>
      <c r="Y6" t="s">
        <v>31</v>
      </c>
      <c r="Z6">
        <v>25</v>
      </c>
      <c r="AC6" t="s">
        <v>31</v>
      </c>
      <c r="AD6">
        <v>25</v>
      </c>
    </row>
    <row r="7" spans="1:40" x14ac:dyDescent="0.3">
      <c r="A7" t="s">
        <v>10</v>
      </c>
      <c r="B7">
        <f t="shared" si="0"/>
        <v>270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  <c r="U7" t="s">
        <v>104</v>
      </c>
      <c r="V7">
        <v>25</v>
      </c>
      <c r="W7" t="s">
        <v>100</v>
      </c>
      <c r="X7">
        <v>25</v>
      </c>
      <c r="Y7" t="s">
        <v>31</v>
      </c>
      <c r="Z7">
        <v>25</v>
      </c>
      <c r="AA7" t="s">
        <v>100</v>
      </c>
      <c r="AB7">
        <v>-10</v>
      </c>
      <c r="AC7" t="s">
        <v>31</v>
      </c>
      <c r="AD7">
        <v>25</v>
      </c>
    </row>
    <row r="8" spans="1:40" x14ac:dyDescent="0.3">
      <c r="A8" t="s">
        <v>11</v>
      </c>
      <c r="B8">
        <f t="shared" si="0"/>
        <v>190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  <c r="U8" t="s">
        <v>104</v>
      </c>
      <c r="V8">
        <v>22.5</v>
      </c>
      <c r="W8" t="s">
        <v>98</v>
      </c>
      <c r="X8">
        <v>-10</v>
      </c>
      <c r="Y8" t="s">
        <v>31</v>
      </c>
      <c r="Z8">
        <v>25</v>
      </c>
      <c r="AA8" t="s">
        <v>100</v>
      </c>
      <c r="AB8">
        <v>-10</v>
      </c>
      <c r="AC8" t="s">
        <v>31</v>
      </c>
      <c r="AD8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163</v>
      </c>
      <c r="E2">
        <f>'DESCRIPTIVE PLAYER POINTS'!CH4</f>
        <v>399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17</v>
      </c>
      <c r="E3">
        <f>'DESCRIPTIVE PLAYER POINTS'!CH5</f>
        <v>21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25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-50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66</v>
      </c>
      <c r="E6">
        <f>'DESCRIPTIVE PLAYER POINTS'!CH8</f>
        <v>72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49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-50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201</v>
      </c>
      <c r="E9">
        <f>'DESCRIPTIVE PLAYER POINTS'!CH11</f>
        <v>-34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43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-6</v>
      </c>
      <c r="E11">
        <f>'DESCRIPTIVE PLAYER POINTS'!CH13</f>
        <v>21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350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46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-4</v>
      </c>
      <c r="E14">
        <f>'DESCRIPTIVE PLAYER POINTS'!CH16</f>
        <v>47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50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70</v>
      </c>
      <c r="E16">
        <f>'DESCRIPTIVE PLAYER POINTS'!CH18</f>
        <v>42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404</v>
      </c>
      <c r="E17">
        <f>'DESCRIPTIVE PLAYER POINTS'!CH19</f>
        <v>-50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-5</v>
      </c>
      <c r="E18">
        <f>'DESCRIPTIVE PLAYER POINTS'!CH20</f>
        <v>97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50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54</v>
      </c>
      <c r="E20">
        <f>'DESCRIPTIVE PLAYER POINTS'!CH22</f>
        <v>105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208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75</v>
      </c>
      <c r="E23">
        <f>'DESCRIPTIVE PLAYER POINTS'!CH25</f>
        <v>92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24" sqref="E24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4</v>
      </c>
      <c r="F2">
        <f>_xlfn.XLOOKUP(A2,Table0[PLAYER NAME],Table0[POINTS TALLY],"")</f>
        <v>823</v>
      </c>
      <c r="G2">
        <f>IFERROR(F2/E2,"")</f>
        <v>205.75</v>
      </c>
      <c r="H2">
        <f>MAX('MATCH-WISE PERFORMANCE'!B2:H2)</f>
        <v>399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4</v>
      </c>
      <c r="F3">
        <f>_xlfn.XLOOKUP(A3,Table0[PLAYER NAME],Table0[POINTS TALLY],"")</f>
        <v>15</v>
      </c>
      <c r="G3">
        <f t="shared" ref="G3:G23" si="0">IFERROR(F3/E3,"")</f>
        <v>3.75</v>
      </c>
      <c r="H3">
        <f>MAX('MATCH-WISE PERFORMANCE'!B3:H3)</f>
        <v>21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25</v>
      </c>
      <c r="G4" t="str">
        <f t="shared" si="0"/>
        <v/>
      </c>
      <c r="H4">
        <f>MAX('MATCH-WISE PERFORMANCE'!B4:H4)</f>
        <v>25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3</v>
      </c>
      <c r="F5">
        <f>_xlfn.XLOOKUP(A5,Table0[PLAYER NAME],Table0[POINTS TALLY],"")</f>
        <v>67</v>
      </c>
      <c r="G5">
        <f t="shared" si="0"/>
        <v>22.333333333333332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4</v>
      </c>
      <c r="F6">
        <f>_xlfn.XLOOKUP(A6,Table0[PLAYER NAME],Table0[POINTS TALLY],"")</f>
        <v>188</v>
      </c>
      <c r="G6">
        <f t="shared" si="0"/>
        <v>47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3</v>
      </c>
      <c r="F7">
        <f>_xlfn.XLOOKUP(A7,Table0[PLAYER NAME],Table0[POINTS TALLY],"")</f>
        <v>60</v>
      </c>
      <c r="G7">
        <f t="shared" si="0"/>
        <v>20</v>
      </c>
      <c r="H7">
        <f>MAX('MATCH-WISE PERFORMANCE'!B7:H7)</f>
        <v>49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3</v>
      </c>
      <c r="F8">
        <f>_xlfn.XLOOKUP(A8,Table0[PLAYER NAME],Table0[POINTS TALLY],"")</f>
        <v>125</v>
      </c>
      <c r="G8">
        <f t="shared" si="0"/>
        <v>41.666666666666664</v>
      </c>
      <c r="H8">
        <f>MAX('MATCH-WISE PERFORMANCE'!B8:H8)</f>
        <v>125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4</v>
      </c>
      <c r="F9">
        <f>_xlfn.XLOOKUP(A9,Table0[PLAYER NAME],Table0[POINTS TALLY],"")</f>
        <v>187</v>
      </c>
      <c r="G9">
        <f t="shared" si="0"/>
        <v>46.75</v>
      </c>
      <c r="H9">
        <f>MAX('MATCH-WISE PERFORMANCE'!B9:H9)</f>
        <v>201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4</v>
      </c>
      <c r="F10">
        <f>_xlfn.XLOOKUP(A10,Table0[PLAYER NAME],Table0[POINTS TALLY],"")</f>
        <v>118</v>
      </c>
      <c r="G10">
        <f t="shared" si="0"/>
        <v>29.5</v>
      </c>
      <c r="H10">
        <f>MAX('MATCH-WISE PERFORMANCE'!B10:H10)</f>
        <v>50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4</v>
      </c>
      <c r="F11">
        <f>_xlfn.XLOOKUP(A11,Table0[PLAYER NAME],Table0[POINTS TALLY],"")</f>
        <v>34</v>
      </c>
      <c r="G11">
        <f t="shared" si="0"/>
        <v>8.5</v>
      </c>
      <c r="H11">
        <f>MAX('MATCH-WISE PERFORMANCE'!B11:H11)</f>
        <v>69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4</v>
      </c>
      <c r="F12">
        <f>_xlfn.XLOOKUP(A12,Table0[PLAYER NAME],Table0[POINTS TALLY],"")</f>
        <v>650</v>
      </c>
      <c r="G12">
        <f t="shared" si="0"/>
        <v>162.5</v>
      </c>
      <c r="H12">
        <f>MAX('MATCH-WISE PERFORMANCE'!B12:H12)</f>
        <v>350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3</v>
      </c>
      <c r="F13">
        <f>_xlfn.XLOOKUP(A13,Table0[PLAYER NAME],Table0[POINTS TALLY],"")</f>
        <v>310</v>
      </c>
      <c r="G13">
        <f t="shared" si="0"/>
        <v>103.33333333333333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4</v>
      </c>
      <c r="F14">
        <f>_xlfn.XLOOKUP(A14,Table0[PLAYER NAME],Table0[POINTS TALLY],"")</f>
        <v>461</v>
      </c>
      <c r="G14">
        <f t="shared" si="0"/>
        <v>115.25</v>
      </c>
      <c r="H14">
        <f>MAX('MATCH-WISE PERFORMANCE'!B14:H14)</f>
        <v>268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50</v>
      </c>
      <c r="G15" t="str">
        <f t="shared" si="0"/>
        <v/>
      </c>
      <c r="H15">
        <f>MAX('MATCH-WISE PERFORMANCE'!B15:H15)</f>
        <v>50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4</v>
      </c>
      <c r="F16">
        <f>_xlfn.XLOOKUP(A16,Table0[PLAYER NAME],Table0[POINTS TALLY],"")</f>
        <v>105</v>
      </c>
      <c r="G16">
        <f t="shared" si="0"/>
        <v>26.25</v>
      </c>
      <c r="H16">
        <f>MAX('MATCH-WISE PERFORMANCE'!B16:H16)</f>
        <v>70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4</v>
      </c>
      <c r="F17">
        <f>_xlfn.XLOOKUP(A17,Table0[PLAYER NAME],Table0[POINTS TALLY],"")</f>
        <v>754</v>
      </c>
      <c r="G17">
        <f t="shared" si="0"/>
        <v>188.5</v>
      </c>
      <c r="H17">
        <f>MAX('MATCH-WISE PERFORMANCE'!B17:H17)</f>
        <v>404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4</v>
      </c>
      <c r="F18">
        <f>_xlfn.XLOOKUP(A18,Table0[PLAYER NAME],Table0[POINTS TALLY],"")</f>
        <v>172</v>
      </c>
      <c r="G18">
        <f t="shared" si="0"/>
        <v>43</v>
      </c>
      <c r="H18">
        <f>MAX('MATCH-WISE PERFORMANCE'!B18:H18)</f>
        <v>97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4</v>
      </c>
      <c r="F19">
        <f>_xlfn.XLOOKUP(A19,Table0[PLAYER NAME],Table0[POINTS TALLY],"")</f>
        <v>219</v>
      </c>
      <c r="G19">
        <f t="shared" si="0"/>
        <v>54.75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4</v>
      </c>
      <c r="F20">
        <f>_xlfn.XLOOKUP(A20,Table0[PLAYER NAME],Table0[POINTS TALLY],"")</f>
        <v>265</v>
      </c>
      <c r="G20">
        <f t="shared" si="0"/>
        <v>66.25</v>
      </c>
      <c r="H20">
        <f>MAX('MATCH-WISE PERFORMANCE'!B20:H20)</f>
        <v>106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4</v>
      </c>
      <c r="F21">
        <f>_xlfn.XLOOKUP(A21,Table0[PLAYER NAME],Table0[POINTS TALLY],"")</f>
        <v>367</v>
      </c>
      <c r="G21">
        <f t="shared" si="0"/>
        <v>91.75</v>
      </c>
      <c r="H21">
        <f>MAX('MATCH-WISE PERFORMANCE'!B21:H21)</f>
        <v>208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4</v>
      </c>
      <c r="F22">
        <f>_xlfn.XLOOKUP(A22,Table0[PLAYER NAME],Table0[POINTS TALLY],"")</f>
        <v>200</v>
      </c>
      <c r="G22">
        <f t="shared" si="0"/>
        <v>50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4</v>
      </c>
      <c r="F23">
        <f>_xlfn.XLOOKUP(A23,Table0[PLAYER NAME],Table0[POINTS TALLY],"")</f>
        <v>362</v>
      </c>
      <c r="G23">
        <f t="shared" si="0"/>
        <v>90.5</v>
      </c>
      <c r="H23">
        <f>MAX('MATCH-WISE PERFORMANCE'!B23:H23)</f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2025-09-22T10:15:47Z</dcterms:modified>
  <cp:category/>
  <cp:contentStatus/>
</cp:coreProperties>
</file>