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Azuke\github\"/>
    </mc:Choice>
  </mc:AlternateContent>
  <xr:revisionPtr revIDLastSave="0" documentId="13_ncr:1_{26FB4E6F-4FFA-40ED-B664-AE76129E4619}" xr6:coauthVersionLast="47" xr6:coauthVersionMax="47" xr10:uidLastSave="{00000000-0000-0000-0000-000000000000}"/>
  <bookViews>
    <workbookView xWindow="690" yWindow="0" windowWidth="14910" windowHeight="16200" activeTab="2" xr2:uid="{00000000-000D-0000-FFFF-FFFF00000000}"/>
  </bookViews>
  <sheets>
    <sheet name="Universe" sheetId="1" r:id="rId1"/>
    <sheet name="Benchmark" sheetId="2" r:id="rId2"/>
    <sheet name="Clients" sheetId="3" r:id="rId3"/>
    <sheet name="WX" sheetId="4" r:id="rId4"/>
    <sheet name="XY" sheetId="5" r:id="rId5"/>
  </sheets>
  <definedNames>
    <definedName name="_xlnm._FilterDatabase" localSheetId="1" hidden="1">Benchmark!$A$2:$B$8</definedName>
    <definedName name="_xlnm._FilterDatabase" localSheetId="0" hidden="1">Universe!$A$1:$G$169</definedName>
    <definedName name="solver_adj" localSheetId="3" hidden="1">WX!$L$20:$L$29</definedName>
    <definedName name="solver_adj" localSheetId="4" hidden="1">XY!$L$20:$L$43</definedName>
    <definedName name="solver_cvg" localSheetId="3" hidden="1">0.0001</definedName>
    <definedName name="solver_cvg" localSheetId="4" hidden="1">0.0001</definedName>
    <definedName name="solver_drv" localSheetId="3" hidden="1">2</definedName>
    <definedName name="solver_drv" localSheetId="4" hidden="1">2</definedName>
    <definedName name="solver_eng" localSheetId="3" hidden="1">1</definedName>
    <definedName name="solver_eng" localSheetId="4" hidden="1">1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WX!$L$14</definedName>
    <definedName name="solver_lhs1" localSheetId="4" hidden="1">XY!$L$14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2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1</definedName>
    <definedName name="solver_num" localSheetId="4" hidden="1">1</definedName>
    <definedName name="solver_nwt" localSheetId="3" hidden="1">1</definedName>
    <definedName name="solver_nwt" localSheetId="4" hidden="1">1</definedName>
    <definedName name="solver_opt" localSheetId="3" hidden="1">WX!$B$16</definedName>
    <definedName name="solver_opt" localSheetId="4" hidden="1">XY!$B$16</definedName>
    <definedName name="solver_pre" localSheetId="3" hidden="1">0.000001</definedName>
    <definedName name="solver_pre" localSheetId="4" hidden="1">0.000001</definedName>
    <definedName name="solver_rbv" localSheetId="3" hidden="1">2</definedName>
    <definedName name="solver_rbv" localSheetId="4" hidden="1">2</definedName>
    <definedName name="solver_rel1" localSheetId="3" hidden="1">2</definedName>
    <definedName name="solver_rel1" localSheetId="4" hidden="1">2</definedName>
    <definedName name="solver_rhs1" localSheetId="3" hidden="1">1</definedName>
    <definedName name="solver_rhs1" localSheetId="4" hidden="1">1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2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1</definedName>
    <definedName name="solver_typ" localSheetId="4" hidden="1">1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5" l="1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20" i="4"/>
  <c r="G3" i="3"/>
  <c r="G2" i="3"/>
  <c r="F3" i="3"/>
  <c r="F2" i="3"/>
  <c r="E2" i="3"/>
  <c r="E3" i="3"/>
  <c r="D3" i="3"/>
  <c r="D2" i="3"/>
  <c r="C3" i="3"/>
  <c r="C2" i="3"/>
  <c r="B11" i="5"/>
  <c r="L14" i="5"/>
  <c r="M14" i="4"/>
  <c r="M15" i="4"/>
  <c r="L14" i="4"/>
  <c r="L15" i="4"/>
  <c r="M15" i="5"/>
  <c r="L15" i="5"/>
  <c r="M14" i="5"/>
  <c r="N86" i="5"/>
  <c r="L86" i="5"/>
  <c r="D86" i="5"/>
  <c r="K86" i="5" s="1"/>
  <c r="C86" i="5"/>
  <c r="B86" i="5"/>
  <c r="N85" i="5"/>
  <c r="L85" i="5"/>
  <c r="K85" i="5"/>
  <c r="D85" i="5"/>
  <c r="C85" i="5"/>
  <c r="B85" i="5"/>
  <c r="N84" i="5"/>
  <c r="L84" i="5"/>
  <c r="K84" i="5"/>
  <c r="D84" i="5"/>
  <c r="C84" i="5"/>
  <c r="B84" i="5"/>
  <c r="N83" i="5"/>
  <c r="L83" i="5"/>
  <c r="E83" i="5"/>
  <c r="D83" i="5"/>
  <c r="K83" i="5" s="1"/>
  <c r="C83" i="5"/>
  <c r="B83" i="5"/>
  <c r="N82" i="5"/>
  <c r="L82" i="5"/>
  <c r="D82" i="5"/>
  <c r="K82" i="5" s="1"/>
  <c r="C82" i="5"/>
  <c r="B82" i="5"/>
  <c r="N81" i="5"/>
  <c r="L81" i="5"/>
  <c r="D81" i="5"/>
  <c r="K81" i="5" s="1"/>
  <c r="C81" i="5"/>
  <c r="B81" i="5"/>
  <c r="N80" i="5"/>
  <c r="L80" i="5"/>
  <c r="K80" i="5"/>
  <c r="D80" i="5"/>
  <c r="C80" i="5"/>
  <c r="B80" i="5"/>
  <c r="N79" i="5"/>
  <c r="L79" i="5"/>
  <c r="D79" i="5"/>
  <c r="K79" i="5" s="1"/>
  <c r="C79" i="5"/>
  <c r="B79" i="5"/>
  <c r="N78" i="5"/>
  <c r="L78" i="5"/>
  <c r="D78" i="5"/>
  <c r="K78" i="5" s="1"/>
  <c r="C78" i="5"/>
  <c r="B78" i="5"/>
  <c r="N77" i="5"/>
  <c r="L77" i="5"/>
  <c r="K77" i="5"/>
  <c r="D77" i="5"/>
  <c r="C77" i="5"/>
  <c r="B77" i="5"/>
  <c r="N76" i="5"/>
  <c r="L76" i="5"/>
  <c r="K76" i="5"/>
  <c r="D76" i="5"/>
  <c r="C76" i="5"/>
  <c r="B76" i="5"/>
  <c r="N75" i="5"/>
  <c r="L75" i="5"/>
  <c r="D75" i="5"/>
  <c r="K75" i="5" s="1"/>
  <c r="C75" i="5"/>
  <c r="B75" i="5"/>
  <c r="N74" i="5"/>
  <c r="L74" i="5"/>
  <c r="D74" i="5"/>
  <c r="K74" i="5" s="1"/>
  <c r="C74" i="5"/>
  <c r="B74" i="5"/>
  <c r="N73" i="5"/>
  <c r="L73" i="5"/>
  <c r="D73" i="5"/>
  <c r="K73" i="5" s="1"/>
  <c r="C73" i="5"/>
  <c r="B73" i="5"/>
  <c r="N72" i="5"/>
  <c r="L72" i="5"/>
  <c r="K72" i="5"/>
  <c r="D72" i="5"/>
  <c r="C72" i="5"/>
  <c r="B72" i="5"/>
  <c r="N71" i="5"/>
  <c r="L71" i="5"/>
  <c r="D71" i="5"/>
  <c r="K71" i="5" s="1"/>
  <c r="C71" i="5"/>
  <c r="B71" i="5"/>
  <c r="N70" i="5"/>
  <c r="L70" i="5"/>
  <c r="D70" i="5"/>
  <c r="K70" i="5" s="1"/>
  <c r="C70" i="5"/>
  <c r="B70" i="5"/>
  <c r="N69" i="5"/>
  <c r="L69" i="5"/>
  <c r="K69" i="5"/>
  <c r="D69" i="5"/>
  <c r="C69" i="5"/>
  <c r="B69" i="5"/>
  <c r="N68" i="5"/>
  <c r="L68" i="5"/>
  <c r="K68" i="5"/>
  <c r="D68" i="5"/>
  <c r="C68" i="5"/>
  <c r="B68" i="5"/>
  <c r="N67" i="5"/>
  <c r="L67" i="5"/>
  <c r="D67" i="5"/>
  <c r="K67" i="5" s="1"/>
  <c r="C67" i="5"/>
  <c r="B67" i="5"/>
  <c r="N66" i="5"/>
  <c r="L66" i="5"/>
  <c r="D66" i="5"/>
  <c r="K66" i="5" s="1"/>
  <c r="C66" i="5"/>
  <c r="B66" i="5"/>
  <c r="N65" i="5"/>
  <c r="L65" i="5"/>
  <c r="D65" i="5"/>
  <c r="K65" i="5" s="1"/>
  <c r="C65" i="5"/>
  <c r="B65" i="5"/>
  <c r="N64" i="5"/>
  <c r="L64" i="5"/>
  <c r="K64" i="5"/>
  <c r="D64" i="5"/>
  <c r="C64" i="5"/>
  <c r="B64" i="5"/>
  <c r="N63" i="5"/>
  <c r="L63" i="5"/>
  <c r="D63" i="5"/>
  <c r="K63" i="5" s="1"/>
  <c r="C63" i="5"/>
  <c r="B63" i="5"/>
  <c r="N62" i="5"/>
  <c r="L62" i="5"/>
  <c r="D62" i="5"/>
  <c r="K62" i="5" s="1"/>
  <c r="C62" i="5"/>
  <c r="B62" i="5"/>
  <c r="N61" i="5"/>
  <c r="L61" i="5"/>
  <c r="K61" i="5"/>
  <c r="D61" i="5"/>
  <c r="C61" i="5"/>
  <c r="B61" i="5"/>
  <c r="N60" i="5"/>
  <c r="L60" i="5"/>
  <c r="K60" i="5"/>
  <c r="D60" i="5"/>
  <c r="C60" i="5"/>
  <c r="B60" i="5"/>
  <c r="N59" i="5"/>
  <c r="L59" i="5"/>
  <c r="E59" i="5"/>
  <c r="D59" i="5"/>
  <c r="K59" i="5" s="1"/>
  <c r="C59" i="5"/>
  <c r="B59" i="5"/>
  <c r="N58" i="5"/>
  <c r="L58" i="5"/>
  <c r="D58" i="5"/>
  <c r="K58" i="5" s="1"/>
  <c r="C58" i="5"/>
  <c r="B58" i="5"/>
  <c r="N57" i="5"/>
  <c r="L57" i="5"/>
  <c r="K57" i="5"/>
  <c r="D57" i="5"/>
  <c r="C57" i="5"/>
  <c r="B57" i="5"/>
  <c r="N56" i="5"/>
  <c r="L56" i="5"/>
  <c r="K56" i="5"/>
  <c r="D56" i="5"/>
  <c r="C56" i="5"/>
  <c r="B56" i="5"/>
  <c r="N55" i="5"/>
  <c r="L55" i="5"/>
  <c r="D55" i="5"/>
  <c r="K55" i="5" s="1"/>
  <c r="C55" i="5"/>
  <c r="B55" i="5"/>
  <c r="N54" i="5"/>
  <c r="L54" i="5"/>
  <c r="D54" i="5"/>
  <c r="K54" i="5" s="1"/>
  <c r="C54" i="5"/>
  <c r="B54" i="5"/>
  <c r="N53" i="5"/>
  <c r="L53" i="5"/>
  <c r="K53" i="5"/>
  <c r="D53" i="5"/>
  <c r="C53" i="5"/>
  <c r="B53" i="5"/>
  <c r="N52" i="5"/>
  <c r="L52" i="5"/>
  <c r="K52" i="5"/>
  <c r="D52" i="5"/>
  <c r="C52" i="5"/>
  <c r="B52" i="5"/>
  <c r="N51" i="5"/>
  <c r="L51" i="5"/>
  <c r="E51" i="5"/>
  <c r="D51" i="5"/>
  <c r="K51" i="5" s="1"/>
  <c r="C51" i="5"/>
  <c r="B51" i="5"/>
  <c r="N50" i="5"/>
  <c r="L50" i="5"/>
  <c r="D50" i="5"/>
  <c r="K50" i="5" s="1"/>
  <c r="C50" i="5"/>
  <c r="B50" i="5"/>
  <c r="N49" i="5"/>
  <c r="L49" i="5"/>
  <c r="K49" i="5"/>
  <c r="D49" i="5"/>
  <c r="C49" i="5"/>
  <c r="B49" i="5"/>
  <c r="N48" i="5"/>
  <c r="L48" i="5"/>
  <c r="K48" i="5"/>
  <c r="D48" i="5"/>
  <c r="C48" i="5"/>
  <c r="B48" i="5"/>
  <c r="N47" i="5"/>
  <c r="L47" i="5"/>
  <c r="D47" i="5"/>
  <c r="K47" i="5" s="1"/>
  <c r="C47" i="5"/>
  <c r="B47" i="5"/>
  <c r="N46" i="5"/>
  <c r="L46" i="5"/>
  <c r="E46" i="5"/>
  <c r="D46" i="5"/>
  <c r="K46" i="5" s="1"/>
  <c r="C46" i="5"/>
  <c r="B46" i="5"/>
  <c r="N45" i="5"/>
  <c r="L45" i="5"/>
  <c r="K45" i="5"/>
  <c r="D45" i="5"/>
  <c r="C45" i="5"/>
  <c r="B45" i="5"/>
  <c r="N44" i="5"/>
  <c r="L44" i="5"/>
  <c r="K44" i="5"/>
  <c r="D44" i="5"/>
  <c r="C44" i="5"/>
  <c r="B44" i="5"/>
  <c r="N43" i="5"/>
  <c r="L43" i="5"/>
  <c r="E43" i="5"/>
  <c r="D43" i="5"/>
  <c r="K43" i="5" s="1"/>
  <c r="C43" i="5"/>
  <c r="B43" i="5"/>
  <c r="N42" i="5"/>
  <c r="L42" i="5"/>
  <c r="D42" i="5"/>
  <c r="K42" i="5" s="1"/>
  <c r="C42" i="5"/>
  <c r="B42" i="5"/>
  <c r="N41" i="5"/>
  <c r="L41" i="5"/>
  <c r="D41" i="5"/>
  <c r="K41" i="5" s="1"/>
  <c r="C41" i="5"/>
  <c r="B41" i="5"/>
  <c r="N40" i="5"/>
  <c r="L40" i="5"/>
  <c r="K40" i="5"/>
  <c r="D40" i="5"/>
  <c r="C40" i="5"/>
  <c r="B40" i="5"/>
  <c r="N39" i="5"/>
  <c r="L39" i="5"/>
  <c r="K39" i="5"/>
  <c r="E39" i="5"/>
  <c r="D39" i="5"/>
  <c r="C39" i="5"/>
  <c r="B39" i="5"/>
  <c r="N38" i="5"/>
  <c r="L38" i="5"/>
  <c r="D38" i="5"/>
  <c r="K38" i="5" s="1"/>
  <c r="C38" i="5"/>
  <c r="B38" i="5"/>
  <c r="N37" i="5"/>
  <c r="L37" i="5"/>
  <c r="K37" i="5"/>
  <c r="D37" i="5"/>
  <c r="C37" i="5"/>
  <c r="B37" i="5"/>
  <c r="N36" i="5"/>
  <c r="L36" i="5"/>
  <c r="K36" i="5"/>
  <c r="D36" i="5"/>
  <c r="C36" i="5"/>
  <c r="B36" i="5"/>
  <c r="N35" i="5"/>
  <c r="L35" i="5"/>
  <c r="E35" i="5"/>
  <c r="D35" i="5"/>
  <c r="K35" i="5" s="1"/>
  <c r="C35" i="5"/>
  <c r="B35" i="5"/>
  <c r="N34" i="5"/>
  <c r="L34" i="5"/>
  <c r="D34" i="5"/>
  <c r="K34" i="5" s="1"/>
  <c r="C34" i="5"/>
  <c r="B34" i="5"/>
  <c r="N33" i="5"/>
  <c r="L33" i="5"/>
  <c r="D33" i="5"/>
  <c r="K33" i="5" s="1"/>
  <c r="C33" i="5"/>
  <c r="B33" i="5"/>
  <c r="N32" i="5"/>
  <c r="L32" i="5"/>
  <c r="K32" i="5"/>
  <c r="D32" i="5"/>
  <c r="C32" i="5"/>
  <c r="B32" i="5"/>
  <c r="N31" i="5"/>
  <c r="L31" i="5"/>
  <c r="K31" i="5"/>
  <c r="D31" i="5"/>
  <c r="C31" i="5"/>
  <c r="B31" i="5"/>
  <c r="N30" i="5"/>
  <c r="L30" i="5"/>
  <c r="D30" i="5"/>
  <c r="K30" i="5" s="1"/>
  <c r="C30" i="5"/>
  <c r="B30" i="5"/>
  <c r="N29" i="5"/>
  <c r="L29" i="5"/>
  <c r="K29" i="5"/>
  <c r="D29" i="5"/>
  <c r="C29" i="5"/>
  <c r="B29" i="5"/>
  <c r="N28" i="5"/>
  <c r="L28" i="5"/>
  <c r="K28" i="5"/>
  <c r="D28" i="5"/>
  <c r="C28" i="5"/>
  <c r="B28" i="5"/>
  <c r="N27" i="5"/>
  <c r="L27" i="5"/>
  <c r="E27" i="5"/>
  <c r="D27" i="5"/>
  <c r="K27" i="5" s="1"/>
  <c r="C27" i="5"/>
  <c r="B27" i="5"/>
  <c r="N26" i="5"/>
  <c r="L26" i="5"/>
  <c r="D26" i="5"/>
  <c r="K26" i="5" s="1"/>
  <c r="C26" i="5"/>
  <c r="B26" i="5"/>
  <c r="N25" i="5"/>
  <c r="L25" i="5"/>
  <c r="D25" i="5"/>
  <c r="K25" i="5" s="1"/>
  <c r="C25" i="5"/>
  <c r="B25" i="5"/>
  <c r="N24" i="5"/>
  <c r="L24" i="5"/>
  <c r="K24" i="5"/>
  <c r="D24" i="5"/>
  <c r="C24" i="5"/>
  <c r="B24" i="5"/>
  <c r="N23" i="5"/>
  <c r="L23" i="5"/>
  <c r="K23" i="5"/>
  <c r="E23" i="5"/>
  <c r="D23" i="5"/>
  <c r="C23" i="5"/>
  <c r="B23" i="5"/>
  <c r="N22" i="5"/>
  <c r="L22" i="5"/>
  <c r="D22" i="5"/>
  <c r="K22" i="5" s="1"/>
  <c r="C22" i="5"/>
  <c r="B22" i="5"/>
  <c r="N21" i="5"/>
  <c r="L21" i="5"/>
  <c r="K21" i="5"/>
  <c r="D21" i="5"/>
  <c r="C21" i="5"/>
  <c r="B21" i="5"/>
  <c r="N20" i="5"/>
  <c r="L20" i="5"/>
  <c r="K20" i="5"/>
  <c r="D20" i="5"/>
  <c r="B13" i="5" s="1"/>
  <c r="C20" i="5"/>
  <c r="B20" i="5"/>
  <c r="B12" i="5"/>
  <c r="B16" i="5" s="1"/>
  <c r="B10" i="5"/>
  <c r="B7" i="5"/>
  <c r="B9" i="5" s="1"/>
  <c r="B6" i="5"/>
  <c r="N48" i="4"/>
  <c r="L48" i="4"/>
  <c r="K48" i="4"/>
  <c r="D48" i="4"/>
  <c r="C48" i="4"/>
  <c r="B48" i="4"/>
  <c r="N47" i="4"/>
  <c r="L47" i="4"/>
  <c r="E47" i="4"/>
  <c r="D47" i="4"/>
  <c r="K47" i="4" s="1"/>
  <c r="C47" i="4"/>
  <c r="B47" i="4"/>
  <c r="N46" i="4"/>
  <c r="L46" i="4"/>
  <c r="D46" i="4"/>
  <c r="K46" i="4" s="1"/>
  <c r="C46" i="4"/>
  <c r="B46" i="4"/>
  <c r="N45" i="4"/>
  <c r="L45" i="4"/>
  <c r="D45" i="4"/>
  <c r="K45" i="4" s="1"/>
  <c r="C45" i="4"/>
  <c r="B45" i="4"/>
  <c r="N44" i="4"/>
  <c r="L44" i="4"/>
  <c r="K44" i="4"/>
  <c r="D44" i="4"/>
  <c r="C44" i="4"/>
  <c r="B44" i="4"/>
  <c r="N43" i="4"/>
  <c r="L43" i="4"/>
  <c r="K43" i="4"/>
  <c r="D43" i="4"/>
  <c r="C43" i="4"/>
  <c r="B43" i="4"/>
  <c r="N42" i="4"/>
  <c r="L42" i="4"/>
  <c r="D42" i="4"/>
  <c r="K42" i="4" s="1"/>
  <c r="C42" i="4"/>
  <c r="B42" i="4"/>
  <c r="N41" i="4"/>
  <c r="L41" i="4"/>
  <c r="K41" i="4"/>
  <c r="D41" i="4"/>
  <c r="C41" i="4"/>
  <c r="B41" i="4"/>
  <c r="N40" i="4"/>
  <c r="L40" i="4"/>
  <c r="K40" i="4"/>
  <c r="D40" i="4"/>
  <c r="C40" i="4"/>
  <c r="B40" i="4"/>
  <c r="N39" i="4"/>
  <c r="L39" i="4"/>
  <c r="D39" i="4"/>
  <c r="K39" i="4" s="1"/>
  <c r="C39" i="4"/>
  <c r="B39" i="4"/>
  <c r="N38" i="4"/>
  <c r="L38" i="4"/>
  <c r="D38" i="4"/>
  <c r="K38" i="4" s="1"/>
  <c r="C38" i="4"/>
  <c r="B38" i="4"/>
  <c r="N37" i="4"/>
  <c r="L37" i="4"/>
  <c r="D37" i="4"/>
  <c r="K37" i="4" s="1"/>
  <c r="C37" i="4"/>
  <c r="B37" i="4"/>
  <c r="N36" i="4"/>
  <c r="L36" i="4"/>
  <c r="K36" i="4"/>
  <c r="D36" i="4"/>
  <c r="C36" i="4"/>
  <c r="B36" i="4"/>
  <c r="N35" i="4"/>
  <c r="L35" i="4"/>
  <c r="K35" i="4"/>
  <c r="D35" i="4"/>
  <c r="C35" i="4"/>
  <c r="B35" i="4"/>
  <c r="N34" i="4"/>
  <c r="L34" i="4"/>
  <c r="D34" i="4"/>
  <c r="K34" i="4" s="1"/>
  <c r="C34" i="4"/>
  <c r="B34" i="4"/>
  <c r="N33" i="4"/>
  <c r="L33" i="4"/>
  <c r="K33" i="4"/>
  <c r="D33" i="4"/>
  <c r="C33" i="4"/>
  <c r="B33" i="4"/>
  <c r="N32" i="4"/>
  <c r="L32" i="4"/>
  <c r="K32" i="4"/>
  <c r="D32" i="4"/>
  <c r="C32" i="4"/>
  <c r="B32" i="4"/>
  <c r="N31" i="4"/>
  <c r="L31" i="4"/>
  <c r="E31" i="4"/>
  <c r="D31" i="4"/>
  <c r="K31" i="4" s="1"/>
  <c r="C31" i="4"/>
  <c r="B31" i="4"/>
  <c r="N30" i="4"/>
  <c r="L30" i="4"/>
  <c r="D30" i="4"/>
  <c r="K30" i="4" s="1"/>
  <c r="C30" i="4"/>
  <c r="B30" i="4"/>
  <c r="N29" i="4"/>
  <c r="L29" i="4"/>
  <c r="D29" i="4"/>
  <c r="K29" i="4" s="1"/>
  <c r="C29" i="4"/>
  <c r="B29" i="4"/>
  <c r="N28" i="4"/>
  <c r="L28" i="4"/>
  <c r="K28" i="4"/>
  <c r="D28" i="4"/>
  <c r="C28" i="4"/>
  <c r="B28" i="4"/>
  <c r="N27" i="4"/>
  <c r="L27" i="4"/>
  <c r="K27" i="4"/>
  <c r="E27" i="4"/>
  <c r="D27" i="4"/>
  <c r="C27" i="4"/>
  <c r="B27" i="4"/>
  <c r="N26" i="4"/>
  <c r="L26" i="4"/>
  <c r="D26" i="4"/>
  <c r="K26" i="4" s="1"/>
  <c r="C26" i="4"/>
  <c r="B26" i="4"/>
  <c r="N25" i="4"/>
  <c r="L25" i="4"/>
  <c r="K25" i="4"/>
  <c r="D25" i="4"/>
  <c r="C25" i="4"/>
  <c r="B25" i="4"/>
  <c r="N24" i="4"/>
  <c r="L24" i="4"/>
  <c r="K24" i="4"/>
  <c r="D24" i="4"/>
  <c r="C24" i="4"/>
  <c r="B24" i="4"/>
  <c r="N23" i="4"/>
  <c r="L23" i="4"/>
  <c r="E23" i="4"/>
  <c r="D23" i="4"/>
  <c r="K23" i="4" s="1"/>
  <c r="C23" i="4"/>
  <c r="B23" i="4"/>
  <c r="N22" i="4"/>
  <c r="L22" i="4"/>
  <c r="D22" i="4"/>
  <c r="K22" i="4" s="1"/>
  <c r="C22" i="4"/>
  <c r="B22" i="4"/>
  <c r="N21" i="4"/>
  <c r="L21" i="4"/>
  <c r="D21" i="4"/>
  <c r="K21" i="4" s="1"/>
  <c r="C21" i="4"/>
  <c r="B21" i="4"/>
  <c r="N20" i="4"/>
  <c r="L20" i="4"/>
  <c r="K20" i="4"/>
  <c r="D20" i="4"/>
  <c r="B13" i="4" s="1"/>
  <c r="C20" i="4"/>
  <c r="B20" i="4"/>
  <c r="B10" i="4"/>
  <c r="B7" i="4"/>
  <c r="B9" i="4" s="1"/>
  <c r="B6" i="4"/>
  <c r="B11" i="4" s="1"/>
  <c r="B12" i="4" s="1"/>
  <c r="G141" i="1"/>
  <c r="E48" i="4" s="1"/>
  <c r="G140" i="1"/>
  <c r="E86" i="5" s="1"/>
  <c r="G139" i="1"/>
  <c r="G138" i="1"/>
  <c r="G137" i="1"/>
  <c r="E44" i="5" s="1"/>
  <c r="G136" i="1"/>
  <c r="G135" i="1"/>
  <c r="G134" i="1"/>
  <c r="E85" i="5" s="1"/>
  <c r="G133" i="1"/>
  <c r="G132" i="1"/>
  <c r="E56" i="5" s="1"/>
  <c r="G131" i="1"/>
  <c r="G130" i="1"/>
  <c r="E84" i="5" s="1"/>
  <c r="G129" i="1"/>
  <c r="E66" i="5" s="1"/>
  <c r="G128" i="1"/>
  <c r="E46" i="4" s="1"/>
  <c r="G127" i="1"/>
  <c r="G126" i="1"/>
  <c r="G125" i="1"/>
  <c r="G124" i="1"/>
  <c r="E45" i="4" s="1"/>
  <c r="G123" i="1"/>
  <c r="G122" i="1"/>
  <c r="G121" i="1"/>
  <c r="G120" i="1"/>
  <c r="G119" i="1"/>
  <c r="G118" i="1"/>
  <c r="E24" i="4" s="1"/>
  <c r="G117" i="1"/>
  <c r="G116" i="1"/>
  <c r="E26" i="4" s="1"/>
  <c r="G115" i="1"/>
  <c r="G114" i="1"/>
  <c r="G113" i="1"/>
  <c r="E43" i="4" s="1"/>
  <c r="G112" i="1"/>
  <c r="G111" i="1"/>
  <c r="E31" i="5" s="1"/>
  <c r="G110" i="1"/>
  <c r="G109" i="1"/>
  <c r="E62" i="5" s="1"/>
  <c r="G108" i="1"/>
  <c r="E42" i="4" s="1"/>
  <c r="G107" i="1"/>
  <c r="E41" i="4" s="1"/>
  <c r="G106" i="1"/>
  <c r="G105" i="1"/>
  <c r="G104" i="1"/>
  <c r="E81" i="5" s="1"/>
  <c r="G103" i="1"/>
  <c r="G102" i="1"/>
  <c r="G101" i="1"/>
  <c r="E68" i="5" s="1"/>
  <c r="G100" i="1"/>
  <c r="G99" i="1"/>
  <c r="E80" i="5" s="1"/>
  <c r="G98" i="1"/>
  <c r="G97" i="1"/>
  <c r="E40" i="4" s="1"/>
  <c r="G96" i="1"/>
  <c r="E25" i="5" s="1"/>
  <c r="G95" i="1"/>
  <c r="E64" i="5" s="1"/>
  <c r="G94" i="1"/>
  <c r="E79" i="5" s="1"/>
  <c r="G93" i="1"/>
  <c r="G92" i="1"/>
  <c r="E20" i="4" s="1"/>
  <c r="G91" i="1"/>
  <c r="E40" i="5" s="1"/>
  <c r="G90" i="1"/>
  <c r="E33" i="5" s="1"/>
  <c r="G89" i="1"/>
  <c r="G88" i="1"/>
  <c r="G87" i="1"/>
  <c r="G86" i="1"/>
  <c r="E49" i="5" s="1"/>
  <c r="G85" i="1"/>
  <c r="E78" i="5" s="1"/>
  <c r="G84" i="1"/>
  <c r="G83" i="1"/>
  <c r="G82" i="1"/>
  <c r="E77" i="5" s="1"/>
  <c r="G81" i="1"/>
  <c r="E76" i="5" s="1"/>
  <c r="G80" i="1"/>
  <c r="G79" i="1"/>
  <c r="E38" i="4" s="1"/>
  <c r="G78" i="1"/>
  <c r="G77" i="1"/>
  <c r="E37" i="4" s="1"/>
  <c r="G76" i="1"/>
  <c r="G75" i="1"/>
  <c r="G74" i="1"/>
  <c r="G73" i="1"/>
  <c r="E32" i="5" s="1"/>
  <c r="G72" i="1"/>
  <c r="G71" i="1"/>
  <c r="G70" i="1"/>
  <c r="E28" i="4" s="1"/>
  <c r="G69" i="1"/>
  <c r="G68" i="1"/>
  <c r="E36" i="4" s="1"/>
  <c r="G67" i="1"/>
  <c r="E48" i="5" s="1"/>
  <c r="G66" i="1"/>
  <c r="G65" i="1"/>
  <c r="E74" i="5" s="1"/>
  <c r="G64" i="1"/>
  <c r="E22" i="4" s="1"/>
  <c r="G63" i="1"/>
  <c r="E61" i="5" s="1"/>
  <c r="G62" i="1"/>
  <c r="G61" i="1"/>
  <c r="G60" i="1"/>
  <c r="G59" i="1"/>
  <c r="G58" i="1"/>
  <c r="E73" i="5" s="1"/>
  <c r="G57" i="1"/>
  <c r="G56" i="1"/>
  <c r="E72" i="5" s="1"/>
  <c r="G55" i="1"/>
  <c r="G54" i="1"/>
  <c r="G53" i="1"/>
  <c r="G52" i="1"/>
  <c r="G51" i="1"/>
  <c r="G50" i="1"/>
  <c r="G49" i="1"/>
  <c r="E30" i="5" s="1"/>
  <c r="G48" i="1"/>
  <c r="G47" i="1"/>
  <c r="E52" i="5" s="1"/>
  <c r="G46" i="1"/>
  <c r="G45" i="1"/>
  <c r="G44" i="1"/>
  <c r="E28" i="5" s="1"/>
  <c r="G43" i="1"/>
  <c r="G41" i="1"/>
  <c r="E71" i="5" s="1"/>
  <c r="G40" i="1"/>
  <c r="E53" i="5" s="1"/>
  <c r="G39" i="1"/>
  <c r="G38" i="1"/>
  <c r="G37" i="1"/>
  <c r="G36" i="1"/>
  <c r="E35" i="4" s="1"/>
  <c r="G35" i="1"/>
  <c r="G34" i="1"/>
  <c r="E60" i="5" s="1"/>
  <c r="G33" i="1"/>
  <c r="G32" i="1"/>
  <c r="E37" i="5" s="1"/>
  <c r="G31" i="1"/>
  <c r="G30" i="1"/>
  <c r="E70" i="5" s="1"/>
  <c r="G29" i="1"/>
  <c r="E63" i="5" s="1"/>
  <c r="G28" i="1"/>
  <c r="E69" i="5" s="1"/>
  <c r="G27" i="1"/>
  <c r="G26" i="1"/>
  <c r="G25" i="1"/>
  <c r="G24" i="1"/>
  <c r="E67" i="5" s="1"/>
  <c r="G23" i="1"/>
  <c r="E34" i="4" s="1"/>
  <c r="G22" i="1"/>
  <c r="E47" i="5" s="1"/>
  <c r="G21" i="1"/>
  <c r="E29" i="4" s="1"/>
  <c r="G20" i="1"/>
  <c r="E65" i="5" s="1"/>
  <c r="G19" i="1"/>
  <c r="E50" i="5" s="1"/>
  <c r="G18" i="1"/>
  <c r="E32" i="4" s="1"/>
  <c r="G17" i="1"/>
  <c r="G16" i="1"/>
  <c r="G15" i="1"/>
  <c r="E41" i="5" s="1"/>
  <c r="G14" i="1"/>
  <c r="G13" i="1"/>
  <c r="G12" i="1"/>
  <c r="E38" i="5" s="1"/>
  <c r="G11" i="1"/>
  <c r="E58" i="5" s="1"/>
  <c r="G10" i="1"/>
  <c r="G9" i="1"/>
  <c r="G8" i="1"/>
  <c r="G7" i="1"/>
  <c r="E30" i="4" s="1"/>
  <c r="G6" i="1"/>
  <c r="E54" i="5" s="1"/>
  <c r="G5" i="1"/>
  <c r="G4" i="1"/>
  <c r="G3" i="1"/>
  <c r="G2" i="1"/>
  <c r="E21" i="4" s="1"/>
  <c r="B16" i="4" l="1"/>
  <c r="B15" i="4"/>
  <c r="E25" i="4"/>
  <c r="E33" i="4"/>
  <c r="E21" i="5"/>
  <c r="E29" i="5"/>
  <c r="E45" i="5"/>
  <c r="E20" i="5"/>
  <c r="E36" i="5"/>
  <c r="E39" i="4"/>
  <c r="E75" i="5"/>
  <c r="E26" i="5"/>
  <c r="E34" i="5"/>
  <c r="E42" i="5"/>
  <c r="E82" i="5"/>
  <c r="B15" i="5"/>
  <c r="E57" i="5"/>
  <c r="E44" i="4"/>
  <c r="E24" i="5"/>
  <c r="E55" i="5"/>
  <c r="E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Siddhant Sindhkar</author>
  </authors>
  <commentList>
    <comment ref="D1" authorId="0" shapeId="0" xr:uid="{00000000-0006-0000-0000-000001000000}">
      <text>
        <r>
          <rPr>
            <sz val="11"/>
            <color theme="1"/>
            <rFont val="Aptos Narrow"/>
            <family val="2"/>
            <scheme val="minor"/>
          </rPr>
          <t>Siddhant Sindhkar:
use stock data to get values for these, paste as values before running the code.
Repeat the process while performing a new run.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Siddhant Sindhkar</author>
  </authors>
  <commentList>
    <comment ref="B9" authorId="0" shapeId="0" xr:uid="{00000000-0006-0000-0300-000001000000}">
      <text>
        <r>
          <rPr>
            <sz val="11"/>
            <color theme="1"/>
            <rFont val="Aptos Narrow"/>
            <family val="2"/>
            <scheme val="minor"/>
          </rPr>
          <t>returns from price changes</t>
        </r>
      </text>
    </comment>
    <comment ref="B10" authorId="0" shapeId="0" xr:uid="{00000000-0006-0000-0300-000002000000}">
      <text>
        <r>
          <rPr>
            <sz val="11"/>
            <color theme="1"/>
            <rFont val="Aptos Narrow"/>
            <family val="2"/>
            <scheme val="minor"/>
          </rPr>
          <t>returns incl. of dividends, bonus, etc.</t>
        </r>
      </text>
    </comment>
    <comment ref="B11" authorId="0" shapeId="0" xr:uid="{00000000-0006-0000-0300-000003000000}">
      <text>
        <r>
          <rPr>
            <sz val="11"/>
            <color theme="1"/>
            <rFont val="Aptos Narrow"/>
            <family val="2"/>
            <scheme val="minor"/>
          </rPr>
          <t>Invested amount and wallet balance</t>
        </r>
      </text>
    </comment>
    <comment ref="I19" authorId="0" shapeId="0" xr:uid="{00000000-0006-0000-0300-000004000000}">
      <text>
        <r>
          <rPr>
            <sz val="11"/>
            <color theme="1"/>
            <rFont val="Aptos Narrow"/>
            <family val="2"/>
            <scheme val="minor"/>
          </rPr>
          <t>These values can be obtained by uploading tradebooks to Value Research</t>
        </r>
      </text>
    </comment>
    <comment ref="M19" authorId="0" shapeId="0" xr:uid="{00000000-0006-0000-0300-000005000000}">
      <text>
        <r>
          <rPr>
            <sz val="11"/>
            <color theme="1"/>
            <rFont val="Aptos Narrow"/>
            <family val="2"/>
            <scheme val="minor"/>
          </rPr>
          <t>obtained using python by maximizing the treynor ratio using excel solver GRG Non Linear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Siddhant Sindhkar</author>
  </authors>
  <commentList>
    <comment ref="B9" authorId="0" shapeId="0" xr:uid="{00000000-0006-0000-0400-000001000000}">
      <text>
        <r>
          <rPr>
            <sz val="11"/>
            <color theme="1"/>
            <rFont val="Aptos Narrow"/>
            <family val="2"/>
            <scheme val="minor"/>
          </rPr>
          <t>returns from price changes</t>
        </r>
      </text>
    </comment>
    <comment ref="B10" authorId="0" shapeId="0" xr:uid="{00000000-0006-0000-0400-000002000000}">
      <text>
        <r>
          <rPr>
            <sz val="11"/>
            <color theme="1"/>
            <rFont val="Aptos Narrow"/>
            <family val="2"/>
            <scheme val="minor"/>
          </rPr>
          <t>returns incl. of dividends, bonus, etc.</t>
        </r>
      </text>
    </comment>
    <comment ref="B11" authorId="0" shapeId="0" xr:uid="{00000000-0006-0000-0400-000003000000}">
      <text>
        <r>
          <rPr>
            <sz val="11"/>
            <color theme="1"/>
            <rFont val="Aptos Narrow"/>
            <family val="2"/>
            <scheme val="minor"/>
          </rPr>
          <t>Invested amount and wallet balance</t>
        </r>
      </text>
    </comment>
    <comment ref="I19" authorId="0" shapeId="0" xr:uid="{00000000-0006-0000-0400-000004000000}">
      <text>
        <r>
          <rPr>
            <sz val="11"/>
            <color theme="1"/>
            <rFont val="Aptos Narrow"/>
            <family val="2"/>
            <scheme val="minor"/>
          </rPr>
          <t>These values can be obtained by uploading tradebooks to Value Research</t>
        </r>
      </text>
    </comment>
    <comment ref="M19" authorId="0" shapeId="0" xr:uid="{00000000-0006-0000-0400-000005000000}">
      <text>
        <r>
          <rPr>
            <sz val="11"/>
            <color theme="1"/>
            <rFont val="Aptos Narrow"/>
            <family val="2"/>
            <scheme val="minor"/>
          </rPr>
          <t>obtained using python by maximizing the treynor ratio using excel solver GRG Non Linear</t>
        </r>
      </text>
    </comment>
  </commentList>
</comments>
</file>

<file path=xl/sharedStrings.xml><?xml version="1.0" encoding="utf-8"?>
<sst xmlns="http://schemas.openxmlformats.org/spreadsheetml/2006/main" count="883" uniqueCount="437">
  <si>
    <t>Stock Data Excel</t>
  </si>
  <si>
    <t>Stock Name Value Research</t>
  </si>
  <si>
    <t>Industry</t>
  </si>
  <si>
    <t>Ticker</t>
  </si>
  <si>
    <t>Beta</t>
  </si>
  <si>
    <t>Current Price</t>
  </si>
  <si>
    <t>Category</t>
  </si>
  <si>
    <t>Stock</t>
  </si>
  <si>
    <t>Adani Ports and Special Economic Zone</t>
  </si>
  <si>
    <t>Transport Infrastructure</t>
  </si>
  <si>
    <t>ADANIPORTS</t>
  </si>
  <si>
    <t>IREDA</t>
  </si>
  <si>
    <t>AGG</t>
  </si>
  <si>
    <t>Aditya Birla Capital</t>
  </si>
  <si>
    <t>Insurance</t>
  </si>
  <si>
    <t>ABCAPITAL</t>
  </si>
  <si>
    <t>SWSOLAR</t>
  </si>
  <si>
    <t>Aditya Birla Fashion and Retail</t>
  </si>
  <si>
    <t>Specialty Retailers</t>
  </si>
  <si>
    <t>ABFRL</t>
  </si>
  <si>
    <t>BORORENEW</t>
  </si>
  <si>
    <t>Amara Raja Energy &amp; Mobility</t>
  </si>
  <si>
    <t>Machinery, Equipment &amp; Components</t>
  </si>
  <si>
    <t>ARE&amp;M</t>
  </si>
  <si>
    <t>HEROMOTOCO</t>
  </si>
  <si>
    <t>LT</t>
  </si>
  <si>
    <t>Amber Enterprises India</t>
  </si>
  <si>
    <t>Computers, Phones &amp; Household Electronics</t>
  </si>
  <si>
    <t>AMBER</t>
  </si>
  <si>
    <t>MARUTI</t>
  </si>
  <si>
    <t>Ambuja Cements</t>
  </si>
  <si>
    <t>Construction Materials</t>
  </si>
  <si>
    <t>AMBUJACEM</t>
  </si>
  <si>
    <t>SUNPHARMA</t>
  </si>
  <si>
    <t>Ashapura Minechem</t>
  </si>
  <si>
    <t>Metals &amp; Mining</t>
  </si>
  <si>
    <t>ASHAPURMIN</t>
  </si>
  <si>
    <t>UPL</t>
  </si>
  <si>
    <t>Ashok Leyland</t>
  </si>
  <si>
    <t>ASHOKLEY</t>
  </si>
  <si>
    <t>Asian Paints</t>
  </si>
  <si>
    <t>Chemicals</t>
  </si>
  <si>
    <t>ASIANPAINT</t>
  </si>
  <si>
    <t>KARURVYSYA</t>
  </si>
  <si>
    <t>Avenue Supermarts</t>
  </si>
  <si>
    <t>Food &amp; Drug Retailing</t>
  </si>
  <si>
    <t>DMART</t>
  </si>
  <si>
    <t>APOLLOHOSP</t>
  </si>
  <si>
    <t>Bajaj Finserv</t>
  </si>
  <si>
    <t>Banking Services</t>
  </si>
  <si>
    <t>BAJAJFINSV</t>
  </si>
  <si>
    <t>GREENPANEL</t>
  </si>
  <si>
    <t>Bajaj Hindusthan Sugar</t>
  </si>
  <si>
    <t>Food &amp; Tobacco</t>
  </si>
  <si>
    <t>BAJAJHIND</t>
  </si>
  <si>
    <t>CHEMCON</t>
  </si>
  <si>
    <t>Balrampur Chini Mills</t>
  </si>
  <si>
    <t>BALRAMCHIN</t>
  </si>
  <si>
    <t>RVNL</t>
  </si>
  <si>
    <t>Bandhan Bank</t>
  </si>
  <si>
    <t>BANDHANBNK</t>
  </si>
  <si>
    <t>TITAN</t>
  </si>
  <si>
    <t>Bank of India</t>
  </si>
  <si>
    <t>BANKINDIA</t>
  </si>
  <si>
    <t>Bharat Forge</t>
  </si>
  <si>
    <t>BHARATFORG</t>
  </si>
  <si>
    <t>SHYAMMETL</t>
  </si>
  <si>
    <t>Bharat Petroleum Corporation</t>
  </si>
  <si>
    <t>Oil &amp; Gas</t>
  </si>
  <si>
    <t>BPCL</t>
  </si>
  <si>
    <t>SBILIFE</t>
  </si>
  <si>
    <t>Bharti Airtel</t>
  </si>
  <si>
    <t>Telecommunications Services</t>
  </si>
  <si>
    <t>BHARTIARTL</t>
  </si>
  <si>
    <t>USHAMART</t>
  </si>
  <si>
    <t>Birlasoft</t>
  </si>
  <si>
    <t>Software &amp; IT Services</t>
  </si>
  <si>
    <t>BSOFT</t>
  </si>
  <si>
    <t>Borosil Renewables</t>
  </si>
  <si>
    <t>Renewable Energy</t>
  </si>
  <si>
    <t>EICHERMOT</t>
  </si>
  <si>
    <t>Castrol India</t>
  </si>
  <si>
    <t>CASTROLIND</t>
  </si>
  <si>
    <t>AUTOBEES</t>
  </si>
  <si>
    <t>ETF</t>
  </si>
  <si>
    <t>Ceat</t>
  </si>
  <si>
    <t>Automobiles &amp; Auto Parts</t>
  </si>
  <si>
    <t>CEATLTD</t>
  </si>
  <si>
    <t>Central Depository Services (India)</t>
  </si>
  <si>
    <t>Investment Banking &amp; Investment Services</t>
  </si>
  <si>
    <t>CDSL</t>
  </si>
  <si>
    <t>TATAMOTORS</t>
  </si>
  <si>
    <t>CESC</t>
  </si>
  <si>
    <t>Electrical Utilities &amp; IPPs</t>
  </si>
  <si>
    <t>JIOFIN</t>
  </si>
  <si>
    <t>Chemcon Speciality Chemicals</t>
  </si>
  <si>
    <t>TATASTEEL</t>
  </si>
  <si>
    <t>Chemplast Sanmar</t>
  </si>
  <si>
    <t>CHEMPLASTS</t>
  </si>
  <si>
    <t>Dabur India</t>
  </si>
  <si>
    <t>Personal &amp; Household Products &amp; Services</t>
  </si>
  <si>
    <t>DABUR</t>
  </si>
  <si>
    <t>HINDALCO</t>
  </si>
  <si>
    <t>Deepak Nitrite</t>
  </si>
  <si>
    <t>DEEPAKNTR</t>
  </si>
  <si>
    <t>Dr. Lal Pathlabs</t>
  </si>
  <si>
    <t>Healthcare Providers &amp; Services</t>
  </si>
  <si>
    <t>LALPATHLAB</t>
  </si>
  <si>
    <t>PHARMABEES</t>
  </si>
  <si>
    <t>Dr. Reddy's Laboratories</t>
  </si>
  <si>
    <t>Pharmaceuticals</t>
  </si>
  <si>
    <t>DRREDDY</t>
  </si>
  <si>
    <t>BANKBARODA</t>
  </si>
  <si>
    <t>EPL</t>
  </si>
  <si>
    <t>Containers &amp; Packaging</t>
  </si>
  <si>
    <t>ICICIB22</t>
  </si>
  <si>
    <t>Equitas Small Finance Bank</t>
  </si>
  <si>
    <t>EQUITASBNK</t>
  </si>
  <si>
    <t>Exide Industries</t>
  </si>
  <si>
    <t>EXIDEIND</t>
  </si>
  <si>
    <t>ULTRACEMCO</t>
  </si>
  <si>
    <t>Firstsource Solutions</t>
  </si>
  <si>
    <t>Professional &amp; Commercial Services</t>
  </si>
  <si>
    <t>FSL</t>
  </si>
  <si>
    <t>ITC</t>
  </si>
  <si>
    <t>Fortis Healthcare</t>
  </si>
  <si>
    <t>FORTIS</t>
  </si>
  <si>
    <t>M&amp;M</t>
  </si>
  <si>
    <t>Gateway Distriparks Ltd. (Merged)</t>
  </si>
  <si>
    <t>Freight &amp; Logistics Services</t>
  </si>
  <si>
    <t>GATEWAY</t>
  </si>
  <si>
    <t>JUBLINGREA</t>
  </si>
  <si>
    <t>GMR Airports Infrastructure</t>
  </si>
  <si>
    <t>GMRINFRA</t>
  </si>
  <si>
    <t>SCHAND</t>
  </si>
  <si>
    <t>Greaves Cotton</t>
  </si>
  <si>
    <t>GREAVESCOT</t>
  </si>
  <si>
    <t>NESTLEIND</t>
  </si>
  <si>
    <t>Greenply Industries</t>
  </si>
  <si>
    <t>Paper &amp; Forest Products</t>
  </si>
  <si>
    <t>GREENPLY</t>
  </si>
  <si>
    <t>PNCINFRA</t>
  </si>
  <si>
    <t>HCL Technologies</t>
  </si>
  <si>
    <t>HCLTECH</t>
  </si>
  <si>
    <t>DIXON</t>
  </si>
  <si>
    <t>Housing Development Finance Corporation</t>
  </si>
  <si>
    <t>HDFCBANK</t>
  </si>
  <si>
    <t>HDFC Bank</t>
  </si>
  <si>
    <t>JAMNAAUTO</t>
  </si>
  <si>
    <t>Hero Motocorp</t>
  </si>
  <si>
    <t>CANFINHOME</t>
  </si>
  <si>
    <t>HFCL</t>
  </si>
  <si>
    <t>Communications &amp; Networking</t>
  </si>
  <si>
    <t>ADANIENT</t>
  </si>
  <si>
    <t>Hindalco Industries</t>
  </si>
  <si>
    <t>BRITANNIA</t>
  </si>
  <si>
    <t>Hindustan Aeronautics</t>
  </si>
  <si>
    <t>Aerospace &amp; Defense</t>
  </si>
  <si>
    <t>HAL</t>
  </si>
  <si>
    <t>MOTHERSON</t>
  </si>
  <si>
    <t>Hindustan Construction Company</t>
  </si>
  <si>
    <t>Construction &amp; Engineering</t>
  </si>
  <si>
    <t>HCC</t>
  </si>
  <si>
    <t>CONSUMBEES</t>
  </si>
  <si>
    <t>Hindustan Unilever</t>
  </si>
  <si>
    <t>HINDUNILVR</t>
  </si>
  <si>
    <t>ICICI Bank</t>
  </si>
  <si>
    <t>ICICIBANK</t>
  </si>
  <si>
    <t>ADANIENSOL</t>
  </si>
  <si>
    <t>ICICI Pru Nifty Bank ETF-G</t>
  </si>
  <si>
    <t>BANKIETF</t>
  </si>
  <si>
    <t>IDFC First Bank</t>
  </si>
  <si>
    <t>IDFCFIRSTB</t>
  </si>
  <si>
    <t>BAJFINANCE</t>
  </si>
  <si>
    <t>Ind Renewable Energy</t>
  </si>
  <si>
    <t>536709</t>
  </si>
  <si>
    <t>HINDZINC</t>
  </si>
  <si>
    <t>Indiabulls Housing Finance</t>
  </si>
  <si>
    <t>IBULHSGFIN</t>
  </si>
  <si>
    <t>OLECTRA</t>
  </si>
  <si>
    <t>Indiabulls Real Estate</t>
  </si>
  <si>
    <t>Real Estate Operations</t>
  </si>
  <si>
    <t>IBREALEST</t>
  </si>
  <si>
    <t>THERMAX</t>
  </si>
  <si>
    <t>Indian Railway Catering And Tourism Corporation</t>
  </si>
  <si>
    <t>Passenger Transportation Services</t>
  </si>
  <si>
    <t>IRCTC</t>
  </si>
  <si>
    <t>DIVGIITTS</t>
  </si>
  <si>
    <t>Indian Renewable Energy Development Agency</t>
  </si>
  <si>
    <t>PARADEEP</t>
  </si>
  <si>
    <t>Indoco Remedies</t>
  </si>
  <si>
    <t>INDOCO</t>
  </si>
  <si>
    <t>Indraprastha Gas</t>
  </si>
  <si>
    <t>Natural Gas Utilities</t>
  </si>
  <si>
    <t>IGL</t>
  </si>
  <si>
    <t>MOM100</t>
  </si>
  <si>
    <t>Indus Towers</t>
  </si>
  <si>
    <t>INDUSTOWER</t>
  </si>
  <si>
    <t>VIPIND</t>
  </si>
  <si>
    <t>Infosys</t>
  </si>
  <si>
    <t>INFY</t>
  </si>
  <si>
    <t>Ingersoll-Rand (India)</t>
  </si>
  <si>
    <t>INGERRAND</t>
  </si>
  <si>
    <t>Interglobe Aviation</t>
  </si>
  <si>
    <t>INDIGO</t>
  </si>
  <si>
    <t>TATACOMM</t>
  </si>
  <si>
    <t>IOC</t>
  </si>
  <si>
    <t>JK Cement</t>
  </si>
  <si>
    <t>JKCEMENT</t>
  </si>
  <si>
    <t>PSUBNKBEES</t>
  </si>
  <si>
    <t>Jaiprakash Power Ventures</t>
  </si>
  <si>
    <t>JPPOWER</t>
  </si>
  <si>
    <t>INFRABEES</t>
  </si>
  <si>
    <t>Jamna Auto Industries</t>
  </si>
  <si>
    <t>COLPAL</t>
  </si>
  <si>
    <t>JIO Financial Services</t>
  </si>
  <si>
    <t>SHRIRAMFIN</t>
  </si>
  <si>
    <t>JK Paper</t>
  </si>
  <si>
    <t>JKPAPER</t>
  </si>
  <si>
    <t>SIEMENS</t>
  </si>
  <si>
    <t>Jubilant Ingrevia</t>
  </si>
  <si>
    <t>DEEPAKFERT</t>
  </si>
  <si>
    <t>Jyothy Labs</t>
  </si>
  <si>
    <t>JYOTHYLAB</t>
  </si>
  <si>
    <t>HDFCNIFTY</t>
  </si>
  <si>
    <t>Kamat Hotels (India)</t>
  </si>
  <si>
    <t>Hotels &amp; Entertainment Services</t>
  </si>
  <si>
    <t>KAMATHOTEL</t>
  </si>
  <si>
    <t>BEL</t>
  </si>
  <si>
    <t>Larsen &amp; Toubro</t>
  </si>
  <si>
    <t>NTPC</t>
  </si>
  <si>
    <t>Lemon Tree Hotels</t>
  </si>
  <si>
    <t>LEMONTREE</t>
  </si>
  <si>
    <t>BANKBEES</t>
  </si>
  <si>
    <t>Life Insurance Corporation of India</t>
  </si>
  <si>
    <t>LICI</t>
  </si>
  <si>
    <t>KNRCON</t>
  </si>
  <si>
    <t>Magnum</t>
  </si>
  <si>
    <t>MAGNUM</t>
  </si>
  <si>
    <t>RELIANCE</t>
  </si>
  <si>
    <t>Mahindra &amp; Mahindra</t>
  </si>
  <si>
    <t>ONGC</t>
  </si>
  <si>
    <t>BAJAJCON</t>
  </si>
  <si>
    <t>Man Infraconstruction</t>
  </si>
  <si>
    <t>MANINFRA</t>
  </si>
  <si>
    <t>HDFCLIFE</t>
  </si>
  <si>
    <t>Manappuram Finance</t>
  </si>
  <si>
    <t>MANAPPURAM</t>
  </si>
  <si>
    <t>KOTAKBANK</t>
  </si>
  <si>
    <t>Marico</t>
  </si>
  <si>
    <t>MARICO</t>
  </si>
  <si>
    <t>RAYMOND</t>
  </si>
  <si>
    <t>Maruti Suzuki India</t>
  </si>
  <si>
    <t>ICICIPRULI</t>
  </si>
  <si>
    <t>MMTC</t>
  </si>
  <si>
    <t>Narayana Hrudayalaya</t>
  </si>
  <si>
    <t>NH</t>
  </si>
  <si>
    <t>COALINDIA</t>
  </si>
  <si>
    <t>National Aluminium Company</t>
  </si>
  <si>
    <t>NATIONALUM</t>
  </si>
  <si>
    <t>Navneet Education</t>
  </si>
  <si>
    <t>Media &amp; Publishing</t>
  </si>
  <si>
    <t>NAVNETEDUL</t>
  </si>
  <si>
    <t>SBIN</t>
  </si>
  <si>
    <t>NCC</t>
  </si>
  <si>
    <t>TVSMOTOR</t>
  </si>
  <si>
    <t>NHPC</t>
  </si>
  <si>
    <t>CROMPTON</t>
  </si>
  <si>
    <t>Nippon India ETF Nifty India Consumption-G</t>
  </si>
  <si>
    <t>AXISBANK</t>
  </si>
  <si>
    <t>Nippon India ETF Gold BeES</t>
  </si>
  <si>
    <t>GOLDBEES</t>
  </si>
  <si>
    <t>GUJGASLTD</t>
  </si>
  <si>
    <t>Nippon India ETF Nifty 1D Rate Liquid BeES-IDCWD</t>
  </si>
  <si>
    <t>LIQUIDBEES</t>
  </si>
  <si>
    <t>Nippon India ETF Nifty PSU Bank BeES</t>
  </si>
  <si>
    <t>TATATECH</t>
  </si>
  <si>
    <t>TATAPOWER</t>
  </si>
  <si>
    <t>Oberoi Realty</t>
  </si>
  <si>
    <t>OBEROIRLTY</t>
  </si>
  <si>
    <t>Paradeep Phosphates</t>
  </si>
  <si>
    <t>KPIGREEN</t>
  </si>
  <si>
    <t>Petronet LNG</t>
  </si>
  <si>
    <t>Oil &amp; Gas Related Equipment and Services</t>
  </si>
  <si>
    <t>PETRONET</t>
  </si>
  <si>
    <t>Pidilite Industries</t>
  </si>
  <si>
    <t>PIDILITIND</t>
  </si>
  <si>
    <t>GODREJIND</t>
  </si>
  <si>
    <t>Piramal Pharma</t>
  </si>
  <si>
    <t>PPLPHARMA</t>
  </si>
  <si>
    <t>Polycab India</t>
  </si>
  <si>
    <t>POLYCAB</t>
  </si>
  <si>
    <t>Poonawalla Fincorp</t>
  </si>
  <si>
    <t>POONAWALLA</t>
  </si>
  <si>
    <t>Power Fin. Corp.</t>
  </si>
  <si>
    <t>PIGL</t>
  </si>
  <si>
    <t>Praj Industries</t>
  </si>
  <si>
    <t>PRAJIND</t>
  </si>
  <si>
    <t>DWARKESH</t>
  </si>
  <si>
    <t>Punjab National Bank</t>
  </si>
  <si>
    <t>PNB</t>
  </si>
  <si>
    <t>Radico Khaitan</t>
  </si>
  <si>
    <t>Beverages</t>
  </si>
  <si>
    <t>RADICO</t>
  </si>
  <si>
    <t>OFSS</t>
  </si>
  <si>
    <t>Rain Industries</t>
  </si>
  <si>
    <t>RAIN</t>
  </si>
  <si>
    <t>TECHM</t>
  </si>
  <si>
    <t>Ratnamani Metals &amp; Tubes</t>
  </si>
  <si>
    <t>RATNAMANI</t>
  </si>
  <si>
    <t>IIFL</t>
  </si>
  <si>
    <t>Raymond</t>
  </si>
  <si>
    <t>Textiles &amp; Apparel</t>
  </si>
  <si>
    <t>Reliance Industries</t>
  </si>
  <si>
    <t>ADANIGREEN</t>
  </si>
  <si>
    <t>S Chand And Company</t>
  </si>
  <si>
    <t>BIRLACORPN</t>
  </si>
  <si>
    <t>Samvardhana Motherson intl</t>
  </si>
  <si>
    <t>RAJESHEXPO</t>
  </si>
  <si>
    <t>SBI Gold ETF</t>
  </si>
  <si>
    <t>SETFGOLD</t>
  </si>
  <si>
    <t>TITAGARH</t>
  </si>
  <si>
    <t>Shree Renuka Sugars</t>
  </si>
  <si>
    <t>RENUKA</t>
  </si>
  <si>
    <t>Shyam Metalics And Energy</t>
  </si>
  <si>
    <t>SJVN</t>
  </si>
  <si>
    <t>GODREJCP</t>
  </si>
  <si>
    <t>Sobha</t>
  </si>
  <si>
    <t>SOBHA</t>
  </si>
  <si>
    <t>TATACONSUM</t>
  </si>
  <si>
    <t>State Bank of India</t>
  </si>
  <si>
    <t>PAYTM</t>
  </si>
  <si>
    <t>Steel Authority Of India</t>
  </si>
  <si>
    <t>SAIL</t>
  </si>
  <si>
    <t>Sun Pharmaceutical Industries</t>
  </si>
  <si>
    <t>TCS</t>
  </si>
  <si>
    <t>Surya Roshni</t>
  </si>
  <si>
    <t>SURYAROSNI</t>
  </si>
  <si>
    <t>SILVERBEES</t>
  </si>
  <si>
    <t>BALKRISIND</t>
  </si>
  <si>
    <t>Tata Motors</t>
  </si>
  <si>
    <t>Tata Steel</t>
  </si>
  <si>
    <t>Tata Teleservices (Maharashtra)</t>
  </si>
  <si>
    <t>TTML</t>
  </si>
  <si>
    <t>SSWL</t>
  </si>
  <si>
    <t>Tech Mahindra</t>
  </si>
  <si>
    <t>LTIM</t>
  </si>
  <si>
    <t>Bank of Baroda</t>
  </si>
  <si>
    <t>The Federal Bank</t>
  </si>
  <si>
    <t>FEDERALBNK</t>
  </si>
  <si>
    <t>The India Cements</t>
  </si>
  <si>
    <t>INDIACEM</t>
  </si>
  <si>
    <t>The Indian Hotels Company</t>
  </si>
  <si>
    <t>INDHOTEL</t>
  </si>
  <si>
    <t>Tata Power Company</t>
  </si>
  <si>
    <t>Titan Company</t>
  </si>
  <si>
    <t>Trident</t>
  </si>
  <si>
    <t>TRIDENT</t>
  </si>
  <si>
    <t>Ultratech Cement</t>
  </si>
  <si>
    <t>Union Bank of India</t>
  </si>
  <si>
    <t>UNIONBANK</t>
  </si>
  <si>
    <t>United Spirits</t>
  </si>
  <si>
    <t>MCDOWELL-N</t>
  </si>
  <si>
    <t>VIP Industries</t>
  </si>
  <si>
    <t>Vodafone Idea</t>
  </si>
  <si>
    <t>IDEA</t>
  </si>
  <si>
    <t>Voltas</t>
  </si>
  <si>
    <t>VOLTAS</t>
  </si>
  <si>
    <t>Welspun Living</t>
  </si>
  <si>
    <t>WELSPUNLIV</t>
  </si>
  <si>
    <t>West Coast Paper Mills</t>
  </si>
  <si>
    <t>WSTCSTPAPR</t>
  </si>
  <si>
    <t>Yes Bank</t>
  </si>
  <si>
    <t>YESBANK</t>
  </si>
  <si>
    <t>Zomato</t>
  </si>
  <si>
    <t>ZOMATO</t>
  </si>
  <si>
    <t>Index Benchmarks</t>
  </si>
  <si>
    <t>Yahoo Finance</t>
  </si>
  <si>
    <t>Name</t>
  </si>
  <si>
    <t>NIFTY 50</t>
  </si>
  <si>
    <t>^NSEI</t>
  </si>
  <si>
    <t>NIFTY 100</t>
  </si>
  <si>
    <t>^CNX100</t>
  </si>
  <si>
    <t>NIFTY 200</t>
  </si>
  <si>
    <t>^CNX200</t>
  </si>
  <si>
    <t>NIFTY 500</t>
  </si>
  <si>
    <t>^CRSLDX</t>
  </si>
  <si>
    <t>NIFTY Midcap 50</t>
  </si>
  <si>
    <t>^NSEMDCP50</t>
  </si>
  <si>
    <t>NIFTY Smallcap 250</t>
  </si>
  <si>
    <t>NIFTYSMLCAP250.NS</t>
  </si>
  <si>
    <t>Risk-Free Rate Benchmarks</t>
  </si>
  <si>
    <t>Duration</t>
  </si>
  <si>
    <t>Return %</t>
  </si>
  <si>
    <t>1 week</t>
  </si>
  <si>
    <t>1 month</t>
  </si>
  <si>
    <t>3 month</t>
  </si>
  <si>
    <t>6 month</t>
  </si>
  <si>
    <t>1 year</t>
  </si>
  <si>
    <t>3 year</t>
  </si>
  <si>
    <t>5 year</t>
  </si>
  <si>
    <t>10 year</t>
  </si>
  <si>
    <t>Client Name</t>
  </si>
  <si>
    <t>Start Date</t>
  </si>
  <si>
    <t>Current Date</t>
  </si>
  <si>
    <t>Benchmark</t>
  </si>
  <si>
    <t>Risk-Free Rate</t>
  </si>
  <si>
    <t>Investment Amount</t>
  </si>
  <si>
    <t>Current Investment Value</t>
  </si>
  <si>
    <t>Wallet Balance</t>
  </si>
  <si>
    <t>Investment P/L</t>
  </si>
  <si>
    <t>Total P/L</t>
  </si>
  <si>
    <t>Total Investment</t>
  </si>
  <si>
    <t>Net Return</t>
  </si>
  <si>
    <t>Portfolio Beta</t>
  </si>
  <si>
    <t>Benchmark Return</t>
  </si>
  <si>
    <t>Jensen's Alpha</t>
  </si>
  <si>
    <t>Treynor Ratio</t>
  </si>
  <si>
    <t>Company name</t>
  </si>
  <si>
    <t>Shares</t>
  </si>
  <si>
    <t>Invested Amount</t>
  </si>
  <si>
    <t>Current Value</t>
  </si>
  <si>
    <t>Actual Return</t>
  </si>
  <si>
    <t>% Absolute Rtn.</t>
  </si>
  <si>
    <t>Expected Rtn</t>
  </si>
  <si>
    <t>Weights</t>
  </si>
  <si>
    <t>Optimal Weights</t>
  </si>
  <si>
    <t>POC</t>
  </si>
  <si>
    <t>AUM</t>
  </si>
  <si>
    <t>Returns</t>
  </si>
  <si>
    <t>Alpha</t>
  </si>
  <si>
    <t>Treynor</t>
  </si>
  <si>
    <t>Retuns</t>
  </si>
  <si>
    <t>AB</t>
  </si>
  <si>
    <t>BC</t>
  </si>
  <si>
    <t>WX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</si>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</sst>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2" fillId="0" borderId="0"/>
    <xf numFmtId="44" fontId="2" fillId="0" borderId="0"/>
  </cellStyleXfs>
  <cellXfs count="31">
    <xf numFmtId="0" fontId="0" fillId="0" borderId="0" xfId="0"/>
    <xf numFmtId="164" fontId="0" fillId="0" borderId="0" xfId="0" applyNumberFormat="1"/>
    <xf numFmtId="0" fontId="1" fillId="0" borderId="0" xfId="0" applyFont="1"/>
    <xf numFmtId="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5" fontId="0" fillId="0" borderId="0" xfId="1" applyNumberFormat="1" applyFont="1"/>
    <xf numFmtId="10" fontId="1" fillId="0" borderId="0" xfId="1" applyNumberFormat="1" applyFont="1"/>
    <xf numFmtId="165" fontId="1" fillId="0" borderId="0" xfId="1" applyNumberFormat="1" applyFont="1"/>
    <xf numFmtId="10" fontId="2" fillId="0" borderId="0" xfId="1" applyNumberFormat="1"/>
    <xf numFmtId="44" fontId="2" fillId="0" borderId="0" xfId="2"/>
    <xf numFmtId="0" fontId="0" fillId="2" borderId="0" xfId="0" applyFill="1"/>
    <xf numFmtId="14" fontId="0" fillId="2" borderId="0" xfId="0" applyNumberFormat="1" applyFill="1"/>
    <xf numFmtId="10" fontId="0" fillId="2" borderId="0" xfId="1" applyNumberFormat="1" applyFont="1" applyFill="1"/>
    <xf numFmtId="44" fontId="2" fillId="2" borderId="0" xfId="2" applyFill="1"/>
    <xf numFmtId="2" fontId="0" fillId="0" borderId="0" xfId="0" applyNumberFormat="1"/>
    <xf numFmtId="1" fontId="0" fillId="0" borderId="0" xfId="0" applyNumberFormat="1"/>
    <xf numFmtId="44" fontId="0" fillId="0" borderId="0" xfId="2" applyFont="1"/>
    <xf numFmtId="0" fontId="1" fillId="2" borderId="0" xfId="0" applyFont="1" applyFill="1"/>
    <xf numFmtId="44" fontId="1" fillId="2" borderId="0" xfId="2" applyFont="1" applyFill="1"/>
    <xf numFmtId="10" fontId="2" fillId="2" borderId="0" xfId="1" applyNumberFormat="1" applyFill="1"/>
    <xf numFmtId="2" fontId="0" fillId="3" borderId="1" xfId="0" applyNumberFormat="1" applyFill="1" applyBorder="1"/>
    <xf numFmtId="2" fontId="0" fillId="0" borderId="1" xfId="0" applyNumberFormat="1" applyBorder="1"/>
    <xf numFmtId="2" fontId="2" fillId="0" borderId="0" xfId="1" applyNumberFormat="1"/>
    <xf numFmtId="165" fontId="0" fillId="0" borderId="0" xfId="0" applyNumberFormat="1"/>
    <xf numFmtId="10" fontId="1" fillId="2" borderId="0" xfId="1" applyNumberFormat="1" applyFont="1" applyFill="1"/>
    <xf numFmtId="165" fontId="2" fillId="0" borderId="0" xfId="1" applyNumberFormat="1"/>
    <xf numFmtId="0" fontId="1" fillId="4" borderId="0" xfId="0" applyFont="1" applyFill="1"/>
    <xf numFmtId="2" fontId="1" fillId="4" borderId="0" xfId="0" applyNumberFormat="1" applyFont="1" applyFill="1"/>
    <xf numFmtId="44" fontId="1" fillId="0" borderId="0" xfId="2" applyFont="1"/>
    <xf numFmtId="165" fontId="1" fillId="0" borderId="0" xfId="0" applyNumberFormat="1" applyFont="1"/>
  </cellXfs>
  <cellStyles count="3">
    <cellStyle name="Currency" xfId="2" builtinId="4"/>
    <cellStyle name="Normal" xfId="0" builtinId="0"/>
    <cellStyle name="Percent" xfId="1" builtinId="5"/>
  </cellStyles>
  <dxfs count="25"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4" formatCode="0.00%"/>
    </dxf>
    <dxf>
      <numFmt numFmtId="14" formatCode="0.00%"/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numFmt numFmtId="14" formatCode="0.00%"/>
      <fill>
        <patternFill>
          <fgColor indexed="64"/>
          <bgColor indexed="65"/>
        </patternFill>
      </fill>
      <alignment horizontal="general" vertical="bottom"/>
    </dxf>
    <dxf>
      <numFmt numFmtId="14" formatCode="0.00%"/>
    </dxf>
    <dxf>
      <numFmt numFmtId="2" formatCode="0.00"/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numFmt numFmtId="0" formatCode="General"/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numFmt numFmtId="0" formatCode="General"/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numFmt numFmtId="0" formatCode="General"/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numFmt numFmtId="2" formatCode="0.00"/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numFmt numFmtId="14" formatCode="0.00%"/>
      <fill>
        <patternFill>
          <fgColor indexed="64"/>
          <bgColor indexed="65"/>
        </patternFill>
      </fill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numFmt numFmtId="14" formatCode="0.00%"/>
      <fill>
        <patternFill>
          <fgColor indexed="64"/>
          <bgColor indexed="65"/>
        </patternFill>
      </fill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numFmt numFmtId="14" formatCode="0.00%"/>
      <fill>
        <patternFill>
          <fgColor indexed="64"/>
          <bgColor indexed="65"/>
        </patternFill>
      </fill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numFmt numFmtId="14" formatCode="0.00%"/>
      <fill>
        <patternFill>
          <fgColor indexed="64"/>
          <bgColor indexed="65"/>
        </patternFill>
      </fill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numFmt numFmtId="34" formatCode="_ &quot;₹&quot;\ * #,##0.00_ ;_ &quot;₹&quot;\ * \-#,##0.00_ ;_ &quot;₹&quot;\ * &quot;-&quot;??_ ;_ @_ "/>
      <fill>
        <patternFill>
          <fgColor indexed="64"/>
          <bgColor indexed="65"/>
        </patternFill>
      </fill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numFmt numFmtId="34" formatCode="_ &quot;₹&quot;\ * #,##0.00_ ;_ &quot;₹&quot;\ * \-#,##0.00_ ;_ &quot;₹&quot;\ * &quot;-&quot;??_ ;_ @_ "/>
      <fill>
        <patternFill>
          <fgColor indexed="64"/>
          <bgColor indexed="65"/>
        </patternFill>
      </fill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numFmt numFmtId="34" formatCode="_ &quot;₹&quot;\ * #,##0.00_ ;_ &quot;₹&quot;\ * \-#,##0.00_ ;_ &quot;₹&quot;\ * &quot;-&quot;??_ ;_ @_ "/>
      <fill>
        <patternFill>
          <fgColor indexed="64"/>
          <bgColor indexed="65"/>
        </patternFill>
      </fill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numFmt numFmtId="1" formatCode="0"/>
      <fill>
        <patternFill>
          <fgColor indexed="64"/>
          <bgColor indexed="65"/>
        </patternFill>
      </fill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numFmt numFmtId="0" formatCode="General"/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numFmt numFmtId="0" formatCode="General"/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numFmt numFmtId="0" formatCode="General"/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>
          <fgColor indexed="64"/>
          <bgColor indexed="6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>
          <fgColor indexed="64"/>
          <bgColor indexed="65"/>
        </patternFill>
      </fill>
      <alignment horizontal="general" vertical="bottom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9:N48" totalsRowShown="0" dataDxfId="24" dataCellStyle="Percent">
  <autoFilter ref="A19:N48" xr:uid="{00000000-0009-0000-0100-000001000000}"/>
  <sortState xmlns:xlrd2="http://schemas.microsoft.com/office/spreadsheetml/2017/richdata2" ref="A20:N48">
    <sortCondition descending="1" ref="L19:L48"/>
  </sortState>
  <tableColumns count="14">
    <tableColumn id="1" xr3:uid="{00000000-0010-0000-0000-000001000000}" name="Company name" dataDxfId="23"/>
    <tableColumn id="2" xr3:uid="{00000000-0010-0000-0000-000002000000}" name="Industry" dataDxfId="22">
      <calculatedColumnFormula>VLOOKUP(Table2[[#This Row],[Company name]],Universe!$B$2:$G$1996,2,FALSE)</calculatedColumnFormula>
    </tableColumn>
    <tableColumn id="3" xr3:uid="{00000000-0010-0000-0000-000003000000}" name="Ticker" dataDxfId="21">
      <calculatedColumnFormula>VLOOKUP(Table2[[#This Row],[Company name]],Universe!$B$2:$G$1996,3,FALSE)</calculatedColumnFormula>
    </tableColumn>
    <tableColumn id="4" xr3:uid="{00000000-0010-0000-0000-000004000000}" name="Beta" dataDxfId="20">
      <calculatedColumnFormula>VLOOKUP(Table2[[#This Row],[Company name]],Universe!$B$2:$G$1996,4,FALSE)</calculatedColumnFormula>
    </tableColumn>
    <tableColumn id="14" xr3:uid="{00000000-0010-0000-0000-00000E000000}" name="Category" dataDxfId="19">
      <calculatedColumnFormula>VLOOKUP(Table2[[#This Row],[Company name]],Universe!$B$2:$G$1996,6,FALSE)</calculatedColumnFormula>
    </tableColumn>
    <tableColumn id="6" xr3:uid="{00000000-0010-0000-0000-000006000000}" name="Shares" dataDxfId="18">
      <calculatedColumnFormula>_xlfn.FLOOR.MATH(Table2[[#This Row],[Current Value]]/Table2[[#This Row],[Current Price]])</calculatedColumnFormula>
    </tableColumn>
    <tableColumn id="7" xr3:uid="{00000000-0010-0000-0000-000007000000}" name="Invested Amount" dataDxfId="17" dataCellStyle="Currency"/>
    <tableColumn id="8" xr3:uid="{00000000-0010-0000-0000-000008000000}" name="Current Value" dataDxfId="16" dataCellStyle="Currency"/>
    <tableColumn id="9" xr3:uid="{00000000-0010-0000-0000-000009000000}" name="Actual Return" dataDxfId="15" dataCellStyle="Currency"/>
    <tableColumn id="10" xr3:uid="{00000000-0010-0000-0000-00000A000000}" name="% Absolute Rtn." dataDxfId="14" dataCellStyle="Percent"/>
    <tableColumn id="11" xr3:uid="{00000000-0010-0000-0000-00000B000000}" name="Expected Rtn" dataDxfId="13" dataCellStyle="Percent">
      <calculatedColumnFormula>$B$5+Table2[[#This Row],[Beta]]*($B$14-$B$5)</calculatedColumnFormula>
    </tableColumn>
    <tableColumn id="12" xr3:uid="{00000000-0010-0000-0000-00000C000000}" name="Weights" dataDxfId="12" dataCellStyle="Percent">
      <calculatedColumnFormula>Table2[[#This Row],[Current Value]]/SUM(Table2[Current Value])</calculatedColumnFormula>
    </tableColumn>
    <tableColumn id="13" xr3:uid="{00000000-0010-0000-0000-00000D000000}" name="Optimal Weights" dataDxfId="11" dataCellStyle="Percent"/>
    <tableColumn id="5" xr3:uid="{00000000-0010-0000-0000-000005000000}" name="Current Price" dataDxfId="10" dataCellStyle="Percent">
      <calculatedColumnFormula>VLOOKUP(Table2[[#This Row],[Company name]],Universe!$B$2:$G$1998,5,FALSE)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9:N86" totalsRowShown="0">
  <autoFilter ref="A19:N86" xr:uid="{00000000-0009-0000-0100-000002000000}"/>
  <sortState xmlns:xlrd2="http://schemas.microsoft.com/office/spreadsheetml/2017/richdata2" ref="A20:N86">
    <sortCondition descending="1" ref="L19:L86"/>
  </sortState>
  <tableColumns count="14">
    <tableColumn id="1" xr3:uid="{00000000-0010-0000-0100-000001000000}" name="Company name"/>
    <tableColumn id="2" xr3:uid="{00000000-0010-0000-0100-000002000000}" name="Industry" dataDxfId="9">
      <calculatedColumnFormula>VLOOKUP(Table3[[#This Row],[Company name]],Universe!$B$2:$E$1996,2,FALSE)</calculatedColumnFormula>
    </tableColumn>
    <tableColumn id="3" xr3:uid="{00000000-0010-0000-0100-000003000000}" name="Ticker" dataDxfId="8">
      <calculatedColumnFormula>VLOOKUP(Table3[[#This Row],[Company name]],Universe!$B$2:$E$1998,3,FALSE)</calculatedColumnFormula>
    </tableColumn>
    <tableColumn id="4" xr3:uid="{00000000-0010-0000-0100-000004000000}" name="Beta" dataDxfId="7">
      <calculatedColumnFormula>VLOOKUP(Table3[[#This Row],[Company name]],Universe!$B$2:$G$1996,4,FALSE)</calculatedColumnFormula>
    </tableColumn>
    <tableColumn id="5" xr3:uid="{00000000-0010-0000-0100-000005000000}" name="Category" dataDxfId="6">
      <calculatedColumnFormula>VLOOKUP(Table3[[#This Row],[Company name]],Universe!$B$2:$G$1996,6,FALSE)</calculatedColumnFormula>
    </tableColumn>
    <tableColumn id="6" xr3:uid="{00000000-0010-0000-0100-000006000000}" name="Shares" dataDxfId="5">
      <calculatedColumnFormula>_xlfn.FLOOR.MATH(Table3[[#This Row],[Current Value]]/Table3[[#This Row],[Current Price]])</calculatedColumnFormula>
    </tableColumn>
    <tableColumn id="7" xr3:uid="{00000000-0010-0000-0100-000007000000}" name="Invested Amount" dataCellStyle="Currency"/>
    <tableColumn id="8" xr3:uid="{00000000-0010-0000-0100-000008000000}" name="Current Value" dataCellStyle="Currency"/>
    <tableColumn id="9" xr3:uid="{00000000-0010-0000-0100-000009000000}" name="Actual Return" dataCellStyle="Currency"/>
    <tableColumn id="10" xr3:uid="{00000000-0010-0000-0100-00000A000000}" name="% Absolute Rtn." dataDxfId="4" dataCellStyle="Percent"/>
    <tableColumn id="11" xr3:uid="{00000000-0010-0000-0100-00000B000000}" name="Expected Rtn" dataDxfId="3" dataCellStyle="Percent">
      <calculatedColumnFormula>$B$5+Table3[[#This Row],[Beta]]*($B$14-$B$5)</calculatedColumnFormula>
    </tableColumn>
    <tableColumn id="12" xr3:uid="{00000000-0010-0000-0100-00000C000000}" name="Weights" dataDxfId="2" dataCellStyle="Percent">
      <calculatedColumnFormula>Table3[[#This Row],[Current Value]]/SUM(Table3[Current Value])</calculatedColumnFormula>
    </tableColumn>
    <tableColumn id="13" xr3:uid="{00000000-0010-0000-0100-00000D000000}" name="Optimal Weights" dataDxfId="1" dataCellStyle="Percent"/>
    <tableColumn id="14" xr3:uid="{00000000-0010-0000-0100-00000E000000}" name="Current Price" dataDxfId="0">
      <calculatedColumnFormula>VLOOKUP(Table3[[#This Row],[Company name]],Universe!$B$2:$G$1998,5,FALSE)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0"/>
  <sheetViews>
    <sheetView zoomScale="76" zoomScaleNormal="93" workbookViewId="0">
      <selection activeCell="I11" sqref="I11"/>
    </sheetView>
  </sheetViews>
  <sheetFormatPr defaultRowHeight="15" x14ac:dyDescent="0.25"/>
  <cols>
    <col min="1" max="1" width="73" bestFit="1" customWidth="1"/>
    <col min="2" max="2" width="42.5703125" bestFit="1" customWidth="1"/>
    <col min="3" max="3" width="38.5703125" bestFit="1" customWidth="1"/>
    <col min="4" max="4" width="14" bestFit="1" customWidth="1"/>
    <col min="5" max="5" width="14.5703125" bestFit="1" customWidth="1"/>
    <col min="6" max="6" width="15.42578125" bestFit="1" customWidth="1"/>
    <col min="7" max="9" width="11.5703125" customWidth="1"/>
    <col min="11" max="11" width="14.570312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2" t="s">
        <v>7</v>
      </c>
      <c r="K1" s="2" t="s">
        <v>6</v>
      </c>
    </row>
    <row r="2" spans="1:11" x14ac:dyDescent="0.25">
      <c r="A2" t="e">
        <v>#VALUE!</v>
      </c>
      <c r="B2" t="s">
        <v>8</v>
      </c>
      <c r="C2" t="s">
        <v>9</v>
      </c>
      <c r="D2" t="s">
        <v>10</v>
      </c>
      <c r="E2" s="3">
        <v>1.2196</v>
      </c>
      <c r="F2" s="1">
        <v>1341.85</v>
      </c>
      <c r="G2" s="3" t="str">
        <f t="shared" ref="G2:G41" si="0">VLOOKUP(D2,$J$2:$K$1999,2,FALSE)</f>
        <v>LT</v>
      </c>
      <c r="H2" s="3"/>
      <c r="I2" s="3"/>
      <c r="J2" t="s">
        <v>11</v>
      </c>
      <c r="K2" t="s">
        <v>12</v>
      </c>
    </row>
    <row r="3" spans="1:11" x14ac:dyDescent="0.25">
      <c r="A3" t="e">
        <v>#VALUE!</v>
      </c>
      <c r="B3" t="s">
        <v>13</v>
      </c>
      <c r="C3" t="s">
        <v>14</v>
      </c>
      <c r="D3" t="s">
        <v>15</v>
      </c>
      <c r="E3" s="3">
        <v>1.6922999999999999</v>
      </c>
      <c r="F3" s="1">
        <v>175.4</v>
      </c>
      <c r="G3" s="3" t="e">
        <f t="shared" si="0"/>
        <v>#N/A</v>
      </c>
      <c r="H3" s="3"/>
      <c r="I3" s="3"/>
      <c r="J3" t="s">
        <v>16</v>
      </c>
      <c r="K3" t="s">
        <v>12</v>
      </c>
    </row>
    <row r="4" spans="1:11" x14ac:dyDescent="0.25">
      <c r="A4" t="e">
        <v>#VALUE!</v>
      </c>
      <c r="B4" t="s">
        <v>17</v>
      </c>
      <c r="C4" t="s">
        <v>18</v>
      </c>
      <c r="D4" t="s">
        <v>19</v>
      </c>
      <c r="E4" s="3">
        <v>0.8276</v>
      </c>
      <c r="F4" s="1">
        <v>205.55</v>
      </c>
      <c r="G4" s="3" t="e">
        <f t="shared" si="0"/>
        <v>#N/A</v>
      </c>
      <c r="H4" s="3"/>
      <c r="I4" s="3"/>
      <c r="J4" t="s">
        <v>20</v>
      </c>
      <c r="K4" t="s">
        <v>12</v>
      </c>
    </row>
    <row r="5" spans="1:11" x14ac:dyDescent="0.25">
      <c r="A5" t="e">
        <v>#VALUE!</v>
      </c>
      <c r="B5" t="s">
        <v>21</v>
      </c>
      <c r="C5" t="s">
        <v>22</v>
      </c>
      <c r="D5" t="s">
        <v>23</v>
      </c>
      <c r="E5" s="3">
        <v>1.0506</v>
      </c>
      <c r="F5" s="1">
        <v>760.4</v>
      </c>
      <c r="G5" s="3" t="str">
        <f t="shared" si="0"/>
        <v>AGG</v>
      </c>
      <c r="H5" s="3"/>
      <c r="I5" s="3"/>
      <c r="J5" t="s">
        <v>24</v>
      </c>
      <c r="K5" t="s">
        <v>25</v>
      </c>
    </row>
    <row r="6" spans="1:11" x14ac:dyDescent="0.25">
      <c r="A6" t="e">
        <v>#VALUE!</v>
      </c>
      <c r="B6" t="s">
        <v>26</v>
      </c>
      <c r="C6" t="s">
        <v>27</v>
      </c>
      <c r="D6" t="s">
        <v>28</v>
      </c>
      <c r="E6" s="3">
        <v>0.26400000000000001</v>
      </c>
      <c r="F6" s="1">
        <v>3657.7</v>
      </c>
      <c r="G6" s="3" t="e">
        <f t="shared" si="0"/>
        <v>#N/A</v>
      </c>
      <c r="H6" s="3"/>
      <c r="I6" s="3"/>
      <c r="J6" t="s">
        <v>29</v>
      </c>
      <c r="K6" t="s">
        <v>25</v>
      </c>
    </row>
    <row r="7" spans="1:11" x14ac:dyDescent="0.25">
      <c r="A7" t="e">
        <v>#VALUE!</v>
      </c>
      <c r="B7" t="s">
        <v>30</v>
      </c>
      <c r="C7" t="s">
        <v>31</v>
      </c>
      <c r="D7" t="s">
        <v>32</v>
      </c>
      <c r="E7" s="3">
        <v>0.71160000000000001</v>
      </c>
      <c r="F7" s="1">
        <v>612.35</v>
      </c>
      <c r="G7" s="3" t="e">
        <f t="shared" si="0"/>
        <v>#N/A</v>
      </c>
      <c r="H7" s="3"/>
      <c r="I7" s="3"/>
      <c r="J7" t="s">
        <v>33</v>
      </c>
      <c r="K7" t="s">
        <v>25</v>
      </c>
    </row>
    <row r="8" spans="1:11" x14ac:dyDescent="0.25">
      <c r="A8" t="e">
        <v>#VALUE!</v>
      </c>
      <c r="B8" t="s">
        <v>34</v>
      </c>
      <c r="C8" t="s">
        <v>35</v>
      </c>
      <c r="D8" t="s">
        <v>36</v>
      </c>
      <c r="E8" s="3">
        <v>1.0712999999999999</v>
      </c>
      <c r="F8" s="1">
        <v>375.95</v>
      </c>
      <c r="G8" s="3" t="e">
        <f t="shared" si="0"/>
        <v>#N/A</v>
      </c>
      <c r="H8" s="3"/>
      <c r="I8" s="3"/>
      <c r="J8" t="s">
        <v>37</v>
      </c>
      <c r="K8" t="s">
        <v>12</v>
      </c>
    </row>
    <row r="9" spans="1:11" x14ac:dyDescent="0.25">
      <c r="A9" t="e">
        <v>#VALUE!</v>
      </c>
      <c r="B9" t="s">
        <v>38</v>
      </c>
      <c r="C9" t="s">
        <v>22</v>
      </c>
      <c r="D9" t="s">
        <v>39</v>
      </c>
      <c r="E9" s="3">
        <v>1.2419</v>
      </c>
      <c r="F9" s="1">
        <v>171.25</v>
      </c>
      <c r="G9" s="3" t="str">
        <f t="shared" si="0"/>
        <v>LT</v>
      </c>
      <c r="H9" s="3"/>
      <c r="I9" s="3"/>
      <c r="J9" t="s">
        <v>23</v>
      </c>
      <c r="K9" t="s">
        <v>12</v>
      </c>
    </row>
    <row r="10" spans="1:11" x14ac:dyDescent="0.25">
      <c r="A10" t="e">
        <v>#VALUE!</v>
      </c>
      <c r="B10" t="s">
        <v>40</v>
      </c>
      <c r="C10" t="s">
        <v>41</v>
      </c>
      <c r="D10" t="s">
        <v>42</v>
      </c>
      <c r="E10" s="3">
        <v>0.63429999999999997</v>
      </c>
      <c r="F10" s="1">
        <v>2846.75</v>
      </c>
      <c r="G10" s="3" t="str">
        <f t="shared" si="0"/>
        <v>LT</v>
      </c>
      <c r="H10" s="3"/>
      <c r="I10" s="3"/>
      <c r="J10" t="s">
        <v>43</v>
      </c>
      <c r="K10" t="s">
        <v>12</v>
      </c>
    </row>
    <row r="11" spans="1:11" x14ac:dyDescent="0.25">
      <c r="A11" s="3" t="e">
        <v>#VALUE!</v>
      </c>
      <c r="B11" t="s">
        <v>44</v>
      </c>
      <c r="C11" t="s">
        <v>45</v>
      </c>
      <c r="D11" s="3" t="s">
        <v>46</v>
      </c>
      <c r="E11" s="3">
        <v>0.54849999999999999</v>
      </c>
      <c r="F11" s="1">
        <v>4525.6000000000004</v>
      </c>
      <c r="G11" s="3" t="e">
        <f t="shared" si="0"/>
        <v>#N/A</v>
      </c>
      <c r="H11" s="3"/>
      <c r="I11" s="3"/>
      <c r="J11" t="s">
        <v>47</v>
      </c>
      <c r="K11" t="s">
        <v>25</v>
      </c>
    </row>
    <row r="12" spans="1:11" x14ac:dyDescent="0.25">
      <c r="A12" t="e">
        <v>#VALUE!</v>
      </c>
      <c r="B12" t="s">
        <v>48</v>
      </c>
      <c r="C12" t="s">
        <v>49</v>
      </c>
      <c r="D12" t="s">
        <v>50</v>
      </c>
      <c r="E12" s="3">
        <v>1.9836</v>
      </c>
      <c r="F12" s="1">
        <v>1643.85</v>
      </c>
      <c r="G12" s="3" t="str">
        <f t="shared" si="0"/>
        <v>LT</v>
      </c>
      <c r="H12" s="3"/>
      <c r="I12" s="3"/>
      <c r="J12" t="s">
        <v>51</v>
      </c>
      <c r="K12" t="s">
        <v>12</v>
      </c>
    </row>
    <row r="13" spans="1:11" x14ac:dyDescent="0.25">
      <c r="A13" t="e">
        <v>#VALUE!</v>
      </c>
      <c r="B13" t="s">
        <v>52</v>
      </c>
      <c r="C13" t="s">
        <v>53</v>
      </c>
      <c r="D13" t="s">
        <v>54</v>
      </c>
      <c r="E13" s="3">
        <v>2.0438000000000001</v>
      </c>
      <c r="F13" s="1">
        <v>29.05</v>
      </c>
      <c r="G13" s="3" t="e">
        <f t="shared" si="0"/>
        <v>#N/A</v>
      </c>
      <c r="H13" s="3"/>
      <c r="I13" s="3"/>
      <c r="J13" t="s">
        <v>55</v>
      </c>
      <c r="K13" t="s">
        <v>12</v>
      </c>
    </row>
    <row r="14" spans="1:11" x14ac:dyDescent="0.25">
      <c r="A14" t="e">
        <v>#VALUE!</v>
      </c>
      <c r="B14" t="s">
        <v>56</v>
      </c>
      <c r="C14" t="s">
        <v>53</v>
      </c>
      <c r="D14" t="s">
        <v>57</v>
      </c>
      <c r="E14" s="3">
        <v>0.78810000000000002</v>
      </c>
      <c r="F14" s="1">
        <v>361.95</v>
      </c>
      <c r="G14" s="3" t="e">
        <f t="shared" si="0"/>
        <v>#N/A</v>
      </c>
      <c r="H14" s="3"/>
      <c r="I14" s="3"/>
      <c r="J14" t="s">
        <v>58</v>
      </c>
      <c r="K14" t="s">
        <v>12</v>
      </c>
    </row>
    <row r="15" spans="1:11" x14ac:dyDescent="0.25">
      <c r="A15" t="e">
        <v>#VALUE!</v>
      </c>
      <c r="B15" t="s">
        <v>59</v>
      </c>
      <c r="C15" t="s">
        <v>49</v>
      </c>
      <c r="D15" t="s">
        <v>60</v>
      </c>
      <c r="E15" s="3">
        <v>1.7948999999999999</v>
      </c>
      <c r="F15" s="1">
        <v>180</v>
      </c>
      <c r="G15" s="3" t="str">
        <f t="shared" si="0"/>
        <v>AGG</v>
      </c>
      <c r="H15" s="3"/>
      <c r="I15" s="3"/>
      <c r="J15" t="s">
        <v>61</v>
      </c>
      <c r="K15" t="s">
        <v>25</v>
      </c>
    </row>
    <row r="16" spans="1:11" x14ac:dyDescent="0.25">
      <c r="A16" t="e">
        <v>#VALUE!</v>
      </c>
      <c r="B16" t="s">
        <v>62</v>
      </c>
      <c r="C16" t="s">
        <v>49</v>
      </c>
      <c r="D16" t="s">
        <v>63</v>
      </c>
      <c r="E16" s="3">
        <v>1.7534000000000001</v>
      </c>
      <c r="F16" s="1">
        <v>137.05000000000001</v>
      </c>
      <c r="G16" s="3" t="e">
        <f t="shared" si="0"/>
        <v>#N/A</v>
      </c>
      <c r="H16" s="3"/>
      <c r="I16" s="3"/>
      <c r="J16" t="s">
        <v>25</v>
      </c>
      <c r="K16" t="s">
        <v>25</v>
      </c>
    </row>
    <row r="17" spans="1:11" x14ac:dyDescent="0.25">
      <c r="A17" t="e">
        <v>#VALUE!</v>
      </c>
      <c r="B17" t="s">
        <v>64</v>
      </c>
      <c r="C17" t="s">
        <v>35</v>
      </c>
      <c r="D17" t="s">
        <v>65</v>
      </c>
      <c r="E17" s="3">
        <v>1.4924999999999999</v>
      </c>
      <c r="F17" s="1">
        <v>1129.5999999999999</v>
      </c>
      <c r="G17" s="3" t="str">
        <f t="shared" si="0"/>
        <v>AGG</v>
      </c>
      <c r="H17" s="3"/>
      <c r="I17" s="3"/>
      <c r="J17" t="s">
        <v>66</v>
      </c>
      <c r="K17" t="s">
        <v>12</v>
      </c>
    </row>
    <row r="18" spans="1:11" x14ac:dyDescent="0.25">
      <c r="A18" t="e">
        <v>#VALUE!</v>
      </c>
      <c r="B18" t="s">
        <v>67</v>
      </c>
      <c r="C18" t="s">
        <v>68</v>
      </c>
      <c r="D18" t="s">
        <v>69</v>
      </c>
      <c r="E18" s="3">
        <v>1.2001999999999999</v>
      </c>
      <c r="F18" s="1">
        <v>602.4</v>
      </c>
      <c r="G18" s="3" t="str">
        <f t="shared" si="0"/>
        <v>LT</v>
      </c>
      <c r="H18" s="3"/>
      <c r="I18" s="3"/>
      <c r="J18" t="s">
        <v>70</v>
      </c>
      <c r="K18" t="s">
        <v>25</v>
      </c>
    </row>
    <row r="19" spans="1:11" x14ac:dyDescent="0.25">
      <c r="A19" t="e">
        <v>#VALUE!</v>
      </c>
      <c r="B19" t="s">
        <v>71</v>
      </c>
      <c r="C19" t="s">
        <v>72</v>
      </c>
      <c r="D19" t="s">
        <v>73</v>
      </c>
      <c r="E19" s="3">
        <v>0.59330000000000005</v>
      </c>
      <c r="F19" s="1">
        <v>1228.5999999999999</v>
      </c>
      <c r="G19" s="3" t="str">
        <f t="shared" si="0"/>
        <v>LT</v>
      </c>
      <c r="H19" s="3"/>
      <c r="I19" s="3"/>
      <c r="J19" t="s">
        <v>74</v>
      </c>
      <c r="K19" t="s">
        <v>12</v>
      </c>
    </row>
    <row r="20" spans="1:11" x14ac:dyDescent="0.25">
      <c r="A20" t="e">
        <v>#VALUE!</v>
      </c>
      <c r="B20" t="s">
        <v>75</v>
      </c>
      <c r="C20" t="s">
        <v>76</v>
      </c>
      <c r="D20" t="s">
        <v>77</v>
      </c>
      <c r="E20" s="3">
        <v>1.2115</v>
      </c>
      <c r="F20" s="1">
        <v>742</v>
      </c>
      <c r="G20" s="3" t="e">
        <f t="shared" si="0"/>
        <v>#N/A</v>
      </c>
      <c r="H20" s="3"/>
      <c r="I20" s="3"/>
      <c r="J20" t="s">
        <v>65</v>
      </c>
      <c r="K20" t="s">
        <v>12</v>
      </c>
    </row>
    <row r="21" spans="1:11" x14ac:dyDescent="0.25">
      <c r="A21" t="e">
        <v>#VALUE!</v>
      </c>
      <c r="B21" t="s">
        <v>78</v>
      </c>
      <c r="C21" t="s">
        <v>79</v>
      </c>
      <c r="D21" t="s">
        <v>20</v>
      </c>
      <c r="E21" s="3">
        <v>2.1861999999999999</v>
      </c>
      <c r="F21" s="1">
        <v>497.75</v>
      </c>
      <c r="G21" s="3" t="str">
        <f t="shared" si="0"/>
        <v>AGG</v>
      </c>
      <c r="H21" s="3"/>
      <c r="I21" s="3"/>
      <c r="J21" t="s">
        <v>80</v>
      </c>
      <c r="K21" t="s">
        <v>25</v>
      </c>
    </row>
    <row r="22" spans="1:11" x14ac:dyDescent="0.25">
      <c r="A22" t="e">
        <v>#VALUE!</v>
      </c>
      <c r="B22" t="s">
        <v>81</v>
      </c>
      <c r="C22" t="s">
        <v>68</v>
      </c>
      <c r="D22" t="s">
        <v>82</v>
      </c>
      <c r="E22" s="3">
        <v>1.1546000000000001</v>
      </c>
      <c r="F22" s="1">
        <v>185.95</v>
      </c>
      <c r="G22" s="3" t="e">
        <f t="shared" si="0"/>
        <v>#N/A</v>
      </c>
      <c r="H22" s="3"/>
      <c r="I22" s="3"/>
      <c r="J22" t="s">
        <v>83</v>
      </c>
      <c r="K22" t="s">
        <v>84</v>
      </c>
    </row>
    <row r="23" spans="1:11" x14ac:dyDescent="0.25">
      <c r="A23" t="e">
        <v>#VALUE!</v>
      </c>
      <c r="B23" t="s">
        <v>85</v>
      </c>
      <c r="C23" t="s">
        <v>86</v>
      </c>
      <c r="D23" t="s">
        <v>87</v>
      </c>
      <c r="E23" s="3">
        <v>0.71779999999999999</v>
      </c>
      <c r="F23" s="1">
        <v>2682.4</v>
      </c>
      <c r="G23" s="3" t="str">
        <f t="shared" si="0"/>
        <v>AGG</v>
      </c>
      <c r="H23" s="3"/>
      <c r="I23" s="3"/>
      <c r="J23" t="s">
        <v>87</v>
      </c>
      <c r="K23" t="s">
        <v>12</v>
      </c>
    </row>
    <row r="24" spans="1:11" x14ac:dyDescent="0.25">
      <c r="A24" t="e">
        <v>#VALUE!</v>
      </c>
      <c r="B24" t="s">
        <v>88</v>
      </c>
      <c r="C24" t="s">
        <v>89</v>
      </c>
      <c r="D24" t="s">
        <v>90</v>
      </c>
      <c r="E24" s="3">
        <v>0.85019999999999996</v>
      </c>
      <c r="F24" s="1">
        <v>1711.95</v>
      </c>
      <c r="G24" s="3" t="e">
        <f t="shared" si="0"/>
        <v>#N/A</v>
      </c>
      <c r="H24" s="3"/>
      <c r="I24" s="3"/>
      <c r="J24" t="s">
        <v>91</v>
      </c>
      <c r="K24" t="s">
        <v>25</v>
      </c>
    </row>
    <row r="25" spans="1:11" x14ac:dyDescent="0.25">
      <c r="A25" t="e">
        <v>#VALUE!</v>
      </c>
      <c r="B25" t="s">
        <v>92</v>
      </c>
      <c r="C25" t="s">
        <v>93</v>
      </c>
      <c r="D25" t="s">
        <v>92</v>
      </c>
      <c r="E25" s="3">
        <v>1.4607000000000001</v>
      </c>
      <c r="F25" s="1">
        <v>121.65</v>
      </c>
      <c r="G25" s="3" t="e">
        <f t="shared" si="0"/>
        <v>#N/A</v>
      </c>
      <c r="H25" s="3"/>
      <c r="I25" s="3"/>
      <c r="J25" t="s">
        <v>94</v>
      </c>
      <c r="K25" t="s">
        <v>12</v>
      </c>
    </row>
    <row r="26" spans="1:11" x14ac:dyDescent="0.25">
      <c r="A26" t="e">
        <v>#VALUE!</v>
      </c>
      <c r="B26" t="s">
        <v>95</v>
      </c>
      <c r="C26" t="s">
        <v>41</v>
      </c>
      <c r="D26" t="s">
        <v>55</v>
      </c>
      <c r="E26" s="3">
        <v>0.73860000000000003</v>
      </c>
      <c r="F26" s="1">
        <v>231</v>
      </c>
      <c r="G26" s="3" t="str">
        <f t="shared" si="0"/>
        <v>AGG</v>
      </c>
      <c r="H26" s="3"/>
      <c r="I26" s="3"/>
      <c r="J26" t="s">
        <v>96</v>
      </c>
      <c r="K26" t="s">
        <v>25</v>
      </c>
    </row>
    <row r="27" spans="1:11" x14ac:dyDescent="0.25">
      <c r="A27" t="e">
        <v>#VALUE!</v>
      </c>
      <c r="B27" t="s">
        <v>97</v>
      </c>
      <c r="C27" t="s">
        <v>41</v>
      </c>
      <c r="D27" t="s">
        <v>98</v>
      </c>
      <c r="E27" s="3">
        <v>18.375</v>
      </c>
      <c r="F27" s="1">
        <v>450</v>
      </c>
      <c r="G27" s="3" t="e">
        <f t="shared" si="0"/>
        <v>#N/A</v>
      </c>
      <c r="H27" s="3"/>
      <c r="I27" s="3"/>
      <c r="J27" t="s">
        <v>10</v>
      </c>
      <c r="K27" t="s">
        <v>25</v>
      </c>
    </row>
    <row r="28" spans="1:11" x14ac:dyDescent="0.25">
      <c r="A28" t="e">
        <v>#VALUE!</v>
      </c>
      <c r="B28" t="s">
        <v>99</v>
      </c>
      <c r="C28" t="s">
        <v>100</v>
      </c>
      <c r="D28" t="s">
        <v>101</v>
      </c>
      <c r="E28" s="3">
        <v>0.38319999999999999</v>
      </c>
      <c r="F28" s="1">
        <v>523.15</v>
      </c>
      <c r="G28" s="3" t="e">
        <f t="shared" si="0"/>
        <v>#N/A</v>
      </c>
      <c r="H28" s="3"/>
      <c r="I28" s="3"/>
      <c r="J28" t="s">
        <v>102</v>
      </c>
      <c r="K28" t="s">
        <v>25</v>
      </c>
    </row>
    <row r="29" spans="1:11" x14ac:dyDescent="0.25">
      <c r="A29" t="e">
        <v>#VALUE!</v>
      </c>
      <c r="B29" t="s">
        <v>103</v>
      </c>
      <c r="C29" t="s">
        <v>41</v>
      </c>
      <c r="D29" t="s">
        <v>104</v>
      </c>
      <c r="E29" s="3">
        <v>1.1565000000000001</v>
      </c>
      <c r="F29" s="1">
        <v>2125.5</v>
      </c>
      <c r="G29" s="3" t="e">
        <f t="shared" si="0"/>
        <v>#N/A</v>
      </c>
      <c r="H29" s="3"/>
      <c r="I29" s="3"/>
      <c r="J29" t="s">
        <v>73</v>
      </c>
      <c r="K29" t="s">
        <v>25</v>
      </c>
    </row>
    <row r="30" spans="1:11" x14ac:dyDescent="0.25">
      <c r="A30" t="e">
        <v>#VALUE!</v>
      </c>
      <c r="B30" t="s">
        <v>105</v>
      </c>
      <c r="C30" t="s">
        <v>106</v>
      </c>
      <c r="D30" t="s">
        <v>107</v>
      </c>
      <c r="E30" s="3">
        <v>0.73929999999999996</v>
      </c>
      <c r="F30" s="1">
        <v>2262.85</v>
      </c>
      <c r="G30" s="3" t="e">
        <f t="shared" si="0"/>
        <v>#N/A</v>
      </c>
      <c r="H30" s="3"/>
      <c r="I30" s="3"/>
      <c r="J30" t="s">
        <v>108</v>
      </c>
      <c r="K30" t="s">
        <v>84</v>
      </c>
    </row>
    <row r="31" spans="1:11" x14ac:dyDescent="0.25">
      <c r="A31" t="e">
        <v>#VALUE!</v>
      </c>
      <c r="B31" t="s">
        <v>109</v>
      </c>
      <c r="C31" t="s">
        <v>110</v>
      </c>
      <c r="D31" t="s">
        <v>111</v>
      </c>
      <c r="E31" s="3">
        <v>0.2311</v>
      </c>
      <c r="F31" s="1">
        <v>6157.9</v>
      </c>
      <c r="G31" s="3" t="str">
        <f t="shared" si="0"/>
        <v>AGG</v>
      </c>
      <c r="H31" s="3"/>
      <c r="I31" s="3"/>
      <c r="J31" t="s">
        <v>112</v>
      </c>
      <c r="K31" t="s">
        <v>12</v>
      </c>
    </row>
    <row r="32" spans="1:11" x14ac:dyDescent="0.25">
      <c r="A32" t="e">
        <v>#VALUE!</v>
      </c>
      <c r="B32" t="s">
        <v>113</v>
      </c>
      <c r="C32" t="s">
        <v>114</v>
      </c>
      <c r="D32" t="s">
        <v>113</v>
      </c>
      <c r="E32" s="3">
        <v>0.80630000000000002</v>
      </c>
      <c r="F32" s="1">
        <v>179.3</v>
      </c>
      <c r="G32" s="3" t="str">
        <f t="shared" si="0"/>
        <v>LT</v>
      </c>
      <c r="H32" s="3"/>
      <c r="I32" s="3"/>
      <c r="J32" t="s">
        <v>115</v>
      </c>
      <c r="K32" t="s">
        <v>84</v>
      </c>
    </row>
    <row r="33" spans="1:11" x14ac:dyDescent="0.25">
      <c r="A33" t="e">
        <v>#VALUE!</v>
      </c>
      <c r="B33" t="s">
        <v>116</v>
      </c>
      <c r="C33" t="s">
        <v>49</v>
      </c>
      <c r="D33" t="s">
        <v>117</v>
      </c>
      <c r="E33" s="3">
        <v>0.82979999999999998</v>
      </c>
      <c r="F33" s="1">
        <v>92.55</v>
      </c>
      <c r="G33" s="3" t="e">
        <f t="shared" si="0"/>
        <v>#N/A</v>
      </c>
      <c r="H33" s="3"/>
      <c r="I33" s="3"/>
      <c r="J33" t="s">
        <v>69</v>
      </c>
      <c r="K33" t="s">
        <v>25</v>
      </c>
    </row>
    <row r="34" spans="1:11" x14ac:dyDescent="0.25">
      <c r="A34" t="e">
        <v>#VALUE!</v>
      </c>
      <c r="B34" t="s">
        <v>118</v>
      </c>
      <c r="C34" t="s">
        <v>86</v>
      </c>
      <c r="D34" t="s">
        <v>119</v>
      </c>
      <c r="E34" s="3">
        <v>0.9526</v>
      </c>
      <c r="F34" s="1">
        <v>304.55</v>
      </c>
      <c r="G34" s="3" t="e">
        <f t="shared" si="0"/>
        <v>#N/A</v>
      </c>
      <c r="H34" s="3"/>
      <c r="I34" s="3"/>
      <c r="J34" t="s">
        <v>120</v>
      </c>
      <c r="K34" t="s">
        <v>25</v>
      </c>
    </row>
    <row r="35" spans="1:11" x14ac:dyDescent="0.25">
      <c r="A35" t="e">
        <v>#VALUE!</v>
      </c>
      <c r="B35" t="s">
        <v>121</v>
      </c>
      <c r="C35" t="s">
        <v>122</v>
      </c>
      <c r="D35" t="s">
        <v>123</v>
      </c>
      <c r="E35" s="3">
        <v>1.5217000000000001</v>
      </c>
      <c r="F35" s="1">
        <v>197.65</v>
      </c>
      <c r="G35" s="3" t="e">
        <f t="shared" si="0"/>
        <v>#N/A</v>
      </c>
      <c r="H35" s="3"/>
      <c r="I35" s="3"/>
      <c r="J35" t="s">
        <v>124</v>
      </c>
      <c r="K35" t="s">
        <v>25</v>
      </c>
    </row>
    <row r="36" spans="1:11" x14ac:dyDescent="0.25">
      <c r="A36" t="e">
        <v>#VALUE!</v>
      </c>
      <c r="B36" t="s">
        <v>125</v>
      </c>
      <c r="C36" t="s">
        <v>106</v>
      </c>
      <c r="D36" t="s">
        <v>126</v>
      </c>
      <c r="E36" s="3">
        <v>0.89410000000000001</v>
      </c>
      <c r="F36" s="1">
        <v>420.2</v>
      </c>
      <c r="G36" s="3" t="str">
        <f t="shared" si="0"/>
        <v>AGG</v>
      </c>
      <c r="H36" s="3"/>
      <c r="I36" s="3"/>
      <c r="J36" t="s">
        <v>127</v>
      </c>
      <c r="K36" t="s">
        <v>25</v>
      </c>
    </row>
    <row r="37" spans="1:11" x14ac:dyDescent="0.25">
      <c r="A37" t="e">
        <v>#VALUE!</v>
      </c>
      <c r="B37" t="s">
        <v>128</v>
      </c>
      <c r="C37" t="s">
        <v>129</v>
      </c>
      <c r="D37" t="s">
        <v>130</v>
      </c>
      <c r="E37" s="3">
        <v>0.6</v>
      </c>
      <c r="F37" s="1">
        <v>100.25</v>
      </c>
      <c r="G37" s="3" t="e">
        <f t="shared" si="0"/>
        <v>#N/A</v>
      </c>
      <c r="H37" s="3"/>
      <c r="I37" s="3"/>
      <c r="J37" t="s">
        <v>131</v>
      </c>
      <c r="K37" t="s">
        <v>12</v>
      </c>
    </row>
    <row r="38" spans="1:11" x14ac:dyDescent="0.25">
      <c r="A38" t="e">
        <v>#VALUE!</v>
      </c>
      <c r="B38" t="s">
        <v>132</v>
      </c>
      <c r="C38" t="s">
        <v>9</v>
      </c>
      <c r="D38" t="s">
        <v>133</v>
      </c>
      <c r="E38" s="3">
        <v>1.0201</v>
      </c>
      <c r="F38" s="1">
        <v>81.599999999999994</v>
      </c>
      <c r="G38" s="3" t="e">
        <f t="shared" si="0"/>
        <v>#N/A</v>
      </c>
      <c r="H38" s="3"/>
      <c r="I38" s="3"/>
      <c r="J38" t="s">
        <v>134</v>
      </c>
      <c r="K38" t="s">
        <v>12</v>
      </c>
    </row>
    <row r="39" spans="1:11" x14ac:dyDescent="0.25">
      <c r="A39" t="e">
        <v>#VALUE!</v>
      </c>
      <c r="B39" t="s">
        <v>135</v>
      </c>
      <c r="C39" t="s">
        <v>22</v>
      </c>
      <c r="D39" t="s">
        <v>136</v>
      </c>
      <c r="E39" s="3">
        <v>1.3754</v>
      </c>
      <c r="F39" s="1">
        <v>126.6</v>
      </c>
      <c r="G39" s="3" t="e">
        <f t="shared" si="0"/>
        <v>#N/A</v>
      </c>
      <c r="H39" s="3"/>
      <c r="I39" s="3"/>
      <c r="J39" t="s">
        <v>137</v>
      </c>
      <c r="K39" t="s">
        <v>25</v>
      </c>
    </row>
    <row r="40" spans="1:11" x14ac:dyDescent="0.25">
      <c r="A40" t="e">
        <v>#VALUE!</v>
      </c>
      <c r="B40" t="s">
        <v>138</v>
      </c>
      <c r="C40" t="s">
        <v>139</v>
      </c>
      <c r="D40" t="s">
        <v>140</v>
      </c>
      <c r="E40" s="3">
        <v>1.7059</v>
      </c>
      <c r="F40" s="1">
        <v>231.2</v>
      </c>
      <c r="G40" s="3" t="str">
        <f t="shared" si="0"/>
        <v>AGG</v>
      </c>
      <c r="H40" s="3"/>
      <c r="I40" s="3"/>
      <c r="J40" t="s">
        <v>141</v>
      </c>
      <c r="K40" t="s">
        <v>12</v>
      </c>
    </row>
    <row r="41" spans="1:11" x14ac:dyDescent="0.25">
      <c r="A41" t="e">
        <v>#VALUE!</v>
      </c>
      <c r="B41" t="s">
        <v>142</v>
      </c>
      <c r="C41" t="s">
        <v>76</v>
      </c>
      <c r="D41" t="s">
        <v>143</v>
      </c>
      <c r="E41" s="3">
        <v>0.89270000000000005</v>
      </c>
      <c r="F41" s="1">
        <v>1543.55</v>
      </c>
      <c r="G41" s="3" t="str">
        <f t="shared" si="0"/>
        <v>LT</v>
      </c>
      <c r="H41" s="3"/>
      <c r="I41" s="3"/>
      <c r="J41" t="s">
        <v>144</v>
      </c>
      <c r="K41" t="s">
        <v>12</v>
      </c>
    </row>
    <row r="42" spans="1:11" x14ac:dyDescent="0.25">
      <c r="A42" t="e">
        <v>#VALUE!</v>
      </c>
      <c r="B42" t="s">
        <v>145</v>
      </c>
      <c r="C42" t="s">
        <v>49</v>
      </c>
      <c r="D42" t="s">
        <v>146</v>
      </c>
      <c r="E42" s="3">
        <v>1.1359999999999999</v>
      </c>
      <c r="F42" s="1">
        <v>1447.9</v>
      </c>
      <c r="H42" s="3"/>
      <c r="I42" s="3"/>
      <c r="J42" t="s">
        <v>111</v>
      </c>
      <c r="K42" t="s">
        <v>12</v>
      </c>
    </row>
    <row r="43" spans="1:11" x14ac:dyDescent="0.25">
      <c r="A43" t="e">
        <v>#VALUE!</v>
      </c>
      <c r="B43" t="s">
        <v>147</v>
      </c>
      <c r="C43" t="s">
        <v>49</v>
      </c>
      <c r="D43" t="s">
        <v>146</v>
      </c>
      <c r="E43" s="3">
        <v>1.1359999999999999</v>
      </c>
      <c r="F43" s="1">
        <v>1447.9</v>
      </c>
      <c r="G43" s="3" t="str">
        <f t="shared" ref="G43:G74" si="1">VLOOKUP(D43,$J$2:$K$1999,2,FALSE)</f>
        <v>LT</v>
      </c>
      <c r="H43" s="3"/>
      <c r="I43" s="3"/>
      <c r="J43" t="s">
        <v>148</v>
      </c>
      <c r="K43" t="s">
        <v>12</v>
      </c>
    </row>
    <row r="44" spans="1:11" x14ac:dyDescent="0.25">
      <c r="A44" t="e">
        <v>#VALUE!</v>
      </c>
      <c r="B44" t="s">
        <v>149</v>
      </c>
      <c r="C44" t="s">
        <v>86</v>
      </c>
      <c r="D44" t="s">
        <v>24</v>
      </c>
      <c r="E44" s="3">
        <v>0.99970000000000003</v>
      </c>
      <c r="F44" s="1">
        <v>4722.3</v>
      </c>
      <c r="G44" s="3" t="str">
        <f t="shared" si="1"/>
        <v>LT</v>
      </c>
      <c r="H44" s="3"/>
      <c r="I44" s="3"/>
      <c r="J44" t="s">
        <v>150</v>
      </c>
      <c r="K44" t="s">
        <v>12</v>
      </c>
    </row>
    <row r="45" spans="1:11" x14ac:dyDescent="0.25">
      <c r="A45" t="e">
        <v>#VALUE!</v>
      </c>
      <c r="B45" t="s">
        <v>151</v>
      </c>
      <c r="C45" t="s">
        <v>152</v>
      </c>
      <c r="D45" t="s">
        <v>151</v>
      </c>
      <c r="E45" s="3">
        <v>1.7307999999999999</v>
      </c>
      <c r="F45" s="1">
        <v>91.8</v>
      </c>
      <c r="G45" s="3" t="e">
        <f t="shared" si="1"/>
        <v>#N/A</v>
      </c>
      <c r="H45" s="3"/>
      <c r="I45" s="3"/>
      <c r="J45" t="s">
        <v>153</v>
      </c>
      <c r="K45" t="s">
        <v>25</v>
      </c>
    </row>
    <row r="46" spans="1:11" x14ac:dyDescent="0.25">
      <c r="A46" t="e">
        <v>#VALUE!</v>
      </c>
      <c r="B46" t="s">
        <v>154</v>
      </c>
      <c r="C46" t="s">
        <v>35</v>
      </c>
      <c r="D46" t="s">
        <v>102</v>
      </c>
      <c r="E46" s="3">
        <v>1.8786</v>
      </c>
      <c r="F46" s="1">
        <v>560.25</v>
      </c>
      <c r="G46" s="3" t="str">
        <f t="shared" si="1"/>
        <v>LT</v>
      </c>
      <c r="H46" s="3"/>
      <c r="I46" s="3"/>
      <c r="J46" t="s">
        <v>155</v>
      </c>
      <c r="K46" t="s">
        <v>25</v>
      </c>
    </row>
    <row r="47" spans="1:11" x14ac:dyDescent="0.25">
      <c r="A47" t="e">
        <v>#VALUE!</v>
      </c>
      <c r="B47" t="s">
        <v>156</v>
      </c>
      <c r="C47" t="s">
        <v>157</v>
      </c>
      <c r="D47" t="s">
        <v>158</v>
      </c>
      <c r="E47" s="3">
        <v>1.2263999999999999</v>
      </c>
      <c r="F47" s="1">
        <v>3327</v>
      </c>
      <c r="G47" s="3" t="e">
        <f t="shared" si="1"/>
        <v>#N/A</v>
      </c>
      <c r="H47" s="3"/>
      <c r="I47" s="3"/>
      <c r="J47" t="s">
        <v>159</v>
      </c>
      <c r="K47" t="s">
        <v>12</v>
      </c>
    </row>
    <row r="48" spans="1:11" x14ac:dyDescent="0.25">
      <c r="A48" t="e">
        <v>#VALUE!</v>
      </c>
      <c r="B48" t="s">
        <v>160</v>
      </c>
      <c r="C48" t="s">
        <v>161</v>
      </c>
      <c r="D48" t="s">
        <v>162</v>
      </c>
      <c r="E48" s="3">
        <v>1.8331</v>
      </c>
      <c r="F48" s="1">
        <v>31.6</v>
      </c>
      <c r="G48" s="3" t="e">
        <f t="shared" si="1"/>
        <v>#N/A</v>
      </c>
      <c r="H48" s="3"/>
      <c r="I48" s="3"/>
      <c r="J48" t="s">
        <v>163</v>
      </c>
      <c r="K48" t="s">
        <v>84</v>
      </c>
    </row>
    <row r="49" spans="1:11" x14ac:dyDescent="0.25">
      <c r="A49" t="e">
        <v>#VALUE!</v>
      </c>
      <c r="B49" t="s">
        <v>164</v>
      </c>
      <c r="C49" t="s">
        <v>100</v>
      </c>
      <c r="D49" t="s">
        <v>165</v>
      </c>
      <c r="E49" s="3">
        <v>0.19500000000000001</v>
      </c>
      <c r="F49" s="1">
        <v>2264.35</v>
      </c>
      <c r="G49" s="3" t="str">
        <f t="shared" si="1"/>
        <v>LT</v>
      </c>
      <c r="H49" s="3"/>
      <c r="I49" s="3"/>
      <c r="J49" t="s">
        <v>42</v>
      </c>
      <c r="K49" t="s">
        <v>25</v>
      </c>
    </row>
    <row r="50" spans="1:11" x14ac:dyDescent="0.25">
      <c r="A50" t="e">
        <v>#VALUE!</v>
      </c>
      <c r="B50" t="s">
        <v>166</v>
      </c>
      <c r="C50" t="s">
        <v>49</v>
      </c>
      <c r="D50" t="s">
        <v>167</v>
      </c>
      <c r="E50" s="3">
        <v>1.3002</v>
      </c>
      <c r="F50" s="1">
        <v>1093.3</v>
      </c>
      <c r="G50" s="3" t="str">
        <f t="shared" si="1"/>
        <v>LT</v>
      </c>
      <c r="H50" s="3"/>
      <c r="I50" s="3"/>
      <c r="J50" t="s">
        <v>168</v>
      </c>
      <c r="K50" t="s">
        <v>12</v>
      </c>
    </row>
    <row r="51" spans="1:11" x14ac:dyDescent="0.25">
      <c r="A51" t="e">
        <v>#VALUE!</v>
      </c>
      <c r="B51" t="s">
        <v>169</v>
      </c>
      <c r="C51" t="s">
        <v>84</v>
      </c>
      <c r="D51" t="s">
        <v>170</v>
      </c>
      <c r="E51" s="3">
        <v>0.91569999999999996</v>
      </c>
      <c r="F51" s="1">
        <v>47.52</v>
      </c>
      <c r="G51" s="3" t="e">
        <f t="shared" si="1"/>
        <v>#N/A</v>
      </c>
      <c r="H51" s="3"/>
      <c r="I51" s="3"/>
      <c r="J51" t="s">
        <v>140</v>
      </c>
      <c r="K51" t="s">
        <v>12</v>
      </c>
    </row>
    <row r="52" spans="1:11" x14ac:dyDescent="0.25">
      <c r="A52" t="e">
        <v>#VALUE!</v>
      </c>
      <c r="B52" t="s">
        <v>171</v>
      </c>
      <c r="C52" t="s">
        <v>49</v>
      </c>
      <c r="D52" t="s">
        <v>172</v>
      </c>
      <c r="E52" s="3">
        <v>1.3253999999999999</v>
      </c>
      <c r="F52" s="1">
        <v>75.400000000000006</v>
      </c>
      <c r="G52" s="3" t="e">
        <f t="shared" si="1"/>
        <v>#N/A</v>
      </c>
      <c r="H52" s="3"/>
      <c r="I52" s="3"/>
      <c r="J52" t="s">
        <v>173</v>
      </c>
      <c r="K52" t="s">
        <v>25</v>
      </c>
    </row>
    <row r="53" spans="1:11" x14ac:dyDescent="0.25">
      <c r="A53" t="e">
        <v>#VALUE!</v>
      </c>
      <c r="B53" t="s">
        <v>174</v>
      </c>
      <c r="C53" t="s">
        <v>161</v>
      </c>
      <c r="D53" t="s">
        <v>175</v>
      </c>
      <c r="E53" s="3">
        <v>-0.26</v>
      </c>
      <c r="F53" s="1">
        <v>20.63</v>
      </c>
      <c r="G53" s="3" t="e">
        <f t="shared" si="1"/>
        <v>#N/A</v>
      </c>
      <c r="H53" s="3"/>
      <c r="I53" s="3"/>
      <c r="J53" t="s">
        <v>176</v>
      </c>
      <c r="K53" t="s">
        <v>12</v>
      </c>
    </row>
    <row r="54" spans="1:11" x14ac:dyDescent="0.25">
      <c r="A54" t="e">
        <v>#VALUE!</v>
      </c>
      <c r="B54" t="s">
        <v>177</v>
      </c>
      <c r="C54" t="s">
        <v>49</v>
      </c>
      <c r="D54" t="s">
        <v>178</v>
      </c>
      <c r="E54" s="3">
        <v>2.4169</v>
      </c>
      <c r="F54" s="1">
        <v>168.3</v>
      </c>
      <c r="G54" s="3" t="e">
        <f t="shared" si="1"/>
        <v>#N/A</v>
      </c>
      <c r="H54" s="3"/>
      <c r="I54" s="3"/>
      <c r="J54" t="s">
        <v>179</v>
      </c>
      <c r="K54" t="s">
        <v>12</v>
      </c>
    </row>
    <row r="55" spans="1:11" x14ac:dyDescent="0.25">
      <c r="A55" t="e">
        <v>#VALUE!</v>
      </c>
      <c r="B55" t="s">
        <v>180</v>
      </c>
      <c r="C55" t="s">
        <v>181</v>
      </c>
      <c r="D55" t="s">
        <v>182</v>
      </c>
      <c r="E55" s="3">
        <v>2.2488000000000001</v>
      </c>
      <c r="F55" s="1">
        <v>115.95</v>
      </c>
      <c r="G55" s="3" t="e">
        <f t="shared" si="1"/>
        <v>#N/A</v>
      </c>
      <c r="H55" s="3"/>
      <c r="I55" s="3"/>
      <c r="J55" t="s">
        <v>183</v>
      </c>
      <c r="K55" t="s">
        <v>12</v>
      </c>
    </row>
    <row r="56" spans="1:11" x14ac:dyDescent="0.25">
      <c r="A56" t="e">
        <v>#VALUE!</v>
      </c>
      <c r="B56" t="s">
        <v>184</v>
      </c>
      <c r="C56" t="s">
        <v>185</v>
      </c>
      <c r="D56" t="s">
        <v>186</v>
      </c>
      <c r="E56" s="3">
        <v>1.2174</v>
      </c>
      <c r="F56" s="1">
        <v>929.7</v>
      </c>
      <c r="G56" s="3" t="e">
        <f t="shared" si="1"/>
        <v>#N/A</v>
      </c>
      <c r="H56" s="3"/>
      <c r="I56" s="3"/>
      <c r="J56" t="s">
        <v>187</v>
      </c>
      <c r="K56" t="s">
        <v>12</v>
      </c>
    </row>
    <row r="57" spans="1:11" x14ac:dyDescent="0.25">
      <c r="A57" t="e">
        <v>#VALUE!</v>
      </c>
      <c r="B57" t="s">
        <v>188</v>
      </c>
      <c r="C57" t="s">
        <v>49</v>
      </c>
      <c r="D57" t="s">
        <v>11</v>
      </c>
      <c r="E57" s="3">
        <v>1.58</v>
      </c>
      <c r="F57" s="1">
        <v>135.9</v>
      </c>
      <c r="G57" s="3" t="str">
        <f t="shared" si="1"/>
        <v>AGG</v>
      </c>
      <c r="H57" s="3"/>
      <c r="I57" s="3"/>
      <c r="J57" t="s">
        <v>189</v>
      </c>
      <c r="K57" t="s">
        <v>12</v>
      </c>
    </row>
    <row r="58" spans="1:11" x14ac:dyDescent="0.25">
      <c r="A58" t="e">
        <v>#VALUE!</v>
      </c>
      <c r="B58" t="s">
        <v>190</v>
      </c>
      <c r="C58" t="s">
        <v>110</v>
      </c>
      <c r="D58" t="s">
        <v>191</v>
      </c>
      <c r="E58" s="3">
        <v>0.62060000000000004</v>
      </c>
      <c r="F58" s="1">
        <v>328.65</v>
      </c>
      <c r="G58" s="3" t="e">
        <f t="shared" si="1"/>
        <v>#N/A</v>
      </c>
      <c r="H58" s="3"/>
      <c r="I58" s="3"/>
      <c r="J58" t="s">
        <v>167</v>
      </c>
      <c r="K58" t="s">
        <v>25</v>
      </c>
    </row>
    <row r="59" spans="1:11" x14ac:dyDescent="0.25">
      <c r="A59" t="e">
        <v>#VALUE!</v>
      </c>
      <c r="B59" t="s">
        <v>192</v>
      </c>
      <c r="C59" t="s">
        <v>193</v>
      </c>
      <c r="D59" t="s">
        <v>194</v>
      </c>
      <c r="E59" s="3">
        <v>0.7258</v>
      </c>
      <c r="F59" s="1">
        <v>430.8</v>
      </c>
      <c r="G59" s="3" t="str">
        <f t="shared" si="1"/>
        <v>AGG</v>
      </c>
      <c r="H59" s="3"/>
      <c r="I59" s="3"/>
      <c r="J59" t="s">
        <v>195</v>
      </c>
      <c r="K59" t="s">
        <v>84</v>
      </c>
    </row>
    <row r="60" spans="1:11" x14ac:dyDescent="0.25">
      <c r="A60" t="e">
        <v>#VALUE!</v>
      </c>
      <c r="B60" t="s">
        <v>196</v>
      </c>
      <c r="C60" t="s">
        <v>72</v>
      </c>
      <c r="D60" t="s">
        <v>197</v>
      </c>
      <c r="E60" s="3">
        <v>0.74729999999999996</v>
      </c>
      <c r="F60" s="1">
        <v>291.14999999999998</v>
      </c>
      <c r="G60" s="3" t="e">
        <f t="shared" si="1"/>
        <v>#N/A</v>
      </c>
      <c r="H60" s="3"/>
      <c r="I60" s="3"/>
      <c r="J60" t="s">
        <v>198</v>
      </c>
      <c r="K60" t="s">
        <v>12</v>
      </c>
    </row>
    <row r="61" spans="1:11" x14ac:dyDescent="0.25">
      <c r="A61" t="e">
        <v>#VALUE!</v>
      </c>
      <c r="B61" t="s">
        <v>199</v>
      </c>
      <c r="C61" t="s">
        <v>76</v>
      </c>
      <c r="D61" t="s">
        <v>200</v>
      </c>
      <c r="E61" s="3">
        <v>0.69920000000000004</v>
      </c>
      <c r="F61" s="1">
        <v>1498.05</v>
      </c>
      <c r="G61" s="3" t="str">
        <f t="shared" si="1"/>
        <v>LT</v>
      </c>
      <c r="H61" s="3"/>
      <c r="I61" s="3"/>
      <c r="J61" t="s">
        <v>165</v>
      </c>
      <c r="K61" t="s">
        <v>25</v>
      </c>
    </row>
    <row r="62" spans="1:11" x14ac:dyDescent="0.25">
      <c r="A62" t="e">
        <v>#VALUE!</v>
      </c>
      <c r="B62" t="s">
        <v>201</v>
      </c>
      <c r="C62" t="s">
        <v>22</v>
      </c>
      <c r="D62" t="s">
        <v>202</v>
      </c>
      <c r="E62" s="3">
        <v>0.38819999999999999</v>
      </c>
      <c r="F62" s="1">
        <v>3680.35</v>
      </c>
      <c r="G62" s="3" t="e">
        <f t="shared" si="1"/>
        <v>#N/A</v>
      </c>
      <c r="H62" s="3"/>
      <c r="I62" s="3"/>
      <c r="J62" t="s">
        <v>60</v>
      </c>
      <c r="K62" t="s">
        <v>12</v>
      </c>
    </row>
    <row r="63" spans="1:11" x14ac:dyDescent="0.25">
      <c r="A63" t="e">
        <v>#VALUE!</v>
      </c>
      <c r="B63" t="s">
        <v>203</v>
      </c>
      <c r="C63" t="s">
        <v>185</v>
      </c>
      <c r="D63" t="s">
        <v>204</v>
      </c>
      <c r="E63" s="3">
        <v>0.85770000000000002</v>
      </c>
      <c r="F63" s="1">
        <v>3548.65</v>
      </c>
      <c r="G63" s="3" t="str">
        <f t="shared" si="1"/>
        <v>AGG</v>
      </c>
      <c r="H63" s="3"/>
      <c r="I63" s="3"/>
      <c r="J63" t="s">
        <v>205</v>
      </c>
      <c r="K63" t="s">
        <v>12</v>
      </c>
    </row>
    <row r="64" spans="1:11" x14ac:dyDescent="0.25">
      <c r="A64" t="e">
        <v>#VALUE!</v>
      </c>
      <c r="B64" t="s">
        <v>124</v>
      </c>
      <c r="C64" t="s">
        <v>53</v>
      </c>
      <c r="D64" t="s">
        <v>124</v>
      </c>
      <c r="E64" s="3">
        <v>0.63590000000000002</v>
      </c>
      <c r="F64" s="1">
        <v>428.35</v>
      </c>
      <c r="G64" s="3" t="str">
        <f t="shared" si="1"/>
        <v>LT</v>
      </c>
      <c r="H64" s="3"/>
      <c r="I64" s="3"/>
      <c r="J64" t="s">
        <v>206</v>
      </c>
      <c r="K64" t="s">
        <v>12</v>
      </c>
    </row>
    <row r="65" spans="1:11" x14ac:dyDescent="0.25">
      <c r="A65" t="e">
        <v>#VALUE!</v>
      </c>
      <c r="B65" t="s">
        <v>207</v>
      </c>
      <c r="C65" t="s">
        <v>31</v>
      </c>
      <c r="D65" t="s">
        <v>208</v>
      </c>
      <c r="E65" s="3">
        <v>1.0964</v>
      </c>
      <c r="F65" s="1">
        <v>4076.15</v>
      </c>
      <c r="G65" s="3" t="e">
        <f t="shared" si="1"/>
        <v>#N/A</v>
      </c>
      <c r="H65" s="3"/>
      <c r="I65" s="3"/>
      <c r="J65" t="s">
        <v>209</v>
      </c>
      <c r="K65" t="s">
        <v>84</v>
      </c>
    </row>
    <row r="66" spans="1:11" x14ac:dyDescent="0.25">
      <c r="A66" t="e">
        <v>#VALUE!</v>
      </c>
      <c r="B66" t="s">
        <v>210</v>
      </c>
      <c r="C66" t="s">
        <v>93</v>
      </c>
      <c r="D66" t="s">
        <v>211</v>
      </c>
      <c r="E66" s="3">
        <v>1.8409</v>
      </c>
      <c r="F66" s="1">
        <v>15.25</v>
      </c>
      <c r="G66" s="3" t="e">
        <f t="shared" si="1"/>
        <v>#N/A</v>
      </c>
      <c r="H66" s="3"/>
      <c r="I66" s="3"/>
      <c r="J66" t="s">
        <v>212</v>
      </c>
      <c r="K66" t="s">
        <v>84</v>
      </c>
    </row>
    <row r="67" spans="1:11" x14ac:dyDescent="0.25">
      <c r="A67" t="e">
        <v>#VALUE!</v>
      </c>
      <c r="B67" t="s">
        <v>213</v>
      </c>
      <c r="C67" t="s">
        <v>86</v>
      </c>
      <c r="D67" t="s">
        <v>148</v>
      </c>
      <c r="E67" s="3">
        <v>1.1862999999999999</v>
      </c>
      <c r="F67" s="1">
        <v>132.25</v>
      </c>
      <c r="G67" s="3" t="str">
        <f t="shared" si="1"/>
        <v>AGG</v>
      </c>
      <c r="H67" s="3"/>
      <c r="I67" s="3"/>
      <c r="J67" t="s">
        <v>214</v>
      </c>
      <c r="K67" t="s">
        <v>12</v>
      </c>
    </row>
    <row r="68" spans="1:11" x14ac:dyDescent="0.25">
      <c r="A68" t="e">
        <v>#VALUE!</v>
      </c>
      <c r="B68" t="s">
        <v>215</v>
      </c>
      <c r="C68" t="s">
        <v>89</v>
      </c>
      <c r="D68" t="s">
        <v>94</v>
      </c>
      <c r="E68" s="3">
        <v>0.70399999999999996</v>
      </c>
      <c r="F68" s="1">
        <v>353.75</v>
      </c>
      <c r="G68" s="3" t="str">
        <f t="shared" si="1"/>
        <v>AGG</v>
      </c>
      <c r="H68" s="3"/>
      <c r="I68" s="3"/>
      <c r="J68" t="s">
        <v>216</v>
      </c>
      <c r="K68" t="s">
        <v>25</v>
      </c>
    </row>
    <row r="69" spans="1:11" x14ac:dyDescent="0.25">
      <c r="A69" t="e">
        <v>#VALUE!</v>
      </c>
      <c r="B69" t="s">
        <v>217</v>
      </c>
      <c r="C69" t="s">
        <v>139</v>
      </c>
      <c r="D69" t="s">
        <v>218</v>
      </c>
      <c r="E69" s="3">
        <v>1.286</v>
      </c>
      <c r="F69" s="1">
        <v>322.45</v>
      </c>
      <c r="G69" s="3" t="e">
        <f t="shared" si="1"/>
        <v>#N/A</v>
      </c>
      <c r="H69" s="3"/>
      <c r="I69" s="3"/>
      <c r="J69" t="s">
        <v>219</v>
      </c>
      <c r="K69" t="s">
        <v>12</v>
      </c>
    </row>
    <row r="70" spans="1:11" x14ac:dyDescent="0.25">
      <c r="A70" t="e">
        <v>#VALUE!</v>
      </c>
      <c r="B70" t="s">
        <v>220</v>
      </c>
      <c r="C70" t="s">
        <v>41</v>
      </c>
      <c r="D70" t="s">
        <v>131</v>
      </c>
      <c r="E70" s="3">
        <v>1.298</v>
      </c>
      <c r="F70" s="1">
        <v>452.7</v>
      </c>
      <c r="G70" s="3" t="str">
        <f t="shared" si="1"/>
        <v>AGG</v>
      </c>
      <c r="H70" s="3"/>
      <c r="I70" s="3"/>
      <c r="J70" t="s">
        <v>221</v>
      </c>
      <c r="K70" t="s">
        <v>12</v>
      </c>
    </row>
    <row r="71" spans="1:11" x14ac:dyDescent="0.25">
      <c r="A71" t="e">
        <v>#VALUE!</v>
      </c>
      <c r="B71" t="s">
        <v>222</v>
      </c>
      <c r="C71" t="s">
        <v>100</v>
      </c>
      <c r="D71" t="s">
        <v>223</v>
      </c>
      <c r="E71" s="3">
        <v>0.98170000000000002</v>
      </c>
      <c r="F71" s="1">
        <v>439.95</v>
      </c>
      <c r="G71" s="3" t="e">
        <f t="shared" si="1"/>
        <v>#N/A</v>
      </c>
      <c r="H71" s="3"/>
      <c r="I71" s="3"/>
      <c r="J71" t="s">
        <v>224</v>
      </c>
      <c r="K71" t="s">
        <v>84</v>
      </c>
    </row>
    <row r="72" spans="1:11" x14ac:dyDescent="0.25">
      <c r="A72" t="e">
        <v>#VALUE!</v>
      </c>
      <c r="B72" t="s">
        <v>225</v>
      </c>
      <c r="C72" t="s">
        <v>226</v>
      </c>
      <c r="D72" t="s">
        <v>227</v>
      </c>
      <c r="E72" s="3">
        <v>1.8045</v>
      </c>
      <c r="F72" s="1">
        <v>249.8</v>
      </c>
      <c r="G72" s="3" t="e">
        <f t="shared" si="1"/>
        <v>#N/A</v>
      </c>
      <c r="H72" s="3"/>
      <c r="I72" s="3"/>
      <c r="J72" t="s">
        <v>228</v>
      </c>
      <c r="K72" t="s">
        <v>12</v>
      </c>
    </row>
    <row r="73" spans="1:11" x14ac:dyDescent="0.25">
      <c r="A73" t="e">
        <v>#VALUE!</v>
      </c>
      <c r="B73" t="s">
        <v>229</v>
      </c>
      <c r="C73" t="s">
        <v>161</v>
      </c>
      <c r="D73" t="s">
        <v>25</v>
      </c>
      <c r="E73" s="3">
        <v>1.1884999999999999</v>
      </c>
      <c r="F73" s="1">
        <v>3763.9</v>
      </c>
      <c r="G73" s="3" t="str">
        <f t="shared" si="1"/>
        <v>LT</v>
      </c>
      <c r="H73" s="3"/>
      <c r="I73" s="3"/>
      <c r="J73" t="s">
        <v>230</v>
      </c>
      <c r="K73" t="s">
        <v>25</v>
      </c>
    </row>
    <row r="74" spans="1:11" x14ac:dyDescent="0.25">
      <c r="A74" t="e">
        <v>#VALUE!</v>
      </c>
      <c r="B74" t="s">
        <v>231</v>
      </c>
      <c r="C74" t="s">
        <v>226</v>
      </c>
      <c r="D74" t="s">
        <v>232</v>
      </c>
      <c r="E74" s="3">
        <v>1.3597999999999999</v>
      </c>
      <c r="F74" s="1">
        <v>130.55000000000001</v>
      </c>
      <c r="G74" s="3" t="e">
        <f t="shared" si="1"/>
        <v>#N/A</v>
      </c>
      <c r="H74" s="3"/>
      <c r="I74" s="3"/>
      <c r="J74" t="s">
        <v>233</v>
      </c>
      <c r="K74" t="s">
        <v>84</v>
      </c>
    </row>
    <row r="75" spans="1:11" x14ac:dyDescent="0.25">
      <c r="A75" t="e">
        <v>#VALUE!</v>
      </c>
      <c r="B75" t="s">
        <v>234</v>
      </c>
      <c r="C75" t="s">
        <v>14</v>
      </c>
      <c r="D75" t="s">
        <v>235</v>
      </c>
      <c r="E75" s="3">
        <v>0.71799999999999997</v>
      </c>
      <c r="F75" s="1">
        <v>916.15</v>
      </c>
      <c r="G75" s="3" t="str">
        <f t="shared" ref="G75:G106" si="2">VLOOKUP(D75,$J$2:$K$1999,2,FALSE)</f>
        <v>AGG</v>
      </c>
      <c r="H75" s="3"/>
      <c r="I75" s="3"/>
      <c r="J75" t="s">
        <v>236</v>
      </c>
      <c r="K75" t="s">
        <v>12</v>
      </c>
    </row>
    <row r="76" spans="1:11" x14ac:dyDescent="0.25">
      <c r="A76" t="e">
        <v>#VALUE!</v>
      </c>
      <c r="B76" t="s">
        <v>237</v>
      </c>
      <c r="C76" t="s">
        <v>139</v>
      </c>
      <c r="D76" t="s">
        <v>238</v>
      </c>
      <c r="E76" s="3">
        <v>0.45989999999999998</v>
      </c>
      <c r="F76" s="1">
        <v>44.15</v>
      </c>
      <c r="G76" s="3" t="e">
        <f t="shared" si="2"/>
        <v>#N/A</v>
      </c>
      <c r="H76" s="3"/>
      <c r="I76" s="3"/>
      <c r="J76" t="s">
        <v>239</v>
      </c>
      <c r="K76" t="s">
        <v>25</v>
      </c>
    </row>
    <row r="77" spans="1:11" x14ac:dyDescent="0.25">
      <c r="A77" t="e">
        <v>#VALUE!</v>
      </c>
      <c r="B77" t="s">
        <v>240</v>
      </c>
      <c r="C77" t="s">
        <v>86</v>
      </c>
      <c r="D77" t="s">
        <v>127</v>
      </c>
      <c r="E77" s="3">
        <v>1.3189</v>
      </c>
      <c r="F77" s="1">
        <v>1921.35</v>
      </c>
      <c r="G77" s="3" t="str">
        <f t="shared" si="2"/>
        <v>LT</v>
      </c>
      <c r="H77" s="3"/>
      <c r="I77" s="3"/>
      <c r="J77" t="s">
        <v>241</v>
      </c>
      <c r="K77" t="s">
        <v>25</v>
      </c>
    </row>
    <row r="78" spans="1:11" x14ac:dyDescent="0.25">
      <c r="A78" t="e">
        <v>#VALUE!</v>
      </c>
      <c r="B78" t="s">
        <v>240</v>
      </c>
      <c r="C78" t="s">
        <v>86</v>
      </c>
      <c r="D78" t="s">
        <v>127</v>
      </c>
      <c r="E78" s="3">
        <v>1.3189</v>
      </c>
      <c r="F78" s="1">
        <v>1921.35</v>
      </c>
      <c r="G78" s="3" t="str">
        <f t="shared" si="2"/>
        <v>LT</v>
      </c>
      <c r="H78" s="3"/>
      <c r="I78" s="3"/>
      <c r="J78" t="s">
        <v>242</v>
      </c>
      <c r="K78" t="s">
        <v>12</v>
      </c>
    </row>
    <row r="79" spans="1:11" x14ac:dyDescent="0.25">
      <c r="A79" t="e">
        <v>#VALUE!</v>
      </c>
      <c r="B79" t="s">
        <v>243</v>
      </c>
      <c r="C79" t="s">
        <v>161</v>
      </c>
      <c r="D79" t="s">
        <v>244</v>
      </c>
      <c r="E79" s="3">
        <v>1.5072000000000001</v>
      </c>
      <c r="F79" s="1">
        <v>204.35</v>
      </c>
      <c r="G79" s="3" t="e">
        <f t="shared" si="2"/>
        <v>#N/A</v>
      </c>
      <c r="H79" s="3"/>
      <c r="I79" s="3"/>
      <c r="J79" t="s">
        <v>245</v>
      </c>
      <c r="K79" t="s">
        <v>25</v>
      </c>
    </row>
    <row r="80" spans="1:11" x14ac:dyDescent="0.25">
      <c r="A80" t="e">
        <v>#VALUE!</v>
      </c>
      <c r="B80" t="s">
        <v>246</v>
      </c>
      <c r="C80" t="s">
        <v>49</v>
      </c>
      <c r="D80" t="s">
        <v>247</v>
      </c>
      <c r="E80" s="3">
        <v>1.6334</v>
      </c>
      <c r="F80" s="1">
        <v>173.15</v>
      </c>
      <c r="G80" s="3" t="e">
        <f t="shared" si="2"/>
        <v>#N/A</v>
      </c>
      <c r="H80" s="3"/>
      <c r="I80" s="3"/>
      <c r="J80" t="s">
        <v>248</v>
      </c>
      <c r="K80" t="s">
        <v>25</v>
      </c>
    </row>
    <row r="81" spans="1:11" x14ac:dyDescent="0.25">
      <c r="A81" t="e">
        <v>#VALUE!</v>
      </c>
      <c r="B81" t="s">
        <v>249</v>
      </c>
      <c r="C81" t="s">
        <v>100</v>
      </c>
      <c r="D81" t="s">
        <v>250</v>
      </c>
      <c r="E81" s="3">
        <v>0.29720000000000002</v>
      </c>
      <c r="F81" s="1">
        <v>497.2</v>
      </c>
      <c r="G81" s="3" t="e">
        <f t="shared" si="2"/>
        <v>#N/A</v>
      </c>
      <c r="H81" s="3"/>
      <c r="I81" s="3"/>
      <c r="J81" t="s">
        <v>251</v>
      </c>
      <c r="K81" t="s">
        <v>12</v>
      </c>
    </row>
    <row r="82" spans="1:11" x14ac:dyDescent="0.25">
      <c r="A82" t="e">
        <v>#VALUE!</v>
      </c>
      <c r="B82" t="s">
        <v>252</v>
      </c>
      <c r="C82" t="s">
        <v>86</v>
      </c>
      <c r="D82" t="s">
        <v>29</v>
      </c>
      <c r="E82" s="3">
        <v>0.94340000000000002</v>
      </c>
      <c r="F82" s="1">
        <v>12600.35</v>
      </c>
      <c r="G82" s="3" t="str">
        <f t="shared" si="2"/>
        <v>LT</v>
      </c>
      <c r="H82" s="3"/>
      <c r="I82" s="3"/>
      <c r="J82" t="s">
        <v>253</v>
      </c>
      <c r="K82" t="s">
        <v>12</v>
      </c>
    </row>
    <row r="83" spans="1:11" x14ac:dyDescent="0.25">
      <c r="A83" t="e">
        <v>#VALUE!</v>
      </c>
      <c r="B83" t="s">
        <v>254</v>
      </c>
      <c r="C83" t="s">
        <v>35</v>
      </c>
      <c r="D83" t="s">
        <v>254</v>
      </c>
      <c r="E83" s="3">
        <v>1.569</v>
      </c>
      <c r="F83" s="1">
        <v>66.45</v>
      </c>
      <c r="G83" s="3" t="e">
        <f t="shared" si="2"/>
        <v>#N/A</v>
      </c>
      <c r="H83" s="3"/>
      <c r="I83" s="3"/>
      <c r="J83" t="s">
        <v>235</v>
      </c>
      <c r="K83" t="s">
        <v>12</v>
      </c>
    </row>
    <row r="84" spans="1:11" x14ac:dyDescent="0.25">
      <c r="A84" t="e">
        <v>#VALUE!</v>
      </c>
      <c r="B84" t="s">
        <v>255</v>
      </c>
      <c r="C84" t="s">
        <v>106</v>
      </c>
      <c r="D84" t="s">
        <v>256</v>
      </c>
      <c r="E84" s="3">
        <v>0.87080000000000002</v>
      </c>
      <c r="F84" s="1">
        <v>1283.8</v>
      </c>
      <c r="G84" s="3" t="e">
        <f t="shared" si="2"/>
        <v>#N/A</v>
      </c>
      <c r="H84" s="3"/>
      <c r="I84" s="3"/>
      <c r="J84" t="s">
        <v>257</v>
      </c>
      <c r="K84" t="s">
        <v>25</v>
      </c>
    </row>
    <row r="85" spans="1:11" x14ac:dyDescent="0.25">
      <c r="A85" t="e">
        <v>#VALUE!</v>
      </c>
      <c r="B85" t="s">
        <v>258</v>
      </c>
      <c r="C85" t="s">
        <v>35</v>
      </c>
      <c r="D85" t="s">
        <v>259</v>
      </c>
      <c r="E85" s="3">
        <v>1.1749000000000001</v>
      </c>
      <c r="F85" s="1">
        <v>152.55000000000001</v>
      </c>
      <c r="G85" s="3" t="e">
        <f t="shared" si="2"/>
        <v>#N/A</v>
      </c>
      <c r="H85" s="3"/>
      <c r="I85" s="3"/>
      <c r="J85" t="s">
        <v>39</v>
      </c>
      <c r="K85" t="s">
        <v>25</v>
      </c>
    </row>
    <row r="86" spans="1:11" x14ac:dyDescent="0.25">
      <c r="A86" t="e">
        <v>#VALUE!</v>
      </c>
      <c r="B86" t="s">
        <v>260</v>
      </c>
      <c r="C86" t="s">
        <v>261</v>
      </c>
      <c r="D86" t="s">
        <v>262</v>
      </c>
      <c r="E86" s="3">
        <v>0.96130000000000004</v>
      </c>
      <c r="F86" s="1">
        <v>137.75</v>
      </c>
      <c r="G86" s="3" t="str">
        <f t="shared" si="2"/>
        <v>AGG</v>
      </c>
      <c r="H86" s="3"/>
      <c r="I86" s="3"/>
      <c r="J86" t="s">
        <v>263</v>
      </c>
      <c r="K86" t="s">
        <v>25</v>
      </c>
    </row>
    <row r="87" spans="1:11" x14ac:dyDescent="0.25">
      <c r="A87" t="e">
        <v>#VALUE!</v>
      </c>
      <c r="B87" t="s">
        <v>264</v>
      </c>
      <c r="C87" t="s">
        <v>161</v>
      </c>
      <c r="D87" t="s">
        <v>264</v>
      </c>
      <c r="E87" s="3">
        <v>2.0125999999999999</v>
      </c>
      <c r="F87" s="1">
        <v>232.35</v>
      </c>
      <c r="G87" s="3" t="e">
        <f t="shared" si="2"/>
        <v>#N/A</v>
      </c>
      <c r="H87" s="3"/>
      <c r="I87" s="3"/>
      <c r="J87" t="s">
        <v>265</v>
      </c>
      <c r="K87" t="s">
        <v>12</v>
      </c>
    </row>
    <row r="88" spans="1:11" x14ac:dyDescent="0.25">
      <c r="A88" t="e">
        <v>#VALUE!</v>
      </c>
      <c r="B88" t="s">
        <v>266</v>
      </c>
      <c r="C88" t="s">
        <v>93</v>
      </c>
      <c r="D88" t="s">
        <v>266</v>
      </c>
      <c r="E88" s="3">
        <v>0.57799999999999996</v>
      </c>
      <c r="F88" s="1">
        <v>89.7</v>
      </c>
      <c r="G88" s="3" t="e">
        <f t="shared" si="2"/>
        <v>#N/A</v>
      </c>
      <c r="H88" s="3"/>
      <c r="I88" s="3"/>
      <c r="J88" t="s">
        <v>267</v>
      </c>
      <c r="K88" t="s">
        <v>12</v>
      </c>
    </row>
    <row r="89" spans="1:11" x14ac:dyDescent="0.25">
      <c r="A89" t="e">
        <v>#VALUE!</v>
      </c>
      <c r="B89" t="s">
        <v>268</v>
      </c>
      <c r="C89" t="s">
        <v>84</v>
      </c>
      <c r="D89" t="s">
        <v>163</v>
      </c>
      <c r="E89" s="3">
        <v>0.82169999999999999</v>
      </c>
      <c r="F89" s="1">
        <v>111.16</v>
      </c>
      <c r="G89" s="3" t="str">
        <f t="shared" si="2"/>
        <v>ETF</v>
      </c>
      <c r="H89" s="3"/>
      <c r="I89" s="3"/>
      <c r="J89" t="s">
        <v>269</v>
      </c>
      <c r="K89" t="s">
        <v>25</v>
      </c>
    </row>
    <row r="90" spans="1:11" x14ac:dyDescent="0.25">
      <c r="A90" t="e">
        <v>#VALUE!</v>
      </c>
      <c r="B90" t="s">
        <v>270</v>
      </c>
      <c r="C90" t="s">
        <v>84</v>
      </c>
      <c r="D90" t="s">
        <v>271</v>
      </c>
      <c r="E90" s="3">
        <v>0.81459999999999999</v>
      </c>
      <c r="F90" s="1">
        <v>56.61</v>
      </c>
      <c r="G90" s="3" t="str">
        <f t="shared" si="2"/>
        <v>ETF</v>
      </c>
      <c r="H90" s="3"/>
      <c r="I90" s="3"/>
      <c r="J90" t="s">
        <v>272</v>
      </c>
      <c r="K90" t="s">
        <v>12</v>
      </c>
    </row>
    <row r="91" spans="1:11" x14ac:dyDescent="0.25">
      <c r="A91" t="e">
        <v>#VALUE!</v>
      </c>
      <c r="B91" t="s">
        <v>273</v>
      </c>
      <c r="C91" t="s">
        <v>84</v>
      </c>
      <c r="D91" t="s">
        <v>274</v>
      </c>
      <c r="E91" s="3">
        <v>0.01</v>
      </c>
      <c r="F91" s="1">
        <v>1000</v>
      </c>
      <c r="G91" s="3" t="str">
        <f t="shared" si="2"/>
        <v>ETF</v>
      </c>
      <c r="H91" s="3"/>
      <c r="I91" s="3"/>
      <c r="J91" t="s">
        <v>194</v>
      </c>
      <c r="K91" t="s">
        <v>12</v>
      </c>
    </row>
    <row r="92" spans="1:11" x14ac:dyDescent="0.25">
      <c r="A92" t="e">
        <v>#VALUE!</v>
      </c>
      <c r="B92" t="s">
        <v>275</v>
      </c>
      <c r="C92" t="s">
        <v>84</v>
      </c>
      <c r="D92" t="s">
        <v>209</v>
      </c>
      <c r="E92" s="3">
        <v>1.1405000000000001</v>
      </c>
      <c r="F92" s="1">
        <v>77.540000000000006</v>
      </c>
      <c r="G92" s="3" t="str">
        <f t="shared" si="2"/>
        <v>ETF</v>
      </c>
      <c r="H92" s="3"/>
      <c r="I92" s="3"/>
      <c r="J92" t="s">
        <v>276</v>
      </c>
      <c r="K92" t="s">
        <v>12</v>
      </c>
    </row>
    <row r="93" spans="1:11" x14ac:dyDescent="0.25">
      <c r="A93" t="e">
        <v>#VALUE!</v>
      </c>
      <c r="B93" t="s">
        <v>230</v>
      </c>
      <c r="C93" t="s">
        <v>93</v>
      </c>
      <c r="D93" t="s">
        <v>230</v>
      </c>
      <c r="E93" s="3">
        <v>0.86140000000000005</v>
      </c>
      <c r="F93" s="1">
        <v>335.8</v>
      </c>
      <c r="G93" s="3" t="str">
        <f t="shared" si="2"/>
        <v>LT</v>
      </c>
      <c r="H93" s="3"/>
      <c r="I93" s="3"/>
      <c r="J93" t="s">
        <v>277</v>
      </c>
      <c r="K93" t="s">
        <v>12</v>
      </c>
    </row>
    <row r="94" spans="1:11" x14ac:dyDescent="0.25">
      <c r="A94" t="e">
        <v>#VALUE!</v>
      </c>
      <c r="B94" t="s">
        <v>278</v>
      </c>
      <c r="C94" t="s">
        <v>181</v>
      </c>
      <c r="D94" t="s">
        <v>279</v>
      </c>
      <c r="E94" s="3">
        <v>1.2854000000000001</v>
      </c>
      <c r="F94" s="1">
        <v>1475.85</v>
      </c>
      <c r="G94" s="3" t="e">
        <f t="shared" si="2"/>
        <v>#N/A</v>
      </c>
      <c r="H94" s="3"/>
      <c r="I94" s="3"/>
      <c r="J94" t="s">
        <v>146</v>
      </c>
      <c r="K94" t="s">
        <v>25</v>
      </c>
    </row>
    <row r="95" spans="1:11" x14ac:dyDescent="0.25">
      <c r="A95" t="e">
        <v>#VALUE!</v>
      </c>
      <c r="B95" t="s">
        <v>280</v>
      </c>
      <c r="C95" t="s">
        <v>41</v>
      </c>
      <c r="D95" t="s">
        <v>189</v>
      </c>
      <c r="E95" s="3">
        <v>0.80400000000000005</v>
      </c>
      <c r="F95" s="1">
        <v>66.400000000000006</v>
      </c>
      <c r="G95" s="3" t="str">
        <f t="shared" si="2"/>
        <v>AGG</v>
      </c>
      <c r="H95" s="3"/>
      <c r="I95" s="3"/>
      <c r="J95" t="s">
        <v>281</v>
      </c>
      <c r="K95" t="s">
        <v>12</v>
      </c>
    </row>
    <row r="96" spans="1:11" x14ac:dyDescent="0.25">
      <c r="A96" t="e">
        <v>#VALUE!</v>
      </c>
      <c r="B96" t="s">
        <v>282</v>
      </c>
      <c r="C96" t="s">
        <v>283</v>
      </c>
      <c r="D96" t="s">
        <v>284</v>
      </c>
      <c r="E96" s="3">
        <v>0.70240000000000002</v>
      </c>
      <c r="F96" s="1">
        <v>263.2</v>
      </c>
      <c r="G96" s="3" t="str">
        <f t="shared" si="2"/>
        <v>AGG</v>
      </c>
      <c r="H96" s="3"/>
      <c r="I96" s="3"/>
      <c r="J96" t="s">
        <v>284</v>
      </c>
      <c r="K96" t="s">
        <v>12</v>
      </c>
    </row>
    <row r="97" spans="1:11" x14ac:dyDescent="0.25">
      <c r="A97" t="e">
        <v>#VALUE!</v>
      </c>
      <c r="B97" t="s">
        <v>285</v>
      </c>
      <c r="C97" t="s">
        <v>41</v>
      </c>
      <c r="D97" t="s">
        <v>286</v>
      </c>
      <c r="E97" s="3">
        <v>0.59519999999999995</v>
      </c>
      <c r="F97" s="1">
        <v>3014.7</v>
      </c>
      <c r="G97" s="3" t="e">
        <f t="shared" si="2"/>
        <v>#N/A</v>
      </c>
      <c r="H97" s="3"/>
      <c r="I97" s="3"/>
      <c r="J97" t="s">
        <v>287</v>
      </c>
      <c r="K97" t="s">
        <v>12</v>
      </c>
    </row>
    <row r="98" spans="1:11" x14ac:dyDescent="0.25">
      <c r="A98" t="e">
        <v>#VALUE!</v>
      </c>
      <c r="B98" t="s">
        <v>288</v>
      </c>
      <c r="C98" t="s">
        <v>110</v>
      </c>
      <c r="D98" t="s">
        <v>289</v>
      </c>
      <c r="E98" s="3">
        <v>1.2609999999999999</v>
      </c>
      <c r="F98" s="1">
        <v>128.9</v>
      </c>
      <c r="G98" s="3" t="e">
        <f t="shared" si="2"/>
        <v>#N/A</v>
      </c>
      <c r="H98" s="3"/>
      <c r="I98" s="3"/>
      <c r="J98" t="s">
        <v>274</v>
      </c>
      <c r="K98" t="s">
        <v>84</v>
      </c>
    </row>
    <row r="99" spans="1:11" x14ac:dyDescent="0.25">
      <c r="A99" t="e">
        <v>#VALUE!</v>
      </c>
      <c r="B99" t="s">
        <v>290</v>
      </c>
      <c r="C99" t="s">
        <v>22</v>
      </c>
      <c r="D99" t="s">
        <v>291</v>
      </c>
      <c r="E99" s="3">
        <v>0.90469999999999995</v>
      </c>
      <c r="F99" s="1">
        <v>5065</v>
      </c>
      <c r="G99" s="3" t="e">
        <f t="shared" si="2"/>
        <v>#N/A</v>
      </c>
      <c r="H99" s="3"/>
      <c r="I99" s="3"/>
      <c r="J99" t="s">
        <v>113</v>
      </c>
      <c r="K99" t="s">
        <v>25</v>
      </c>
    </row>
    <row r="100" spans="1:11" x14ac:dyDescent="0.25">
      <c r="A100" t="e">
        <v>#VALUE!</v>
      </c>
      <c r="B100" t="s">
        <v>292</v>
      </c>
      <c r="C100" t="s">
        <v>49</v>
      </c>
      <c r="D100" t="s">
        <v>293</v>
      </c>
      <c r="E100" s="3">
        <v>2.5646</v>
      </c>
      <c r="F100" s="1">
        <v>465.6</v>
      </c>
      <c r="G100" s="3" t="e">
        <f t="shared" si="2"/>
        <v>#N/A</v>
      </c>
      <c r="H100" s="3"/>
      <c r="I100" s="3"/>
      <c r="J100" t="s">
        <v>126</v>
      </c>
      <c r="K100" t="s">
        <v>12</v>
      </c>
    </row>
    <row r="101" spans="1:11" x14ac:dyDescent="0.25">
      <c r="A101" t="e">
        <v>#VALUE!</v>
      </c>
      <c r="B101" t="s">
        <v>294</v>
      </c>
      <c r="C101" t="s">
        <v>161</v>
      </c>
      <c r="D101" t="s">
        <v>295</v>
      </c>
      <c r="E101" s="3">
        <v>0.29699999999999999</v>
      </c>
      <c r="F101" s="1">
        <v>67</v>
      </c>
      <c r="G101" s="3" t="e">
        <f t="shared" si="2"/>
        <v>#N/A</v>
      </c>
      <c r="H101" s="3"/>
      <c r="I101" s="3"/>
      <c r="J101" t="s">
        <v>204</v>
      </c>
      <c r="K101" t="s">
        <v>12</v>
      </c>
    </row>
    <row r="102" spans="1:11" x14ac:dyDescent="0.25">
      <c r="A102" t="e">
        <v>#VALUE!</v>
      </c>
      <c r="B102" t="s">
        <v>296</v>
      </c>
      <c r="C102" t="s">
        <v>161</v>
      </c>
      <c r="D102" t="s">
        <v>297</v>
      </c>
      <c r="E102" s="3">
        <v>1.4686999999999999</v>
      </c>
      <c r="F102" s="1">
        <v>532.95000000000005</v>
      </c>
      <c r="G102" s="3" t="e">
        <f t="shared" si="2"/>
        <v>#N/A</v>
      </c>
      <c r="H102" s="3"/>
      <c r="I102" s="3"/>
      <c r="J102" t="s">
        <v>298</v>
      </c>
      <c r="K102" t="s">
        <v>12</v>
      </c>
    </row>
    <row r="103" spans="1:11" x14ac:dyDescent="0.25">
      <c r="A103" t="e">
        <v>#VALUE!</v>
      </c>
      <c r="B103" t="s">
        <v>299</v>
      </c>
      <c r="C103" t="s">
        <v>49</v>
      </c>
      <c r="D103" t="s">
        <v>300</v>
      </c>
      <c r="E103" s="3">
        <v>1.3843000000000001</v>
      </c>
      <c r="F103" s="1">
        <v>124.4</v>
      </c>
      <c r="G103" s="3" t="e">
        <f t="shared" si="2"/>
        <v>#N/A</v>
      </c>
      <c r="H103" s="3"/>
      <c r="I103" s="3"/>
      <c r="J103" t="s">
        <v>50</v>
      </c>
      <c r="K103" t="s">
        <v>25</v>
      </c>
    </row>
    <row r="104" spans="1:11" x14ac:dyDescent="0.25">
      <c r="A104" t="e">
        <v>#VALUE!</v>
      </c>
      <c r="B104" t="s">
        <v>301</v>
      </c>
      <c r="C104" t="s">
        <v>302</v>
      </c>
      <c r="D104" t="s">
        <v>303</v>
      </c>
      <c r="E104" s="3">
        <v>0.83040000000000003</v>
      </c>
      <c r="F104" s="1">
        <v>1727.75</v>
      </c>
      <c r="G104" s="3" t="e">
        <f t="shared" si="2"/>
        <v>#N/A</v>
      </c>
      <c r="H104" s="3"/>
      <c r="I104" s="3"/>
      <c r="J104" t="s">
        <v>304</v>
      </c>
      <c r="K104" t="s">
        <v>12</v>
      </c>
    </row>
    <row r="105" spans="1:11" x14ac:dyDescent="0.25">
      <c r="A105" t="e">
        <v>#VALUE!</v>
      </c>
      <c r="B105" t="s">
        <v>305</v>
      </c>
      <c r="C105" t="s">
        <v>41</v>
      </c>
      <c r="D105" t="s">
        <v>306</v>
      </c>
      <c r="E105" s="3">
        <v>1.6048</v>
      </c>
      <c r="F105" s="1">
        <v>150.69999999999999</v>
      </c>
      <c r="G105" s="3" t="e">
        <f t="shared" si="2"/>
        <v>#N/A</v>
      </c>
      <c r="H105" s="3"/>
      <c r="I105" s="3"/>
      <c r="J105" t="s">
        <v>307</v>
      </c>
      <c r="K105" t="s">
        <v>25</v>
      </c>
    </row>
    <row r="106" spans="1:11" x14ac:dyDescent="0.25">
      <c r="A106" t="e">
        <v>#VALUE!</v>
      </c>
      <c r="B106" t="s">
        <v>308</v>
      </c>
      <c r="C106" t="s">
        <v>35</v>
      </c>
      <c r="D106" t="s">
        <v>309</v>
      </c>
      <c r="E106" s="3">
        <v>0.8538</v>
      </c>
      <c r="F106" s="1">
        <v>2794.2</v>
      </c>
      <c r="G106" s="3" t="e">
        <f t="shared" si="2"/>
        <v>#N/A</v>
      </c>
      <c r="H106" s="3"/>
      <c r="I106" s="3"/>
      <c r="J106" t="s">
        <v>310</v>
      </c>
      <c r="K106" t="s">
        <v>12</v>
      </c>
    </row>
    <row r="107" spans="1:11" x14ac:dyDescent="0.25">
      <c r="A107" t="e">
        <v>#VALUE!</v>
      </c>
      <c r="B107" t="s">
        <v>311</v>
      </c>
      <c r="C107" t="s">
        <v>312</v>
      </c>
      <c r="D107" t="s">
        <v>251</v>
      </c>
      <c r="E107" s="3">
        <v>1.3877999999999999</v>
      </c>
      <c r="F107" s="1">
        <v>1808.3</v>
      </c>
      <c r="G107" s="3" t="str">
        <f t="shared" ref="G107:G141" si="3">VLOOKUP(D107,$J$2:$K$1999,2,FALSE)</f>
        <v>AGG</v>
      </c>
      <c r="H107" s="3"/>
      <c r="I107" s="3"/>
      <c r="J107" t="s">
        <v>262</v>
      </c>
      <c r="K107" t="s">
        <v>12</v>
      </c>
    </row>
    <row r="108" spans="1:11" x14ac:dyDescent="0.25">
      <c r="A108" t="e">
        <v>#VALUE!</v>
      </c>
      <c r="B108" t="s">
        <v>313</v>
      </c>
      <c r="C108" t="s">
        <v>68</v>
      </c>
      <c r="D108" t="s">
        <v>239</v>
      </c>
      <c r="E108" s="3">
        <v>1.0075000000000001</v>
      </c>
      <c r="F108" s="1">
        <v>2971.7</v>
      </c>
      <c r="G108" s="3" t="str">
        <f t="shared" si="3"/>
        <v>LT</v>
      </c>
      <c r="H108" s="3"/>
      <c r="I108" s="3"/>
      <c r="J108" t="s">
        <v>314</v>
      </c>
      <c r="K108" t="s">
        <v>12</v>
      </c>
    </row>
    <row r="109" spans="1:11" x14ac:dyDescent="0.25">
      <c r="A109" t="e">
        <v>#VALUE!</v>
      </c>
      <c r="B109" t="s">
        <v>315</v>
      </c>
      <c r="C109" t="s">
        <v>261</v>
      </c>
      <c r="D109" t="s">
        <v>134</v>
      </c>
      <c r="E109" s="3">
        <v>1.6859</v>
      </c>
      <c r="F109" s="1">
        <v>232.6</v>
      </c>
      <c r="G109" s="3" t="str">
        <f t="shared" si="3"/>
        <v>AGG</v>
      </c>
      <c r="H109" s="3"/>
      <c r="I109" s="3"/>
      <c r="J109" t="s">
        <v>316</v>
      </c>
      <c r="K109" t="s">
        <v>12</v>
      </c>
    </row>
    <row r="110" spans="1:11" x14ac:dyDescent="0.25">
      <c r="A110" t="e">
        <v>#VALUE!</v>
      </c>
      <c r="B110" t="s">
        <v>317</v>
      </c>
      <c r="C110" t="s">
        <v>86</v>
      </c>
      <c r="D110" t="s">
        <v>159</v>
      </c>
      <c r="E110" s="3">
        <v>1.7957000000000001</v>
      </c>
      <c r="F110" s="1">
        <v>117.1</v>
      </c>
      <c r="G110" s="3" t="str">
        <f t="shared" si="3"/>
        <v>AGG</v>
      </c>
      <c r="H110" s="3"/>
      <c r="I110" s="3"/>
      <c r="J110" t="s">
        <v>318</v>
      </c>
      <c r="K110" t="s">
        <v>12</v>
      </c>
    </row>
    <row r="111" spans="1:11" x14ac:dyDescent="0.25">
      <c r="A111" t="e">
        <v>#VALUE!</v>
      </c>
      <c r="B111" t="s">
        <v>319</v>
      </c>
      <c r="C111" t="s">
        <v>84</v>
      </c>
      <c r="D111" t="s">
        <v>320</v>
      </c>
      <c r="E111" s="3">
        <v>0.81810000000000005</v>
      </c>
      <c r="F111" s="1">
        <v>58.38</v>
      </c>
      <c r="G111" s="3" t="str">
        <f t="shared" si="3"/>
        <v>ETF</v>
      </c>
      <c r="H111" s="3"/>
      <c r="I111" s="3"/>
      <c r="J111" t="s">
        <v>321</v>
      </c>
      <c r="K111" t="s">
        <v>12</v>
      </c>
    </row>
    <row r="112" spans="1:11" x14ac:dyDescent="0.25">
      <c r="A112" t="e">
        <v>#VALUE!</v>
      </c>
      <c r="B112" t="s">
        <v>322</v>
      </c>
      <c r="C112" t="s">
        <v>53</v>
      </c>
      <c r="D112" t="s">
        <v>323</v>
      </c>
      <c r="E112" s="3">
        <v>1.2036</v>
      </c>
      <c r="F112" s="1">
        <v>39.700000000000003</v>
      </c>
      <c r="G112" s="3" t="e">
        <f t="shared" si="3"/>
        <v>#N/A</v>
      </c>
      <c r="H112" s="3"/>
      <c r="I112" s="3"/>
      <c r="J112" t="s">
        <v>320</v>
      </c>
      <c r="K112" t="s">
        <v>84</v>
      </c>
    </row>
    <row r="113" spans="1:11" x14ac:dyDescent="0.25">
      <c r="A113" t="e">
        <v>#VALUE!</v>
      </c>
      <c r="B113" t="s">
        <v>324</v>
      </c>
      <c r="C113" t="s">
        <v>35</v>
      </c>
      <c r="D113" t="s">
        <v>66</v>
      </c>
      <c r="E113" s="3">
        <v>0.878</v>
      </c>
      <c r="F113" s="1">
        <v>591.35</v>
      </c>
      <c r="G113" s="3" t="str">
        <f t="shared" si="3"/>
        <v>AGG</v>
      </c>
      <c r="H113" s="3"/>
      <c r="I113" s="3"/>
      <c r="J113" t="s">
        <v>320</v>
      </c>
      <c r="K113" t="s">
        <v>84</v>
      </c>
    </row>
    <row r="114" spans="1:11" x14ac:dyDescent="0.25">
      <c r="A114" t="e">
        <v>#VALUE!</v>
      </c>
      <c r="B114" t="s">
        <v>325</v>
      </c>
      <c r="C114" t="s">
        <v>93</v>
      </c>
      <c r="D114" t="s">
        <v>325</v>
      </c>
      <c r="E114" s="3">
        <v>0.59619999999999995</v>
      </c>
      <c r="F114" s="1">
        <v>121.4</v>
      </c>
      <c r="G114" s="3" t="e">
        <f t="shared" si="3"/>
        <v>#N/A</v>
      </c>
      <c r="H114" s="3"/>
      <c r="I114" s="3"/>
      <c r="J114" t="s">
        <v>326</v>
      </c>
      <c r="K114" t="s">
        <v>12</v>
      </c>
    </row>
    <row r="115" spans="1:11" x14ac:dyDescent="0.25">
      <c r="A115" t="e">
        <v>#VALUE!</v>
      </c>
      <c r="B115" t="s">
        <v>327</v>
      </c>
      <c r="C115" t="s">
        <v>181</v>
      </c>
      <c r="D115" t="s">
        <v>328</v>
      </c>
      <c r="E115" s="3">
        <v>1.8386</v>
      </c>
      <c r="F115" s="1">
        <v>1448.75</v>
      </c>
      <c r="G115" s="3" t="e">
        <f t="shared" si="3"/>
        <v>#N/A</v>
      </c>
      <c r="H115" s="3"/>
      <c r="I115" s="3"/>
      <c r="J115" t="s">
        <v>329</v>
      </c>
      <c r="K115" t="s">
        <v>12</v>
      </c>
    </row>
    <row r="116" spans="1:11" x14ac:dyDescent="0.25">
      <c r="A116" t="e">
        <v>#VALUE!</v>
      </c>
      <c r="B116" t="s">
        <v>330</v>
      </c>
      <c r="C116" t="s">
        <v>49</v>
      </c>
      <c r="D116" t="s">
        <v>263</v>
      </c>
      <c r="E116" s="3">
        <v>1.3940999999999999</v>
      </c>
      <c r="F116" s="1">
        <v>752.35</v>
      </c>
      <c r="G116" s="3" t="str">
        <f t="shared" si="3"/>
        <v>LT</v>
      </c>
      <c r="H116" s="3"/>
      <c r="I116" s="3"/>
      <c r="J116" t="s">
        <v>331</v>
      </c>
      <c r="K116" t="s">
        <v>12</v>
      </c>
    </row>
    <row r="117" spans="1:11" x14ac:dyDescent="0.25">
      <c r="A117" t="e">
        <v>#VALUE!</v>
      </c>
      <c r="B117" t="s">
        <v>332</v>
      </c>
      <c r="C117" t="s">
        <v>35</v>
      </c>
      <c r="D117" t="s">
        <v>333</v>
      </c>
      <c r="E117" s="3">
        <v>2.0196000000000001</v>
      </c>
      <c r="F117" s="1">
        <v>134.25</v>
      </c>
      <c r="G117" s="3" t="e">
        <f t="shared" si="3"/>
        <v>#N/A</v>
      </c>
      <c r="H117" s="3"/>
      <c r="I117" s="3"/>
      <c r="J117" t="s">
        <v>271</v>
      </c>
      <c r="K117" t="s">
        <v>84</v>
      </c>
    </row>
    <row r="118" spans="1:11" x14ac:dyDescent="0.25">
      <c r="A118" t="e">
        <v>#VALUE!</v>
      </c>
      <c r="B118" t="s">
        <v>334</v>
      </c>
      <c r="C118" t="s">
        <v>110</v>
      </c>
      <c r="D118" t="s">
        <v>33</v>
      </c>
      <c r="E118" s="3">
        <v>0.71970000000000001</v>
      </c>
      <c r="F118" s="1">
        <v>1620.55</v>
      </c>
      <c r="G118" s="3" t="str">
        <f t="shared" si="3"/>
        <v>LT</v>
      </c>
      <c r="H118" s="3"/>
      <c r="I118" s="3"/>
      <c r="J118" t="s">
        <v>335</v>
      </c>
      <c r="K118" t="s">
        <v>25</v>
      </c>
    </row>
    <row r="119" spans="1:11" x14ac:dyDescent="0.25">
      <c r="A119" t="e">
        <v>#VALUE!</v>
      </c>
      <c r="B119" t="s">
        <v>336</v>
      </c>
      <c r="C119" t="s">
        <v>35</v>
      </c>
      <c r="D119" t="s">
        <v>337</v>
      </c>
      <c r="E119" s="3">
        <v>2.1076000000000001</v>
      </c>
      <c r="F119" s="1">
        <v>508.2</v>
      </c>
      <c r="G119" s="3" t="e">
        <f t="shared" si="3"/>
        <v>#N/A</v>
      </c>
      <c r="H119" s="3"/>
      <c r="I119" s="3"/>
      <c r="J119" t="s">
        <v>338</v>
      </c>
      <c r="K119" t="s">
        <v>84</v>
      </c>
    </row>
    <row r="120" spans="1:11" x14ac:dyDescent="0.25">
      <c r="A120" t="e">
        <v>#VALUE!</v>
      </c>
      <c r="B120" t="s">
        <v>335</v>
      </c>
      <c r="C120" t="s">
        <v>76</v>
      </c>
      <c r="D120" t="s">
        <v>335</v>
      </c>
      <c r="E120" s="3">
        <v>0.55940000000000001</v>
      </c>
      <c r="F120" s="1">
        <v>3876.3</v>
      </c>
      <c r="G120" s="3" t="str">
        <f t="shared" si="3"/>
        <v>LT</v>
      </c>
      <c r="H120" s="3"/>
      <c r="I120" s="3"/>
      <c r="J120" t="s">
        <v>339</v>
      </c>
      <c r="K120" t="s">
        <v>12</v>
      </c>
    </row>
    <row r="121" spans="1:11" x14ac:dyDescent="0.25">
      <c r="A121" t="e">
        <v>#VALUE!</v>
      </c>
      <c r="B121" t="s">
        <v>340</v>
      </c>
      <c r="C121" t="s">
        <v>86</v>
      </c>
      <c r="D121" t="s">
        <v>91</v>
      </c>
      <c r="E121" s="3">
        <v>1.7888999999999999</v>
      </c>
      <c r="F121" s="1">
        <v>992.8</v>
      </c>
      <c r="G121" s="3" t="str">
        <f t="shared" si="3"/>
        <v>LT</v>
      </c>
      <c r="H121" s="3"/>
      <c r="I121" s="3"/>
      <c r="J121" t="s">
        <v>143</v>
      </c>
      <c r="K121" t="s">
        <v>25</v>
      </c>
    </row>
    <row r="122" spans="1:11" x14ac:dyDescent="0.25">
      <c r="A122" t="e">
        <v>#VALUE!</v>
      </c>
      <c r="B122" t="s">
        <v>341</v>
      </c>
      <c r="C122" t="s">
        <v>35</v>
      </c>
      <c r="D122" t="s">
        <v>96</v>
      </c>
      <c r="E122" s="3">
        <v>1.5045999999999999</v>
      </c>
      <c r="F122" s="1">
        <v>155.85</v>
      </c>
      <c r="G122" s="3" t="str">
        <f t="shared" si="3"/>
        <v>LT</v>
      </c>
      <c r="H122" s="3"/>
      <c r="I122" s="3"/>
      <c r="J122" t="s">
        <v>200</v>
      </c>
      <c r="K122" t="s">
        <v>25</v>
      </c>
    </row>
    <row r="123" spans="1:11" x14ac:dyDescent="0.25">
      <c r="A123" t="e">
        <v>#VALUE!</v>
      </c>
      <c r="B123" t="s">
        <v>342</v>
      </c>
      <c r="C123" t="s">
        <v>72</v>
      </c>
      <c r="D123" t="s">
        <v>343</v>
      </c>
      <c r="E123" s="3">
        <v>0.97660000000000002</v>
      </c>
      <c r="F123" s="1">
        <v>74</v>
      </c>
      <c r="G123" s="3" t="e">
        <f t="shared" si="3"/>
        <v>#N/A</v>
      </c>
      <c r="H123" s="3"/>
      <c r="I123" s="3"/>
      <c r="J123" t="s">
        <v>344</v>
      </c>
      <c r="K123" t="s">
        <v>12</v>
      </c>
    </row>
    <row r="124" spans="1:11" x14ac:dyDescent="0.25">
      <c r="A124" t="e">
        <v>#VALUE!</v>
      </c>
      <c r="B124" t="s">
        <v>345</v>
      </c>
      <c r="C124" t="s">
        <v>76</v>
      </c>
      <c r="D124" t="s">
        <v>307</v>
      </c>
      <c r="E124" s="3">
        <v>0.9284</v>
      </c>
      <c r="F124" s="1">
        <v>1248.0999999999999</v>
      </c>
      <c r="G124" s="3" t="str">
        <f t="shared" si="3"/>
        <v>LT</v>
      </c>
      <c r="H124" s="3"/>
      <c r="I124" s="3"/>
      <c r="J124" t="s">
        <v>346</v>
      </c>
      <c r="K124" t="s">
        <v>25</v>
      </c>
    </row>
    <row r="125" spans="1:11" x14ac:dyDescent="0.25">
      <c r="A125" t="e">
        <v>#VALUE!</v>
      </c>
      <c r="B125" t="s">
        <v>347</v>
      </c>
      <c r="C125" t="s">
        <v>49</v>
      </c>
      <c r="D125" t="s">
        <v>112</v>
      </c>
      <c r="E125" s="3">
        <v>1.3568</v>
      </c>
      <c r="F125" s="1">
        <v>264.05</v>
      </c>
      <c r="G125" s="3" t="str">
        <f t="shared" si="3"/>
        <v>AGG</v>
      </c>
      <c r="H125" s="3"/>
      <c r="I125" s="3"/>
      <c r="J125" t="s">
        <v>271</v>
      </c>
      <c r="K125" t="s">
        <v>84</v>
      </c>
    </row>
    <row r="126" spans="1:11" x14ac:dyDescent="0.25">
      <c r="A126" t="e">
        <v>#VALUE!</v>
      </c>
      <c r="B126" t="s">
        <v>348</v>
      </c>
      <c r="C126" t="s">
        <v>49</v>
      </c>
      <c r="D126" t="s">
        <v>349</v>
      </c>
      <c r="E126" s="3">
        <v>1.4873000000000001</v>
      </c>
      <c r="F126" s="1">
        <v>150.19999999999999</v>
      </c>
      <c r="G126" s="3" t="e">
        <f t="shared" si="3"/>
        <v>#N/A</v>
      </c>
      <c r="H126" s="3"/>
      <c r="I126" s="3"/>
      <c r="J126" t="s">
        <v>274</v>
      </c>
      <c r="K126" t="s">
        <v>84</v>
      </c>
    </row>
    <row r="127" spans="1:11" x14ac:dyDescent="0.25">
      <c r="A127" t="e">
        <v>#VALUE!</v>
      </c>
      <c r="B127" t="s">
        <v>350</v>
      </c>
      <c r="C127" t="s">
        <v>31</v>
      </c>
      <c r="D127" t="s">
        <v>351</v>
      </c>
      <c r="E127" s="3">
        <v>0.29070000000000001</v>
      </c>
      <c r="F127" s="1">
        <v>212.4</v>
      </c>
      <c r="G127" s="3" t="e">
        <f t="shared" si="3"/>
        <v>#N/A</v>
      </c>
      <c r="H127" s="3"/>
      <c r="I127" s="3"/>
      <c r="J127" t="s">
        <v>320</v>
      </c>
      <c r="K127" t="s">
        <v>84</v>
      </c>
    </row>
    <row r="128" spans="1:11" x14ac:dyDescent="0.25">
      <c r="A128" t="e">
        <v>#VALUE!</v>
      </c>
      <c r="B128" t="s">
        <v>352</v>
      </c>
      <c r="C128" t="s">
        <v>226</v>
      </c>
      <c r="D128" t="s">
        <v>353</v>
      </c>
      <c r="E128" s="3">
        <v>1.2199</v>
      </c>
      <c r="F128" s="1">
        <v>591.15</v>
      </c>
      <c r="G128" s="3" t="e">
        <f t="shared" si="3"/>
        <v>#N/A</v>
      </c>
      <c r="H128" s="3"/>
      <c r="I128" s="3"/>
    </row>
    <row r="129" spans="1:9" x14ac:dyDescent="0.25">
      <c r="A129" t="e">
        <v>#VALUE!</v>
      </c>
      <c r="B129" t="s">
        <v>354</v>
      </c>
      <c r="C129" t="s">
        <v>93</v>
      </c>
      <c r="D129" t="s">
        <v>277</v>
      </c>
      <c r="E129" s="3">
        <v>1.3069</v>
      </c>
      <c r="F129" s="1">
        <v>394.2</v>
      </c>
      <c r="G129" s="3" t="str">
        <f t="shared" si="3"/>
        <v>AGG</v>
      </c>
      <c r="H129" s="3"/>
      <c r="I129" s="3"/>
    </row>
    <row r="130" spans="1:9" x14ac:dyDescent="0.25">
      <c r="A130" t="e">
        <v>#VALUE!</v>
      </c>
      <c r="B130" t="s">
        <v>355</v>
      </c>
      <c r="C130" t="s">
        <v>312</v>
      </c>
      <c r="D130" t="s">
        <v>61</v>
      </c>
      <c r="E130" s="3">
        <v>1.0620000000000001</v>
      </c>
      <c r="F130" s="1">
        <v>3801.8</v>
      </c>
      <c r="G130" s="3" t="str">
        <f t="shared" si="3"/>
        <v>LT</v>
      </c>
      <c r="H130" s="3"/>
      <c r="I130" s="3"/>
    </row>
    <row r="131" spans="1:9" x14ac:dyDescent="0.25">
      <c r="A131" t="e">
        <v>#VALUE!</v>
      </c>
      <c r="B131" t="s">
        <v>356</v>
      </c>
      <c r="C131" t="s">
        <v>312</v>
      </c>
      <c r="D131" t="s">
        <v>357</v>
      </c>
      <c r="E131" s="3">
        <v>0.89649999999999996</v>
      </c>
      <c r="F131" s="1">
        <v>36.549999999999997</v>
      </c>
      <c r="G131" s="3" t="e">
        <f t="shared" si="3"/>
        <v>#N/A</v>
      </c>
      <c r="H131" s="3"/>
      <c r="I131" s="3"/>
    </row>
    <row r="132" spans="1:9" x14ac:dyDescent="0.25">
      <c r="A132" t="e">
        <v>#VALUE!</v>
      </c>
      <c r="B132" t="s">
        <v>358</v>
      </c>
      <c r="C132" t="s">
        <v>31</v>
      </c>
      <c r="D132" t="s">
        <v>120</v>
      </c>
      <c r="E132" s="3">
        <v>0.87160000000000004</v>
      </c>
      <c r="F132" s="1">
        <v>9749.15</v>
      </c>
      <c r="G132" s="3" t="str">
        <f t="shared" si="3"/>
        <v>LT</v>
      </c>
      <c r="H132" s="3"/>
      <c r="I132" s="3"/>
    </row>
    <row r="133" spans="1:9" x14ac:dyDescent="0.25">
      <c r="A133" t="e">
        <v>#VALUE!</v>
      </c>
      <c r="B133" t="s">
        <v>359</v>
      </c>
      <c r="C133" t="s">
        <v>49</v>
      </c>
      <c r="D133" t="s">
        <v>360</v>
      </c>
      <c r="E133" s="3">
        <v>1.2628999999999999</v>
      </c>
      <c r="F133" s="1">
        <v>153.5</v>
      </c>
      <c r="G133" s="3" t="e">
        <f t="shared" si="3"/>
        <v>#N/A</v>
      </c>
      <c r="H133" s="3"/>
      <c r="I133" s="3"/>
    </row>
    <row r="134" spans="1:9" x14ac:dyDescent="0.25">
      <c r="A134" t="e">
        <v>#VALUE!</v>
      </c>
      <c r="B134" t="s">
        <v>361</v>
      </c>
      <c r="C134" t="s">
        <v>302</v>
      </c>
      <c r="D134" t="s">
        <v>362</v>
      </c>
      <c r="E134" s="3">
        <v>0.77839999999999998</v>
      </c>
      <c r="F134" s="1">
        <v>1134.25</v>
      </c>
      <c r="G134" s="3" t="e">
        <f t="shared" si="3"/>
        <v>#N/A</v>
      </c>
      <c r="H134" s="3"/>
      <c r="I134" s="3"/>
    </row>
    <row r="135" spans="1:9" x14ac:dyDescent="0.25">
      <c r="A135" t="e">
        <v>#VALUE!</v>
      </c>
      <c r="B135" t="s">
        <v>363</v>
      </c>
      <c r="C135" t="s">
        <v>312</v>
      </c>
      <c r="D135" t="s">
        <v>198</v>
      </c>
      <c r="E135" s="3">
        <v>1.1475</v>
      </c>
      <c r="F135" s="1">
        <v>525.5</v>
      </c>
      <c r="G135" s="3" t="str">
        <f t="shared" si="3"/>
        <v>AGG</v>
      </c>
      <c r="H135" s="3"/>
      <c r="I135" s="3"/>
    </row>
    <row r="136" spans="1:9" x14ac:dyDescent="0.25">
      <c r="A136" t="e">
        <v>#VALUE!</v>
      </c>
      <c r="B136" t="s">
        <v>364</v>
      </c>
      <c r="C136" t="s">
        <v>72</v>
      </c>
      <c r="D136" t="s">
        <v>365</v>
      </c>
      <c r="E136" s="3">
        <v>1.25</v>
      </c>
      <c r="F136" s="1">
        <v>13.25</v>
      </c>
      <c r="G136" s="3" t="e">
        <f t="shared" si="3"/>
        <v>#N/A</v>
      </c>
      <c r="H136" s="3"/>
      <c r="I136" s="3"/>
    </row>
    <row r="137" spans="1:9" x14ac:dyDescent="0.25">
      <c r="A137" t="e">
        <v>#VALUE!</v>
      </c>
      <c r="B137" t="s">
        <v>366</v>
      </c>
      <c r="C137" t="s">
        <v>22</v>
      </c>
      <c r="D137" t="s">
        <v>367</v>
      </c>
      <c r="E137" s="3">
        <v>0.81879999999999997</v>
      </c>
      <c r="F137" s="1">
        <v>1103.55</v>
      </c>
      <c r="G137" s="3" t="e">
        <f t="shared" si="3"/>
        <v>#N/A</v>
      </c>
      <c r="H137" s="3"/>
      <c r="I137" s="3"/>
    </row>
    <row r="138" spans="1:9" x14ac:dyDescent="0.25">
      <c r="A138" t="e">
        <v>#VALUE!</v>
      </c>
      <c r="B138" t="s">
        <v>368</v>
      </c>
      <c r="C138" t="s">
        <v>312</v>
      </c>
      <c r="D138" t="s">
        <v>369</v>
      </c>
      <c r="E138" s="3">
        <v>1.1753</v>
      </c>
      <c r="F138" s="1">
        <v>137.6</v>
      </c>
      <c r="G138" s="3" t="e">
        <f t="shared" si="3"/>
        <v>#N/A</v>
      </c>
      <c r="H138" s="3"/>
      <c r="I138" s="3"/>
    </row>
    <row r="139" spans="1:9" x14ac:dyDescent="0.25">
      <c r="A139" t="e">
        <v>#VALUE!</v>
      </c>
      <c r="B139" t="s">
        <v>370</v>
      </c>
      <c r="C139" t="s">
        <v>139</v>
      </c>
      <c r="D139" t="s">
        <v>371</v>
      </c>
      <c r="E139" s="3">
        <v>1.3622000000000001</v>
      </c>
      <c r="F139" s="1">
        <v>591.1</v>
      </c>
      <c r="G139" s="3" t="e">
        <f t="shared" si="3"/>
        <v>#N/A</v>
      </c>
      <c r="H139" s="3"/>
      <c r="I139" s="3"/>
    </row>
    <row r="140" spans="1:9" x14ac:dyDescent="0.25">
      <c r="A140" t="e">
        <v>#VALUE!</v>
      </c>
      <c r="B140" t="s">
        <v>372</v>
      </c>
      <c r="C140" t="s">
        <v>49</v>
      </c>
      <c r="D140" t="s">
        <v>373</v>
      </c>
      <c r="E140" s="3">
        <v>1.1511</v>
      </c>
      <c r="F140" s="1">
        <v>23.2</v>
      </c>
      <c r="G140" s="3" t="e">
        <f t="shared" si="3"/>
        <v>#N/A</v>
      </c>
      <c r="H140" s="3"/>
      <c r="I140" s="3"/>
    </row>
    <row r="141" spans="1:9" x14ac:dyDescent="0.25">
      <c r="A141" t="e">
        <v>#VALUE!</v>
      </c>
      <c r="B141" t="s">
        <v>374</v>
      </c>
      <c r="C141" t="s">
        <v>76</v>
      </c>
      <c r="D141" t="s">
        <v>375</v>
      </c>
      <c r="E141" s="3">
        <v>1.45</v>
      </c>
      <c r="F141" s="1">
        <v>182.1</v>
      </c>
      <c r="G141" s="3" t="e">
        <f t="shared" si="3"/>
        <v>#N/A</v>
      </c>
      <c r="H141" s="3"/>
      <c r="I141" s="3"/>
    </row>
    <row r="142" spans="1:9" x14ac:dyDescent="0.25">
      <c r="E142" s="3"/>
      <c r="F142" s="1"/>
      <c r="G142" s="3"/>
      <c r="H142" s="3"/>
      <c r="I142" s="3"/>
    </row>
    <row r="143" spans="1:9" x14ac:dyDescent="0.25">
      <c r="E143" s="3"/>
      <c r="F143" s="1"/>
      <c r="G143" s="3"/>
      <c r="H143" s="3"/>
      <c r="I143" s="3"/>
    </row>
    <row r="144" spans="1:9" x14ac:dyDescent="0.25">
      <c r="E144" s="3"/>
      <c r="F144" s="1"/>
      <c r="G144" s="3"/>
      <c r="H144" s="3"/>
      <c r="I144" s="3"/>
    </row>
    <row r="145" spans="5:9" x14ac:dyDescent="0.25">
      <c r="E145" s="3"/>
      <c r="F145" s="1"/>
      <c r="G145" s="3"/>
      <c r="H145" s="3"/>
      <c r="I145" s="3"/>
    </row>
    <row r="146" spans="5:9" x14ac:dyDescent="0.25">
      <c r="E146" s="3"/>
      <c r="F146" s="1"/>
      <c r="G146" s="3"/>
      <c r="H146" s="3"/>
      <c r="I146" s="3"/>
    </row>
    <row r="147" spans="5:9" x14ac:dyDescent="0.25">
      <c r="E147" s="3"/>
      <c r="F147" s="1"/>
      <c r="G147" s="3"/>
      <c r="H147" s="3"/>
      <c r="I147" s="3"/>
    </row>
    <row r="148" spans="5:9" x14ac:dyDescent="0.25">
      <c r="E148" s="3"/>
      <c r="F148" s="1"/>
      <c r="G148" s="3"/>
      <c r="H148" s="3"/>
      <c r="I148" s="3"/>
    </row>
    <row r="149" spans="5:9" x14ac:dyDescent="0.25">
      <c r="E149" s="3"/>
      <c r="F149" s="1"/>
      <c r="G149" s="3"/>
      <c r="H149" s="3"/>
      <c r="I149" s="3"/>
    </row>
    <row r="150" spans="5:9" x14ac:dyDescent="0.25">
      <c r="E150" s="3"/>
      <c r="F150" s="1"/>
      <c r="G150" s="3"/>
      <c r="H150" s="3"/>
      <c r="I150" s="3"/>
    </row>
    <row r="151" spans="5:9" x14ac:dyDescent="0.25">
      <c r="E151" s="3"/>
      <c r="F151" s="1"/>
      <c r="G151" s="3"/>
      <c r="H151" s="3"/>
      <c r="I151" s="3"/>
    </row>
    <row r="152" spans="5:9" x14ac:dyDescent="0.25">
      <c r="E152" s="3"/>
      <c r="F152" s="1"/>
      <c r="G152" s="3"/>
      <c r="H152" s="3"/>
      <c r="I152" s="3"/>
    </row>
    <row r="153" spans="5:9" x14ac:dyDescent="0.25">
      <c r="E153" s="3"/>
      <c r="F153" s="1"/>
      <c r="G153" s="3"/>
      <c r="H153" s="3"/>
      <c r="I153" s="3"/>
    </row>
    <row r="154" spans="5:9" x14ac:dyDescent="0.25">
      <c r="E154" s="3"/>
      <c r="F154" s="1"/>
      <c r="G154" s="3"/>
      <c r="H154" s="3"/>
      <c r="I154" s="3"/>
    </row>
    <row r="155" spans="5:9" x14ac:dyDescent="0.25">
      <c r="E155" s="3"/>
      <c r="F155" s="1"/>
      <c r="G155" s="3"/>
      <c r="H155" s="3"/>
      <c r="I155" s="3"/>
    </row>
    <row r="156" spans="5:9" x14ac:dyDescent="0.25">
      <c r="E156" s="3"/>
      <c r="F156" s="1"/>
      <c r="G156" s="3"/>
      <c r="H156" s="3"/>
      <c r="I156" s="3"/>
    </row>
    <row r="157" spans="5:9" x14ac:dyDescent="0.25">
      <c r="E157" s="3"/>
      <c r="F157" s="1"/>
      <c r="G157" s="3"/>
      <c r="H157" s="3"/>
      <c r="I157" s="3"/>
    </row>
    <row r="158" spans="5:9" x14ac:dyDescent="0.25">
      <c r="E158" s="3"/>
      <c r="F158" s="1"/>
      <c r="G158" s="3"/>
      <c r="H158" s="3"/>
      <c r="I158" s="3"/>
    </row>
    <row r="159" spans="5:9" x14ac:dyDescent="0.25">
      <c r="E159" s="3"/>
      <c r="F159" s="1"/>
      <c r="G159" s="3"/>
      <c r="H159" s="3"/>
      <c r="I159" s="3"/>
    </row>
    <row r="160" spans="5:9" x14ac:dyDescent="0.25">
      <c r="E160" s="3"/>
      <c r="F160" s="1"/>
      <c r="G160" s="3"/>
      <c r="H160" s="3"/>
      <c r="I160" s="3"/>
    </row>
    <row r="161" spans="5:9" x14ac:dyDescent="0.25">
      <c r="E161" s="3"/>
      <c r="F161" s="1"/>
      <c r="G161" s="3"/>
      <c r="H161" s="3"/>
      <c r="I161" s="3"/>
    </row>
    <row r="162" spans="5:9" x14ac:dyDescent="0.25">
      <c r="E162" s="3"/>
      <c r="F162" s="1"/>
      <c r="G162" s="3"/>
      <c r="H162" s="3"/>
      <c r="I162" s="3"/>
    </row>
    <row r="163" spans="5:9" x14ac:dyDescent="0.25">
      <c r="E163" s="3"/>
      <c r="F163" s="1"/>
      <c r="G163" s="3"/>
      <c r="H163" s="3"/>
      <c r="I163" s="3"/>
    </row>
    <row r="164" spans="5:9" x14ac:dyDescent="0.25">
      <c r="E164" s="3"/>
      <c r="F164" s="1"/>
      <c r="G164" s="3"/>
      <c r="H164" s="3"/>
      <c r="I164" s="3"/>
    </row>
    <row r="165" spans="5:9" x14ac:dyDescent="0.25">
      <c r="E165" s="3"/>
      <c r="F165" s="1"/>
      <c r="G165" s="3"/>
      <c r="H165" s="3"/>
      <c r="I165" s="3"/>
    </row>
    <row r="166" spans="5:9" x14ac:dyDescent="0.25">
      <c r="E166" s="3"/>
      <c r="F166" s="1"/>
      <c r="G166" s="3"/>
      <c r="H166" s="3"/>
      <c r="I166" s="3"/>
    </row>
    <row r="167" spans="5:9" x14ac:dyDescent="0.25">
      <c r="E167" s="3"/>
      <c r="F167" s="1"/>
      <c r="G167" s="3"/>
      <c r="H167" s="3"/>
      <c r="I167" s="3"/>
    </row>
    <row r="168" spans="5:9" x14ac:dyDescent="0.25">
      <c r="E168" s="3"/>
      <c r="F168" s="1"/>
      <c r="G168" s="3"/>
      <c r="H168" s="3"/>
      <c r="I168" s="3"/>
    </row>
    <row r="169" spans="5:9" x14ac:dyDescent="0.25">
      <c r="E169" s="3"/>
      <c r="F169" s="1"/>
      <c r="G169" s="3"/>
      <c r="H169" s="3"/>
      <c r="I169" s="3"/>
    </row>
    <row r="170" spans="5:9" x14ac:dyDescent="0.25">
      <c r="E170" s="3"/>
      <c r="F170" s="1"/>
      <c r="G170" s="3"/>
      <c r="H170" s="3"/>
      <c r="I170" s="3"/>
    </row>
  </sheetData>
  <autoFilter ref="A1:G169" xr:uid="{00000000-0009-0000-0000-000000000000}">
    <sortState xmlns:xlrd2="http://schemas.microsoft.com/office/spreadsheetml/2017/richdata2" ref="A2:G170">
      <sortCondition ref="A1:A169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A19" sqref="A19"/>
    </sheetView>
  </sheetViews>
  <sheetFormatPr defaultRowHeight="15" x14ac:dyDescent="0.25"/>
  <cols>
    <col min="1" max="1" width="19.7109375" bestFit="1" customWidth="1"/>
    <col min="2" max="2" width="15.7109375" bestFit="1" customWidth="1"/>
  </cols>
  <sheetData>
    <row r="1" spans="1:2" x14ac:dyDescent="0.25">
      <c r="A1" t="s">
        <v>376</v>
      </c>
      <c r="B1" t="s">
        <v>377</v>
      </c>
    </row>
    <row r="2" spans="1:2" x14ac:dyDescent="0.25">
      <c r="A2" t="s">
        <v>378</v>
      </c>
      <c r="B2" t="s">
        <v>3</v>
      </c>
    </row>
    <row r="3" spans="1:2" x14ac:dyDescent="0.25">
      <c r="A3" t="s">
        <v>379</v>
      </c>
      <c r="B3" t="s">
        <v>380</v>
      </c>
    </row>
    <row r="4" spans="1:2" x14ac:dyDescent="0.25">
      <c r="A4" t="s">
        <v>381</v>
      </c>
      <c r="B4" t="s">
        <v>382</v>
      </c>
    </row>
    <row r="5" spans="1:2" x14ac:dyDescent="0.25">
      <c r="A5" t="s">
        <v>383</v>
      </c>
      <c r="B5" t="s">
        <v>384</v>
      </c>
    </row>
    <row r="6" spans="1:2" x14ac:dyDescent="0.25">
      <c r="A6" t="s">
        <v>385</v>
      </c>
      <c r="B6" t="s">
        <v>386</v>
      </c>
    </row>
    <row r="7" spans="1:2" x14ac:dyDescent="0.25">
      <c r="A7" t="s">
        <v>387</v>
      </c>
      <c r="B7" t="s">
        <v>388</v>
      </c>
    </row>
    <row r="8" spans="1:2" x14ac:dyDescent="0.25">
      <c r="A8" t="s">
        <v>389</v>
      </c>
      <c r="B8" t="s">
        <v>390</v>
      </c>
    </row>
    <row r="11" spans="1:2" x14ac:dyDescent="0.25">
      <c r="A11" t="s">
        <v>391</v>
      </c>
    </row>
    <row r="12" spans="1:2" x14ac:dyDescent="0.25">
      <c r="A12" t="s">
        <v>392</v>
      </c>
      <c r="B12" t="s">
        <v>393</v>
      </c>
    </row>
    <row r="13" spans="1:2" x14ac:dyDescent="0.25">
      <c r="A13" t="s">
        <v>394</v>
      </c>
    </row>
    <row r="14" spans="1:2" x14ac:dyDescent="0.25">
      <c r="A14" t="s">
        <v>395</v>
      </c>
    </row>
    <row r="15" spans="1:2" x14ac:dyDescent="0.25">
      <c r="A15" t="s">
        <v>396</v>
      </c>
    </row>
    <row r="16" spans="1:2" x14ac:dyDescent="0.25">
      <c r="A16" t="s">
        <v>397</v>
      </c>
    </row>
    <row r="17" spans="1:1" x14ac:dyDescent="0.25">
      <c r="A17" t="s">
        <v>398</v>
      </c>
    </row>
    <row r="18" spans="1:1" x14ac:dyDescent="0.25">
      <c r="A18" t="s">
        <v>399</v>
      </c>
    </row>
    <row r="19" spans="1:1" x14ac:dyDescent="0.25">
      <c r="A19" t="s">
        <v>400</v>
      </c>
    </row>
    <row r="20" spans="1:1" x14ac:dyDescent="0.25">
      <c r="A20" t="s">
        <v>401</v>
      </c>
    </row>
  </sheetData>
  <autoFilter ref="A2:B8" xr:uid="{00000000-0009-0000-0000-000001000000}">
    <sortState xmlns:xlrd2="http://schemas.microsoft.com/office/spreadsheetml/2017/richdata2" ref="A3:B8">
      <sortCondition ref="A2:A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tabSelected="1" zoomScale="146" workbookViewId="0">
      <selection activeCell="C11" sqref="C11"/>
    </sheetView>
  </sheetViews>
  <sheetFormatPr defaultRowHeight="15" x14ac:dyDescent="0.25"/>
  <cols>
    <col min="3" max="3" width="15" style="10" bestFit="1" customWidth="1"/>
    <col min="4" max="4" width="9.140625" style="9"/>
    <col min="5" max="5" width="9.140625" style="24"/>
    <col min="6" max="6" width="9.140625" style="9"/>
    <col min="7" max="7" width="9.140625" style="24"/>
    <col min="10" max="10" width="13.42578125" bestFit="1" customWidth="1"/>
    <col min="11" max="11" width="12.7109375" bestFit="1" customWidth="1"/>
  </cols>
  <sheetData>
    <row r="1" spans="1:7" s="2" customFormat="1" x14ac:dyDescent="0.25">
      <c r="A1" s="2" t="s">
        <v>378</v>
      </c>
      <c r="B1" s="2" t="s">
        <v>427</v>
      </c>
      <c r="C1" s="29" t="s">
        <v>428</v>
      </c>
      <c r="D1" s="7" t="s">
        <v>429</v>
      </c>
      <c r="E1" s="30" t="s">
        <v>4</v>
      </c>
      <c r="F1" s="7" t="s">
        <v>430</v>
      </c>
      <c r="G1" s="30" t="s">
        <v>431</v>
      </c>
    </row>
    <row r="2" spans="1:7" x14ac:dyDescent="0.25">
      <c r="A2" t="s">
        <v>435</v>
      </c>
      <c r="B2" t="s">
        <v>433</v>
      </c>
      <c r="C2" s="10">
        <f>WX!B11</f>
        <v>1311673.95</v>
      </c>
      <c r="D2" s="9">
        <f>WX!B12</f>
        <v>0.37740042790359596</v>
      </c>
      <c r="E2" s="24">
        <f>WX!B13</f>
        <v>1.1739771391602973</v>
      </c>
      <c r="F2" s="9">
        <f>WX!B15</f>
        <v>8.4773177885184181E-2</v>
      </c>
      <c r="G2" s="26">
        <f>WX!B16</f>
        <v>0.26150460487091093</v>
      </c>
    </row>
    <row r="3" spans="1:7" x14ac:dyDescent="0.25">
      <c r="A3" t="s">
        <v>436</v>
      </c>
      <c r="B3" t="s">
        <v>434</v>
      </c>
      <c r="C3" s="10">
        <f>XY!B11</f>
        <v>5855983.2399999993</v>
      </c>
      <c r="D3" s="9">
        <f>XY!B12</f>
        <v>0.3205102598620142</v>
      </c>
      <c r="E3" s="24">
        <f>XY!B13</f>
        <v>1.0058078903998187</v>
      </c>
      <c r="F3" s="9">
        <f>XY!B15</f>
        <v>5.9716499988422489E-2</v>
      </c>
      <c r="G3" s="26">
        <f>XY!B16</f>
        <v>0.24866603478582064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topLeftCell="B1" zoomScaleNormal="73" workbookViewId="0">
      <selection activeCell="B1" sqref="B1"/>
    </sheetView>
  </sheetViews>
  <sheetFormatPr defaultRowHeight="15" x14ac:dyDescent="0.25"/>
  <cols>
    <col min="1" max="1" width="42.85546875" bestFit="1" customWidth="1"/>
    <col min="2" max="2" width="38.85546875" bestFit="1" customWidth="1"/>
    <col min="3" max="3" width="13.28515625" bestFit="1" customWidth="1"/>
    <col min="4" max="4" width="8.28515625" bestFit="1" customWidth="1"/>
    <col min="5" max="5" width="12.28515625" bestFit="1" customWidth="1"/>
    <col min="6" max="6" width="10.28515625" bestFit="1" customWidth="1"/>
    <col min="7" max="7" width="20" bestFit="1" customWidth="1"/>
    <col min="8" max="8" width="17.28515625" bestFit="1" customWidth="1"/>
    <col min="9" max="9" width="17" bestFit="1" customWidth="1"/>
    <col min="10" max="10" width="18.28515625" bestFit="1" customWidth="1"/>
    <col min="11" max="11" width="15.7109375" bestFit="1" customWidth="1"/>
    <col min="12" max="12" width="11.5703125" style="9" bestFit="1" customWidth="1"/>
    <col min="13" max="13" width="19.28515625" bestFit="1" customWidth="1"/>
    <col min="14" max="14" width="16" bestFit="1" customWidth="1"/>
    <col min="16" max="16" width="17.42578125" customWidth="1"/>
    <col min="17" max="17" width="24" bestFit="1" customWidth="1"/>
  </cols>
  <sheetData>
    <row r="1" spans="1:13" x14ac:dyDescent="0.25">
      <c r="A1" t="s">
        <v>402</v>
      </c>
      <c r="B1" s="11" t="s">
        <v>435</v>
      </c>
    </row>
    <row r="2" spans="1:13" x14ac:dyDescent="0.25">
      <c r="A2" t="s">
        <v>403</v>
      </c>
      <c r="B2" s="12">
        <v>44986</v>
      </c>
    </row>
    <row r="3" spans="1:13" x14ac:dyDescent="0.25">
      <c r="A3" t="s">
        <v>404</v>
      </c>
      <c r="B3" s="12">
        <v>45352</v>
      </c>
    </row>
    <row r="4" spans="1:13" x14ac:dyDescent="0.25">
      <c r="A4" t="s">
        <v>405</v>
      </c>
      <c r="B4" s="11" t="s">
        <v>380</v>
      </c>
    </row>
    <row r="5" spans="1:13" x14ac:dyDescent="0.25">
      <c r="A5" t="s">
        <v>406</v>
      </c>
      <c r="B5" s="13">
        <v>7.0400000000000004E-2</v>
      </c>
    </row>
    <row r="6" spans="1:13" x14ac:dyDescent="0.25">
      <c r="A6" t="s">
        <v>407</v>
      </c>
      <c r="B6" s="10">
        <f>SUM(Table2[Invested Amount])</f>
        <v>1311673.95</v>
      </c>
    </row>
    <row r="7" spans="1:13" x14ac:dyDescent="0.25">
      <c r="A7" t="s">
        <v>408</v>
      </c>
      <c r="B7" s="10">
        <f>SUM(Table2[Current Value])</f>
        <v>1610036.66</v>
      </c>
    </row>
    <row r="8" spans="1:13" x14ac:dyDescent="0.25">
      <c r="A8" t="s">
        <v>409</v>
      </c>
      <c r="B8" s="14">
        <v>0</v>
      </c>
    </row>
    <row r="9" spans="1:13" x14ac:dyDescent="0.25">
      <c r="A9" t="s">
        <v>410</v>
      </c>
      <c r="B9" s="10">
        <f>B7-B6</f>
        <v>298362.70999999996</v>
      </c>
    </row>
    <row r="10" spans="1:13" x14ac:dyDescent="0.25">
      <c r="A10" t="s">
        <v>411</v>
      </c>
      <c r="B10" s="10">
        <f>SUM(Table2[Actual Return])</f>
        <v>495026.30999999994</v>
      </c>
    </row>
    <row r="11" spans="1:13" x14ac:dyDescent="0.25">
      <c r="A11" t="s">
        <v>412</v>
      </c>
      <c r="B11" s="10">
        <f>B6+B8</f>
        <v>1311673.95</v>
      </c>
    </row>
    <row r="12" spans="1:13" x14ac:dyDescent="0.25">
      <c r="A12" t="s">
        <v>413</v>
      </c>
      <c r="B12" s="4">
        <f>B10/B11</f>
        <v>0.37740042790359596</v>
      </c>
      <c r="C12" s="5"/>
    </row>
    <row r="13" spans="1:13" x14ac:dyDescent="0.25">
      <c r="A13" t="s">
        <v>414</v>
      </c>
      <c r="B13" s="6">
        <f>SUMPRODUCT(Table2[Beta],Table2[Weights])</f>
        <v>1.1739771391602973</v>
      </c>
    </row>
    <row r="14" spans="1:13" x14ac:dyDescent="0.25">
      <c r="A14" t="s">
        <v>415</v>
      </c>
      <c r="B14" s="20">
        <v>0.25969435898331272</v>
      </c>
      <c r="K14" t="s">
        <v>4</v>
      </c>
      <c r="L14" s="23">
        <f>SUMPRODUCT(Table2[Beta],Table2[Weights])</f>
        <v>1.1739771391602973</v>
      </c>
      <c r="M14" s="23">
        <f>SUMPRODUCT(Table2[Beta],Table2[Optimal Weights])</f>
        <v>1.0633500000000053</v>
      </c>
    </row>
    <row r="15" spans="1:13" x14ac:dyDescent="0.25">
      <c r="A15" s="2" t="s">
        <v>416</v>
      </c>
      <c r="B15" s="7">
        <f>B12-(B5+B13*(B14-B5))</f>
        <v>8.4773177885184181E-2</v>
      </c>
      <c r="K15" t="s">
        <v>432</v>
      </c>
      <c r="L15" s="9">
        <f>SUMPRODUCT(Table2[% Absolute Rtn.],Table2[Weights])</f>
        <v>0.27979157514338832</v>
      </c>
      <c r="M15" s="9">
        <f>SUMPRODUCT(Table2[% Absolute Rtn.],Table2[Optimal Weights])</f>
        <v>0.52449999999999275</v>
      </c>
    </row>
    <row r="16" spans="1:13" x14ac:dyDescent="0.25">
      <c r="A16" s="2" t="s">
        <v>417</v>
      </c>
      <c r="B16" s="8">
        <f>(B12-B5)/B13</f>
        <v>0.26150460487091093</v>
      </c>
    </row>
    <row r="19" spans="1:14" s="2" customFormat="1" x14ac:dyDescent="0.25">
      <c r="A19" s="18" t="s">
        <v>418</v>
      </c>
      <c r="B19" s="2" t="s">
        <v>2</v>
      </c>
      <c r="C19" s="2" t="s">
        <v>3</v>
      </c>
      <c r="D19" s="2" t="s">
        <v>4</v>
      </c>
      <c r="E19" s="2" t="s">
        <v>6</v>
      </c>
      <c r="F19" s="27" t="s">
        <v>419</v>
      </c>
      <c r="G19" s="19" t="s">
        <v>420</v>
      </c>
      <c r="H19" s="19" t="s">
        <v>421</v>
      </c>
      <c r="I19" s="19" t="s">
        <v>422</v>
      </c>
      <c r="J19" s="18" t="s">
        <v>423</v>
      </c>
      <c r="K19" s="2" t="s">
        <v>424</v>
      </c>
      <c r="L19" s="2" t="s">
        <v>425</v>
      </c>
      <c r="M19" s="25" t="s">
        <v>426</v>
      </c>
      <c r="N19" s="2" t="s">
        <v>5</v>
      </c>
    </row>
    <row r="20" spans="1:14" x14ac:dyDescent="0.25">
      <c r="A20" t="s">
        <v>275</v>
      </c>
      <c r="B20" t="str">
        <f>VLOOKUP(Table2[[#This Row],[Company name]],Universe!$B$2:$G$1996,2,FALSE)</f>
        <v>ETF</v>
      </c>
      <c r="C20" t="str">
        <f>VLOOKUP(Table2[[#This Row],[Company name]],Universe!$B$2:$G$1996,3,FALSE)</f>
        <v>PSUBNKBEES</v>
      </c>
      <c r="D20">
        <f>VLOOKUP(Table2[[#This Row],[Company name]],Universe!$B$2:$G$1996,4,FALSE)</f>
        <v>1.1405000000000001</v>
      </c>
      <c r="E20" t="str">
        <f>VLOOKUP(Table2[[#This Row],[Company name]],Universe!$B$2:$G$1996,6,FALSE)</f>
        <v>ETF</v>
      </c>
      <c r="F20" s="16">
        <f>_xlfn.FLOOR.MATH(Table2[[#This Row],[Current Value]]/Table2[[#This Row],[Current Price]])</f>
        <v>3994</v>
      </c>
      <c r="G20" s="17">
        <v>199984.8</v>
      </c>
      <c r="H20" s="17">
        <v>309759.56</v>
      </c>
      <c r="I20" s="17">
        <v>109774.76</v>
      </c>
      <c r="J20" s="4">
        <v>0.54899999999999993</v>
      </c>
      <c r="K20" s="4">
        <f>$B$5+Table2[[#This Row],[Beta]]*($B$14-$B$5)</f>
        <v>0.28629021642046815</v>
      </c>
      <c r="L20" s="4">
        <f>Table2[[#This Row],[Current Value]]/SUM(Table2[Current Value])</f>
        <v>0.19239286141472084</v>
      </c>
      <c r="M20" s="4">
        <v>0.29999999999999571</v>
      </c>
      <c r="N20" s="15">
        <f>VLOOKUP(Table2[[#This Row],[Company name]],Universe!$B$2:$G$1998,5,FALSE)</f>
        <v>77.540000000000006</v>
      </c>
    </row>
    <row r="21" spans="1:14" x14ac:dyDescent="0.25">
      <c r="A21" t="s">
        <v>8</v>
      </c>
      <c r="B21" t="str">
        <f>VLOOKUP(Table2[[#This Row],[Company name]],Universe!$B$2:$G$1996,2,FALSE)</f>
        <v>Transport Infrastructure</v>
      </c>
      <c r="C21" t="str">
        <f>VLOOKUP(Table2[[#This Row],[Company name]],Universe!$B$2:$G$1996,3,FALSE)</f>
        <v>ADANIPORTS</v>
      </c>
      <c r="D21">
        <f>VLOOKUP(Table2[[#This Row],[Company name]],Universe!$B$2:$G$1996,4,FALSE)</f>
        <v>1.2196</v>
      </c>
      <c r="E21" s="15" t="str">
        <f>VLOOKUP(Table2[[#This Row],[Company name]],Universe!$B$2:$G$1996,6,FALSE)</f>
        <v>LT</v>
      </c>
      <c r="F21" s="16">
        <f>_xlfn.FLOOR.MATH(Table2[[#This Row],[Current Value]]/Table2[[#This Row],[Current Price]])</f>
        <v>142</v>
      </c>
      <c r="G21" s="17">
        <v>128324.2</v>
      </c>
      <c r="H21" s="17">
        <v>191704.5</v>
      </c>
      <c r="I21" s="17">
        <v>63380.3</v>
      </c>
      <c r="J21" s="4">
        <v>0.49399999999999999</v>
      </c>
      <c r="K21" s="4">
        <f>$B$5+Table2[[#This Row],[Beta]]*($B$14-$B$5)</f>
        <v>0.30126340021604819</v>
      </c>
      <c r="L21" s="4">
        <f>Table2[[#This Row],[Current Value]]/SUM(Table2[Current Value])</f>
        <v>0.11906840680261281</v>
      </c>
      <c r="M21" s="4">
        <v>0.29999999999999788</v>
      </c>
      <c r="N21" s="15">
        <f>VLOOKUP(Table2[[#This Row],[Company name]],Universe!$B$2:$G$1998,5,FALSE)</f>
        <v>1341.85</v>
      </c>
    </row>
    <row r="22" spans="1:14" x14ac:dyDescent="0.25">
      <c r="A22" t="s">
        <v>124</v>
      </c>
      <c r="B22" t="str">
        <f>VLOOKUP(Table2[[#This Row],[Company name]],Universe!$B$2:$G$1996,2,FALSE)</f>
        <v>Food &amp; Tobacco</v>
      </c>
      <c r="C22" t="str">
        <f>VLOOKUP(Table2[[#This Row],[Company name]],Universe!$B$2:$G$1996,3,FALSE)</f>
        <v>ITC</v>
      </c>
      <c r="D22">
        <f>VLOOKUP(Table2[[#This Row],[Company name]],Universe!$B$2:$G$1996,4,FALSE)</f>
        <v>0.63590000000000002</v>
      </c>
      <c r="E22" s="15" t="str">
        <f>VLOOKUP(Table2[[#This Row],[Company name]],Universe!$B$2:$G$1996,6,FALSE)</f>
        <v>LT</v>
      </c>
      <c r="F22" s="16">
        <f>_xlfn.FLOOR.MATH(Table2[[#This Row],[Current Value]]/Table2[[#This Row],[Current Price]])</f>
        <v>435</v>
      </c>
      <c r="G22" s="17">
        <v>199848.85</v>
      </c>
      <c r="H22" s="17">
        <v>186732</v>
      </c>
      <c r="I22" s="17">
        <v>-10266.85</v>
      </c>
      <c r="J22" s="4">
        <v>-5.0999999999999997E-2</v>
      </c>
      <c r="K22" s="4">
        <f>$B$5+Table2[[#This Row],[Beta]]*($B$14-$B$5)</f>
        <v>0.19077228287748854</v>
      </c>
      <c r="L22" s="4">
        <f>Table2[[#This Row],[Current Value]]/SUM(Table2[Current Value])</f>
        <v>0.11597996781017397</v>
      </c>
      <c r="M22" s="4">
        <v>2.655194215187476E-15</v>
      </c>
      <c r="N22" s="15">
        <f>VLOOKUP(Table2[[#This Row],[Company name]],Universe!$B$2:$G$1998,5,FALSE)</f>
        <v>428.35</v>
      </c>
    </row>
    <row r="23" spans="1:14" x14ac:dyDescent="0.25">
      <c r="A23" t="s">
        <v>188</v>
      </c>
      <c r="B23" t="str">
        <f>VLOOKUP(Table2[[#This Row],[Company name]],Universe!$B$2:$G$1996,2,FALSE)</f>
        <v>Banking Services</v>
      </c>
      <c r="C23" t="str">
        <f>VLOOKUP(Table2[[#This Row],[Company name]],Universe!$B$2:$G$1996,3,FALSE)</f>
        <v>IREDA</v>
      </c>
      <c r="D23">
        <f>VLOOKUP(Table2[[#This Row],[Company name]],Universe!$B$2:$G$1996,4,FALSE)</f>
        <v>1.58</v>
      </c>
      <c r="E23" s="15" t="str">
        <f>VLOOKUP(Table2[[#This Row],[Company name]],Universe!$B$2:$G$1996,6,FALSE)</f>
        <v>AGG</v>
      </c>
      <c r="F23" s="16">
        <f>_xlfn.FLOOR.MATH(Table2[[#This Row],[Current Value]]/Table2[[#This Row],[Current Price]])</f>
        <v>1284</v>
      </c>
      <c r="G23" s="17">
        <v>129897.75</v>
      </c>
      <c r="H23" s="17">
        <v>174547.5</v>
      </c>
      <c r="I23" s="17">
        <v>44649.75</v>
      </c>
      <c r="J23" s="4">
        <v>0.34399999999999997</v>
      </c>
      <c r="K23" s="4">
        <f>$B$5+Table2[[#This Row],[Beta]]*($B$14-$B$5)</f>
        <v>0.3694850871936341</v>
      </c>
      <c r="L23" s="4">
        <f>Table2[[#This Row],[Current Value]]/SUM(Table2[Current Value])</f>
        <v>0.10841212770894298</v>
      </c>
      <c r="M23" s="4">
        <v>1.5404344466674051E-15</v>
      </c>
      <c r="N23" s="15">
        <f>VLOOKUP(Table2[[#This Row],[Company name]],Universe!$B$2:$G$1998,5,FALSE)</f>
        <v>135.9</v>
      </c>
    </row>
    <row r="24" spans="1:14" x14ac:dyDescent="0.25">
      <c r="A24" t="s">
        <v>334</v>
      </c>
      <c r="B24" t="str">
        <f>VLOOKUP(Table2[[#This Row],[Company name]],Universe!$B$2:$G$1996,2,FALSE)</f>
        <v>Pharmaceuticals</v>
      </c>
      <c r="C24" t="str">
        <f>VLOOKUP(Table2[[#This Row],[Company name]],Universe!$B$2:$G$1996,3,FALSE)</f>
        <v>SUNPHARMA</v>
      </c>
      <c r="D24">
        <f>VLOOKUP(Table2[[#This Row],[Company name]],Universe!$B$2:$G$1996,4,FALSE)</f>
        <v>0.71970000000000001</v>
      </c>
      <c r="E24" s="15" t="str">
        <f>VLOOKUP(Table2[[#This Row],[Company name]],Universe!$B$2:$G$1996,6,FALSE)</f>
        <v>LT</v>
      </c>
      <c r="F24" s="16">
        <f>_xlfn.FLOOR.MATH(Table2[[#This Row],[Current Value]]/Table2[[#This Row],[Current Price]])</f>
        <v>96</v>
      </c>
      <c r="G24" s="17">
        <v>99293.3</v>
      </c>
      <c r="H24" s="17">
        <v>155925</v>
      </c>
      <c r="I24" s="17">
        <v>57881.7</v>
      </c>
      <c r="J24" s="4">
        <v>0.58299999999999996</v>
      </c>
      <c r="K24" s="4">
        <f>$B$5+Table2[[#This Row],[Beta]]*($B$14-$B$5)</f>
        <v>0.20663515016029016</v>
      </c>
      <c r="L24" s="4">
        <f>Table2[[#This Row],[Current Value]]/SUM(Table2[Current Value])</f>
        <v>9.6845620894123005E-2</v>
      </c>
      <c r="M24" s="4">
        <v>0.29999999999999388</v>
      </c>
      <c r="N24" s="15">
        <f>VLOOKUP(Table2[[#This Row],[Company name]],Universe!$B$2:$G$1998,5,FALSE)</f>
        <v>1620.55</v>
      </c>
    </row>
    <row r="25" spans="1:14" x14ac:dyDescent="0.25">
      <c r="A25" t="s">
        <v>147</v>
      </c>
      <c r="B25" t="str">
        <f>VLOOKUP(Table2[[#This Row],[Company name]],Universe!$B$2:$G$1996,2,FALSE)</f>
        <v>Banking Services</v>
      </c>
      <c r="C25" t="str">
        <f>VLOOKUP(Table2[[#This Row],[Company name]],Universe!$B$2:$G$1996,3,FALSE)</f>
        <v>HDFCBANK</v>
      </c>
      <c r="D25">
        <f>VLOOKUP(Table2[[#This Row],[Company name]],Universe!$B$2:$G$1996,4,FALSE)</f>
        <v>1.1359999999999999</v>
      </c>
      <c r="E25" s="15" t="str">
        <f>VLOOKUP(Table2[[#This Row],[Company name]],Universe!$B$2:$G$1996,6,FALSE)</f>
        <v>LT</v>
      </c>
      <c r="F25" s="16">
        <f>_xlfn.FLOOR.MATH(Table2[[#This Row],[Current Value]]/Table2[[#This Row],[Current Price]])</f>
        <v>102</v>
      </c>
      <c r="G25" s="17">
        <v>148945.5</v>
      </c>
      <c r="H25" s="17">
        <v>148798</v>
      </c>
      <c r="I25" s="17">
        <v>-9506.4500000000007</v>
      </c>
      <c r="J25" s="4">
        <v>-0.06</v>
      </c>
      <c r="K25" s="4">
        <f>$B$5+Table2[[#This Row],[Beta]]*($B$14-$B$5)</f>
        <v>0.28543839180504321</v>
      </c>
      <c r="L25" s="4">
        <f>Table2[[#This Row],[Current Value]]/SUM(Table2[Current Value])</f>
        <v>9.2419013614261428E-2</v>
      </c>
      <c r="M25" s="4">
        <v>2.203240341531223E-15</v>
      </c>
      <c r="N25" s="15">
        <f>VLOOKUP(Table2[[#This Row],[Company name]],Universe!$B$2:$G$1998,5,FALSE)</f>
        <v>1447.9</v>
      </c>
    </row>
    <row r="26" spans="1:14" x14ac:dyDescent="0.25">
      <c r="A26" t="s">
        <v>330</v>
      </c>
      <c r="B26" t="str">
        <f>VLOOKUP(Table2[[#This Row],[Company name]],Universe!$B$2:$G$1996,2,FALSE)</f>
        <v>Banking Services</v>
      </c>
      <c r="C26" t="str">
        <f>VLOOKUP(Table2[[#This Row],[Company name]],Universe!$B$2:$G$1996,3,FALSE)</f>
        <v>SBIN</v>
      </c>
      <c r="D26">
        <f>VLOOKUP(Table2[[#This Row],[Company name]],Universe!$B$2:$G$1996,4,FALSE)</f>
        <v>1.3940999999999999</v>
      </c>
      <c r="E26" s="15" t="str">
        <f>VLOOKUP(Table2[[#This Row],[Company name]],Universe!$B$2:$G$1996,6,FALSE)</f>
        <v>LT</v>
      </c>
      <c r="F26" s="16">
        <f>_xlfn.FLOOR.MATH(Table2[[#This Row],[Current Value]]/Table2[[#This Row],[Current Price]])</f>
        <v>181</v>
      </c>
      <c r="G26" s="17">
        <v>100132.6</v>
      </c>
      <c r="H26" s="17">
        <v>136908.70000000001</v>
      </c>
      <c r="I26" s="17">
        <v>36776.1</v>
      </c>
      <c r="J26" s="4">
        <v>0.36699999999999999</v>
      </c>
      <c r="K26" s="4">
        <f>$B$5+Table2[[#This Row],[Beta]]*($B$14-$B$5)</f>
        <v>0.33429526585863623</v>
      </c>
      <c r="L26" s="4">
        <f>Table2[[#This Row],[Current Value]]/SUM(Table2[Current Value])</f>
        <v>8.5034523375387E-2</v>
      </c>
      <c r="M26" s="4">
        <v>9.9999999999999103E-2</v>
      </c>
      <c r="N26" s="15">
        <f>VLOOKUP(Table2[[#This Row],[Company name]],Universe!$B$2:$G$1998,5,FALSE)</f>
        <v>752.35</v>
      </c>
    </row>
    <row r="27" spans="1:14" x14ac:dyDescent="0.25">
      <c r="A27" t="s">
        <v>252</v>
      </c>
      <c r="B27" t="str">
        <f>VLOOKUP(Table2[[#This Row],[Company name]],Universe!$B$2:$G$1996,2,FALSE)</f>
        <v>Automobiles &amp; Auto Parts</v>
      </c>
      <c r="C27" t="str">
        <f>VLOOKUP(Table2[[#This Row],[Company name]],Universe!$B$2:$G$1996,3,FALSE)</f>
        <v>MARUTI</v>
      </c>
      <c r="D27">
        <f>VLOOKUP(Table2[[#This Row],[Company name]],Universe!$B$2:$G$1996,4,FALSE)</f>
        <v>0.94340000000000002</v>
      </c>
      <c r="E27" s="15" t="str">
        <f>VLOOKUP(Table2[[#This Row],[Company name]],Universe!$B$2:$G$1996,6,FALSE)</f>
        <v>LT</v>
      </c>
      <c r="F27" s="16">
        <f>_xlfn.FLOOR.MATH(Table2[[#This Row],[Current Value]]/Table2[[#This Row],[Current Price]])</f>
        <v>9</v>
      </c>
      <c r="G27" s="17">
        <v>105082</v>
      </c>
      <c r="H27" s="17">
        <v>116209.5</v>
      </c>
      <c r="I27" s="17">
        <v>11127.5</v>
      </c>
      <c r="J27" s="4">
        <v>0.106</v>
      </c>
      <c r="K27" s="4">
        <f>$B$5+Table2[[#This Row],[Beta]]*($B$14-$B$5)</f>
        <v>0.24898029826485724</v>
      </c>
      <c r="L27" s="4">
        <f>Table2[[#This Row],[Current Value]]/SUM(Table2[Current Value])</f>
        <v>7.2178170154212518E-2</v>
      </c>
      <c r="M27" s="4">
        <v>1.2964531368981849E-15</v>
      </c>
      <c r="N27" s="15">
        <f>VLOOKUP(Table2[[#This Row],[Company name]],Universe!$B$2:$G$1998,5,FALSE)</f>
        <v>12600.35</v>
      </c>
    </row>
    <row r="28" spans="1:14" x14ac:dyDescent="0.25">
      <c r="A28" t="s">
        <v>220</v>
      </c>
      <c r="B28" t="str">
        <f>VLOOKUP(Table2[[#This Row],[Company name]],Universe!$B$2:$G$1996,2,FALSE)</f>
        <v>Chemicals</v>
      </c>
      <c r="C28" t="str">
        <f>VLOOKUP(Table2[[#This Row],[Company name]],Universe!$B$2:$G$1996,3,FALSE)</f>
        <v>JUBLINGREA</v>
      </c>
      <c r="D28">
        <f>VLOOKUP(Table2[[#This Row],[Company name]],Universe!$B$2:$G$1996,4,FALSE)</f>
        <v>1.298</v>
      </c>
      <c r="E28" s="15" t="str">
        <f>VLOOKUP(Table2[[#This Row],[Company name]],Universe!$B$2:$G$1996,6,FALSE)</f>
        <v>AGG</v>
      </c>
      <c r="F28" s="16">
        <f>_xlfn.FLOOR.MATH(Table2[[#This Row],[Current Value]]/Table2[[#This Row],[Current Price]])</f>
        <v>217</v>
      </c>
      <c r="G28" s="17">
        <v>99676.05</v>
      </c>
      <c r="H28" s="17">
        <v>98395.9</v>
      </c>
      <c r="I28" s="17">
        <v>-765.15</v>
      </c>
      <c r="J28" s="4">
        <v>-8.0000000000000002E-3</v>
      </c>
      <c r="K28" s="4">
        <f>$B$5+Table2[[#This Row],[Beta]]*($B$14-$B$5)</f>
        <v>0.3161040779603399</v>
      </c>
      <c r="L28" s="4">
        <f>Table2[[#This Row],[Current Value]]/SUM(Table2[Current Value])</f>
        <v>6.1114074259650708E-2</v>
      </c>
      <c r="M28" s="4">
        <v>2.2645741756189652E-15</v>
      </c>
      <c r="N28" s="15">
        <f>VLOOKUP(Table2[[#This Row],[Company name]],Universe!$B$2:$G$1998,5,FALSE)</f>
        <v>452.7</v>
      </c>
    </row>
    <row r="29" spans="1:14" x14ac:dyDescent="0.25">
      <c r="A29" t="s">
        <v>78</v>
      </c>
      <c r="B29" t="str">
        <f>VLOOKUP(Table2[[#This Row],[Company name]],Universe!$B$2:$G$1996,2,FALSE)</f>
        <v>Renewable Energy</v>
      </c>
      <c r="C29" t="str">
        <f>VLOOKUP(Table2[[#This Row],[Company name]],Universe!$B$2:$G$1996,3,FALSE)</f>
        <v>BORORENEW</v>
      </c>
      <c r="D29">
        <f>VLOOKUP(Table2[[#This Row],[Company name]],Universe!$B$2:$G$1996,4,FALSE)</f>
        <v>2.1861999999999999</v>
      </c>
      <c r="E29" s="15" t="str">
        <f>VLOOKUP(Table2[[#This Row],[Company name]],Universe!$B$2:$G$1996,6,FALSE)</f>
        <v>AGG</v>
      </c>
      <c r="F29" s="16">
        <f>_xlfn.FLOOR.MATH(Table2[[#This Row],[Current Value]]/Table2[[#This Row],[Current Price]])</f>
        <v>182</v>
      </c>
      <c r="G29" s="17">
        <v>100488.9</v>
      </c>
      <c r="H29" s="17">
        <v>91056</v>
      </c>
      <c r="I29" s="17">
        <v>-9432.9</v>
      </c>
      <c r="J29" s="4">
        <v>-9.4E-2</v>
      </c>
      <c r="K29" s="4">
        <f>$B$5+Table2[[#This Row],[Beta]]*($B$14-$B$5)</f>
        <v>0.48423532760931826</v>
      </c>
      <c r="L29" s="4">
        <f>Table2[[#This Row],[Current Value]]/SUM(Table2[Current Value])</f>
        <v>5.6555233965914789E-2</v>
      </c>
      <c r="M29" s="4">
        <v>3.486643614882692E-15</v>
      </c>
      <c r="N29" s="15">
        <f>VLOOKUP(Table2[[#This Row],[Company name]],Universe!$B$2:$G$1998,5,FALSE)</f>
        <v>497.75</v>
      </c>
    </row>
    <row r="30" spans="1:14" x14ac:dyDescent="0.25">
      <c r="A30" t="s">
        <v>30</v>
      </c>
      <c r="B30" t="str">
        <f>VLOOKUP(Table2[[#This Row],[Company name]],Universe!$B$2:$G$1996,2,FALSE)</f>
        <v>Construction Materials</v>
      </c>
      <c r="C30" t="str">
        <f>VLOOKUP(Table2[[#This Row],[Company name]],Universe!$B$2:$G$1996,3,FALSE)</f>
        <v>AMBUJACEM</v>
      </c>
      <c r="D30">
        <f>VLOOKUP(Table2[[#This Row],[Company name]],Universe!$B$2:$G$1996,4,FALSE)</f>
        <v>0.71160000000000001</v>
      </c>
      <c r="E30" s="15" t="e">
        <f>VLOOKUP(Table2[[#This Row],[Company name]],Universe!$B$2:$G$1996,6,FALSE)</f>
        <v>#N/A</v>
      </c>
      <c r="F30" s="16">
        <f>_xlfn.FLOOR.MATH(Table2[[#This Row],[Current Value]]/Table2[[#This Row],[Current Price]])</f>
        <v>0</v>
      </c>
      <c r="G30" s="17">
        <v>0</v>
      </c>
      <c r="H30" s="17">
        <v>0</v>
      </c>
      <c r="I30" s="17">
        <v>9707.25</v>
      </c>
      <c r="J30" s="4">
        <v>0.21299999999999999</v>
      </c>
      <c r="K30" s="4">
        <f>$B$5+Table2[[#This Row],[Beta]]*($B$14-$B$5)</f>
        <v>0.20510186585252532</v>
      </c>
      <c r="L30" s="4">
        <f>Table2[[#This Row],[Current Value]]/SUM(Table2[Current Value])</f>
        <v>0</v>
      </c>
      <c r="M30" s="4"/>
      <c r="N30" s="15">
        <f>VLOOKUP(Table2[[#This Row],[Company name]],Universe!$B$2:$G$1998,5,FALSE)</f>
        <v>612.35</v>
      </c>
    </row>
    <row r="31" spans="1:14" x14ac:dyDescent="0.25">
      <c r="A31" t="s">
        <v>40</v>
      </c>
      <c r="B31" t="str">
        <f>VLOOKUP(Table2[[#This Row],[Company name]],Universe!$B$2:$G$1996,2,FALSE)</f>
        <v>Chemicals</v>
      </c>
      <c r="C31" t="str">
        <f>VLOOKUP(Table2[[#This Row],[Company name]],Universe!$B$2:$G$1996,3,FALSE)</f>
        <v>ASIANPAINT</v>
      </c>
      <c r="D31">
        <f>VLOOKUP(Table2[[#This Row],[Company name]],Universe!$B$2:$G$1996,4,FALSE)</f>
        <v>0.63429999999999997</v>
      </c>
      <c r="E31" s="15" t="str">
        <f>VLOOKUP(Table2[[#This Row],[Company name]],Universe!$B$2:$G$1996,6,FALSE)</f>
        <v>LT</v>
      </c>
      <c r="F31" s="16">
        <f>_xlfn.FLOOR.MATH(Table2[[#This Row],[Current Value]]/Table2[[#This Row],[Current Price]])</f>
        <v>0</v>
      </c>
      <c r="G31" s="17">
        <v>0</v>
      </c>
      <c r="H31" s="17">
        <v>0</v>
      </c>
      <c r="I31" s="17">
        <v>9433.2000000000007</v>
      </c>
      <c r="J31" s="4">
        <v>0.13800000000000001</v>
      </c>
      <c r="K31" s="4">
        <f>$B$5+Table2[[#This Row],[Beta]]*($B$14-$B$5)</f>
        <v>0.19046941190311525</v>
      </c>
      <c r="L31" s="4">
        <f>Table2[[#This Row],[Current Value]]/SUM(Table2[Current Value])</f>
        <v>0</v>
      </c>
      <c r="M31" s="4"/>
      <c r="N31" s="15">
        <f>VLOOKUP(Table2[[#This Row],[Company name]],Universe!$B$2:$G$1998,5,FALSE)</f>
        <v>2846.75</v>
      </c>
    </row>
    <row r="32" spans="1:14" x14ac:dyDescent="0.25">
      <c r="A32" t="s">
        <v>67</v>
      </c>
      <c r="B32" t="str">
        <f>VLOOKUP(Table2[[#This Row],[Company name]],Universe!$B$2:$G$1996,2,FALSE)</f>
        <v>Oil &amp; Gas</v>
      </c>
      <c r="C32" t="str">
        <f>VLOOKUP(Table2[[#This Row],[Company name]],Universe!$B$2:$G$1996,3,FALSE)</f>
        <v>BPCL</v>
      </c>
      <c r="D32">
        <f>VLOOKUP(Table2[[#This Row],[Company name]],Universe!$B$2:$G$1996,4,FALSE)</f>
        <v>1.2001999999999999</v>
      </c>
      <c r="E32" s="15" t="str">
        <f>VLOOKUP(Table2[[#This Row],[Company name]],Universe!$B$2:$G$1996,6,FALSE)</f>
        <v>LT</v>
      </c>
      <c r="F32" s="16">
        <f>_xlfn.FLOOR.MATH(Table2[[#This Row],[Current Value]]/Table2[[#This Row],[Current Price]])</f>
        <v>0</v>
      </c>
      <c r="G32" s="17">
        <v>0</v>
      </c>
      <c r="H32" s="17">
        <v>0</v>
      </c>
      <c r="I32" s="17">
        <v>23650.799999999999</v>
      </c>
      <c r="J32" s="4">
        <v>0.11799999999999999</v>
      </c>
      <c r="K32" s="4">
        <f>$B$5+Table2[[#This Row],[Beta]]*($B$14-$B$5)</f>
        <v>0.29759108965177189</v>
      </c>
      <c r="L32" s="4">
        <f>Table2[[#This Row],[Current Value]]/SUM(Table2[Current Value])</f>
        <v>0</v>
      </c>
      <c r="M32" s="4"/>
      <c r="N32" s="15">
        <f>VLOOKUP(Table2[[#This Row],[Company name]],Universe!$B$2:$G$1998,5,FALSE)</f>
        <v>602.4</v>
      </c>
    </row>
    <row r="33" spans="1:14" x14ac:dyDescent="0.25">
      <c r="A33" t="s">
        <v>75</v>
      </c>
      <c r="B33" t="str">
        <f>VLOOKUP(Table2[[#This Row],[Company name]],Universe!$B$2:$G$1996,2,FALSE)</f>
        <v>Software &amp; IT Services</v>
      </c>
      <c r="C33" t="str">
        <f>VLOOKUP(Table2[[#This Row],[Company name]],Universe!$B$2:$G$1996,3,FALSE)</f>
        <v>BSOFT</v>
      </c>
      <c r="D33">
        <f>VLOOKUP(Table2[[#This Row],[Company name]],Universe!$B$2:$G$1996,4,FALSE)</f>
        <v>1.2115</v>
      </c>
      <c r="E33" s="15" t="e">
        <f>VLOOKUP(Table2[[#This Row],[Company name]],Universe!$B$2:$G$1996,6,FALSE)</f>
        <v>#N/A</v>
      </c>
      <c r="F33" s="16">
        <f>_xlfn.FLOOR.MATH(Table2[[#This Row],[Current Value]]/Table2[[#This Row],[Current Price]])</f>
        <v>0</v>
      </c>
      <c r="G33" s="17">
        <v>0</v>
      </c>
      <c r="H33" s="17">
        <v>0</v>
      </c>
      <c r="I33" s="17">
        <v>15331.4</v>
      </c>
      <c r="J33" s="4">
        <v>0.23799999999999999</v>
      </c>
      <c r="K33" s="4">
        <f>$B$5+Table2[[#This Row],[Beta]]*($B$14-$B$5)</f>
        <v>0.29973011590828336</v>
      </c>
      <c r="L33" s="4">
        <f>Table2[[#This Row],[Current Value]]/SUM(Table2[Current Value])</f>
        <v>0</v>
      </c>
      <c r="M33" s="4"/>
      <c r="N33" s="15">
        <f>VLOOKUP(Table2[[#This Row],[Company name]],Universe!$B$2:$G$1998,5,FALSE)</f>
        <v>742</v>
      </c>
    </row>
    <row r="34" spans="1:14" x14ac:dyDescent="0.25">
      <c r="A34" t="s">
        <v>85</v>
      </c>
      <c r="B34" t="str">
        <f>VLOOKUP(Table2[[#This Row],[Company name]],Universe!$B$2:$G$1996,2,FALSE)</f>
        <v>Automobiles &amp; Auto Parts</v>
      </c>
      <c r="C34" t="str">
        <f>VLOOKUP(Table2[[#This Row],[Company name]],Universe!$B$2:$G$1996,3,FALSE)</f>
        <v>CEATLTD</v>
      </c>
      <c r="D34">
        <f>VLOOKUP(Table2[[#This Row],[Company name]],Universe!$B$2:$G$1996,4,FALSE)</f>
        <v>0.71779999999999999</v>
      </c>
      <c r="E34" s="15" t="str">
        <f>VLOOKUP(Table2[[#This Row],[Company name]],Universe!$B$2:$G$1996,6,FALSE)</f>
        <v>AGG</v>
      </c>
      <c r="F34" s="16">
        <f>_xlfn.FLOOR.MATH(Table2[[#This Row],[Current Value]]/Table2[[#This Row],[Current Price]])</f>
        <v>0</v>
      </c>
      <c r="G34" s="17">
        <v>0</v>
      </c>
      <c r="H34" s="17">
        <v>0</v>
      </c>
      <c r="I34" s="17">
        <v>-1128.75</v>
      </c>
      <c r="J34" s="4">
        <v>-1.0999999999999999E-2</v>
      </c>
      <c r="K34" s="4">
        <f>$B$5+Table2[[#This Row],[Beta]]*($B$14-$B$5)</f>
        <v>0.20627549087822189</v>
      </c>
      <c r="L34" s="4">
        <f>Table2[[#This Row],[Current Value]]/SUM(Table2[Current Value])</f>
        <v>0</v>
      </c>
      <c r="M34" s="4"/>
      <c r="N34" s="15">
        <f>VLOOKUP(Table2[[#This Row],[Company name]],Universe!$B$2:$G$1998,5,FALSE)</f>
        <v>2682.4</v>
      </c>
    </row>
    <row r="35" spans="1:14" x14ac:dyDescent="0.25">
      <c r="A35" t="s">
        <v>125</v>
      </c>
      <c r="B35" t="str">
        <f>VLOOKUP(Table2[[#This Row],[Company name]],Universe!$B$2:$G$1996,2,FALSE)</f>
        <v>Healthcare Providers &amp; Services</v>
      </c>
      <c r="C35" t="str">
        <f>VLOOKUP(Table2[[#This Row],[Company name]],Universe!$B$2:$G$1996,3,FALSE)</f>
        <v>FORTIS</v>
      </c>
      <c r="D35">
        <f>VLOOKUP(Table2[[#This Row],[Company name]],Universe!$B$2:$G$1996,4,FALSE)</f>
        <v>0.89410000000000001</v>
      </c>
      <c r="E35" s="15" t="str">
        <f>VLOOKUP(Table2[[#This Row],[Company name]],Universe!$B$2:$G$1996,6,FALSE)</f>
        <v>AGG</v>
      </c>
      <c r="F35" s="16">
        <f>_xlfn.FLOOR.MATH(Table2[[#This Row],[Current Value]]/Table2[[#This Row],[Current Price]])</f>
        <v>0</v>
      </c>
      <c r="G35" s="17">
        <v>0</v>
      </c>
      <c r="H35" s="17">
        <v>0</v>
      </c>
      <c r="I35" s="17">
        <v>12502.8</v>
      </c>
      <c r="J35" s="4">
        <v>8.3000000000000004E-2</v>
      </c>
      <c r="K35" s="4">
        <f>$B$5+Table2[[#This Row],[Beta]]*($B$14-$B$5)</f>
        <v>0.23964808636697987</v>
      </c>
      <c r="L35" s="4">
        <f>Table2[[#This Row],[Current Value]]/SUM(Table2[Current Value])</f>
        <v>0</v>
      </c>
      <c r="M35" s="4"/>
      <c r="N35" s="15">
        <f>VLOOKUP(Table2[[#This Row],[Company name]],Universe!$B$2:$G$1998,5,FALSE)</f>
        <v>420.2</v>
      </c>
    </row>
    <row r="36" spans="1:14" x14ac:dyDescent="0.25">
      <c r="A36" t="s">
        <v>215</v>
      </c>
      <c r="B36" t="str">
        <f>VLOOKUP(Table2[[#This Row],[Company name]],Universe!$B$2:$G$1996,2,FALSE)</f>
        <v>Investment Banking &amp; Investment Services</v>
      </c>
      <c r="C36" t="str">
        <f>VLOOKUP(Table2[[#This Row],[Company name]],Universe!$B$2:$G$1996,3,FALSE)</f>
        <v>JIOFIN</v>
      </c>
      <c r="D36">
        <f>VLOOKUP(Table2[[#This Row],[Company name]],Universe!$B$2:$G$1996,4,FALSE)</f>
        <v>0.70399999999999996</v>
      </c>
      <c r="E36" s="15" t="str">
        <f>VLOOKUP(Table2[[#This Row],[Company name]],Universe!$B$2:$G$1996,6,FALSE)</f>
        <v>AGG</v>
      </c>
      <c r="F36" s="16">
        <f>_xlfn.FLOOR.MATH(Table2[[#This Row],[Current Value]]/Table2[[#This Row],[Current Price]])</f>
        <v>0</v>
      </c>
      <c r="G36" s="17">
        <v>0</v>
      </c>
      <c r="H36" s="17">
        <v>0</v>
      </c>
      <c r="I36" s="17">
        <v>1500.15</v>
      </c>
      <c r="J36" s="4">
        <v>1.06</v>
      </c>
      <c r="K36" s="4">
        <f>$B$5+Table2[[#This Row],[Beta]]*($B$14-$B$5)</f>
        <v>0.20366322872425213</v>
      </c>
      <c r="L36" s="4">
        <f>Table2[[#This Row],[Current Value]]/SUM(Table2[Current Value])</f>
        <v>0</v>
      </c>
      <c r="M36" s="4"/>
      <c r="N36" s="15">
        <f>VLOOKUP(Table2[[#This Row],[Company name]],Universe!$B$2:$G$1998,5,FALSE)</f>
        <v>353.75</v>
      </c>
    </row>
    <row r="37" spans="1:14" x14ac:dyDescent="0.25">
      <c r="A37" t="s">
        <v>240</v>
      </c>
      <c r="B37" t="str">
        <f>VLOOKUP(Table2[[#This Row],[Company name]],Universe!$B$2:$G$1996,2,FALSE)</f>
        <v>Automobiles &amp; Auto Parts</v>
      </c>
      <c r="C37" t="str">
        <f>VLOOKUP(Table2[[#This Row],[Company name]],Universe!$B$2:$G$1996,3,FALSE)</f>
        <v>M&amp;M</v>
      </c>
      <c r="D37">
        <f>VLOOKUP(Table2[[#This Row],[Company name]],Universe!$B$2:$G$1996,4,FALSE)</f>
        <v>1.3189</v>
      </c>
      <c r="E37" s="15" t="str">
        <f>VLOOKUP(Table2[[#This Row],[Company name]],Universe!$B$2:$G$1996,6,FALSE)</f>
        <v>LT</v>
      </c>
      <c r="F37" s="16">
        <f>_xlfn.FLOOR.MATH(Table2[[#This Row],[Current Value]]/Table2[[#This Row],[Current Price]])</f>
        <v>0</v>
      </c>
      <c r="G37" s="17">
        <v>0</v>
      </c>
      <c r="H37" s="17">
        <v>0</v>
      </c>
      <c r="I37" s="17">
        <v>1236.25</v>
      </c>
      <c r="J37" s="4">
        <v>4.2000000000000003E-2</v>
      </c>
      <c r="K37" s="4">
        <f>$B$5+Table2[[#This Row],[Beta]]*($B$14-$B$5)</f>
        <v>0.32006033006309115</v>
      </c>
      <c r="L37" s="4">
        <f>Table2[[#This Row],[Current Value]]/SUM(Table2[Current Value])</f>
        <v>0</v>
      </c>
      <c r="M37" s="4"/>
      <c r="N37" s="15">
        <f>VLOOKUP(Table2[[#This Row],[Company name]],Universe!$B$2:$G$1998,5,FALSE)</f>
        <v>1921.35</v>
      </c>
    </row>
    <row r="38" spans="1:14" x14ac:dyDescent="0.25">
      <c r="A38" t="s">
        <v>243</v>
      </c>
      <c r="B38" t="str">
        <f>VLOOKUP(Table2[[#This Row],[Company name]],Universe!$B$2:$G$1996,2,FALSE)</f>
        <v>Construction &amp; Engineering</v>
      </c>
      <c r="C38" t="str">
        <f>VLOOKUP(Table2[[#This Row],[Company name]],Universe!$B$2:$G$1996,3,FALSE)</f>
        <v>MANINFRA</v>
      </c>
      <c r="D38">
        <f>VLOOKUP(Table2[[#This Row],[Company name]],Universe!$B$2:$G$1996,4,FALSE)</f>
        <v>1.5072000000000001</v>
      </c>
      <c r="E38" s="15" t="e">
        <f>VLOOKUP(Table2[[#This Row],[Company name]],Universe!$B$2:$G$1996,6,FALSE)</f>
        <v>#N/A</v>
      </c>
      <c r="F38" s="16">
        <f>_xlfn.FLOOR.MATH(Table2[[#This Row],[Current Value]]/Table2[[#This Row],[Current Price]])</f>
        <v>0</v>
      </c>
      <c r="G38" s="17">
        <v>0</v>
      </c>
      <c r="H38" s="17">
        <v>0</v>
      </c>
      <c r="I38" s="17">
        <v>21093.35</v>
      </c>
      <c r="J38" s="4">
        <v>0.21099999999999999</v>
      </c>
      <c r="K38" s="4">
        <f>$B$5+Table2[[#This Row],[Beta]]*($B$14-$B$5)</f>
        <v>0.35570445785964894</v>
      </c>
      <c r="L38" s="4">
        <f>Table2[[#This Row],[Current Value]]/SUM(Table2[Current Value])</f>
        <v>0</v>
      </c>
      <c r="M38" s="4"/>
      <c r="N38" s="15">
        <f>VLOOKUP(Table2[[#This Row],[Company name]],Universe!$B$2:$G$1998,5,FALSE)</f>
        <v>204.35</v>
      </c>
    </row>
    <row r="39" spans="1:14" x14ac:dyDescent="0.25">
      <c r="A39" t="s">
        <v>280</v>
      </c>
      <c r="B39" t="str">
        <f>VLOOKUP(Table2[[#This Row],[Company name]],Universe!$B$2:$G$1996,2,FALSE)</f>
        <v>Chemicals</v>
      </c>
      <c r="C39" t="str">
        <f>VLOOKUP(Table2[[#This Row],[Company name]],Universe!$B$2:$G$1996,3,FALSE)</f>
        <v>PARADEEP</v>
      </c>
      <c r="D39">
        <f>VLOOKUP(Table2[[#This Row],[Company name]],Universe!$B$2:$G$1996,4,FALSE)</f>
        <v>0.80400000000000005</v>
      </c>
      <c r="E39" s="15" t="str">
        <f>VLOOKUP(Table2[[#This Row],[Company name]],Universe!$B$2:$G$1996,6,FALSE)</f>
        <v>AGG</v>
      </c>
      <c r="F39" s="16">
        <f>_xlfn.FLOOR.MATH(Table2[[#This Row],[Current Value]]/Table2[[#This Row],[Current Price]])</f>
        <v>0</v>
      </c>
      <c r="G39" s="17">
        <v>0</v>
      </c>
      <c r="H39" s="17">
        <v>0</v>
      </c>
      <c r="I39" s="17">
        <v>17374.900000000001</v>
      </c>
      <c r="J39" s="4">
        <v>0.17299999999999999</v>
      </c>
      <c r="K39" s="4">
        <f>$B$5+Table2[[#This Row],[Beta]]*($B$14-$B$5)</f>
        <v>0.22259266462258342</v>
      </c>
      <c r="L39" s="4">
        <f>Table2[[#This Row],[Current Value]]/SUM(Table2[Current Value])</f>
        <v>0</v>
      </c>
      <c r="M39" s="4"/>
      <c r="N39" s="15">
        <f>VLOOKUP(Table2[[#This Row],[Company name]],Universe!$B$2:$G$1998,5,FALSE)</f>
        <v>66.400000000000006</v>
      </c>
    </row>
    <row r="40" spans="1:14" x14ac:dyDescent="0.25">
      <c r="A40" t="s">
        <v>285</v>
      </c>
      <c r="B40" t="str">
        <f>VLOOKUP(Table2[[#This Row],[Company name]],Universe!$B$2:$G$1996,2,FALSE)</f>
        <v>Chemicals</v>
      </c>
      <c r="C40" t="str">
        <f>VLOOKUP(Table2[[#This Row],[Company name]],Universe!$B$2:$G$1996,3,FALSE)</f>
        <v>PIDILITIND</v>
      </c>
      <c r="D40">
        <f>VLOOKUP(Table2[[#This Row],[Company name]],Universe!$B$2:$G$1996,4,FALSE)</f>
        <v>0.59519999999999995</v>
      </c>
      <c r="E40" s="15" t="e">
        <f>VLOOKUP(Table2[[#This Row],[Company name]],Universe!$B$2:$G$1996,6,FALSE)</f>
        <v>#N/A</v>
      </c>
      <c r="F40" s="16">
        <f>_xlfn.FLOOR.MATH(Table2[[#This Row],[Current Value]]/Table2[[#This Row],[Current Price]])</f>
        <v>0</v>
      </c>
      <c r="G40" s="17">
        <v>0</v>
      </c>
      <c r="H40" s="17">
        <v>0</v>
      </c>
      <c r="I40" s="17">
        <v>9978.2999999999993</v>
      </c>
      <c r="J40" s="4">
        <v>0.10100000000000001</v>
      </c>
      <c r="K40" s="4">
        <f>$B$5+Table2[[#This Row],[Beta]]*($B$14-$B$5)</f>
        <v>0.18306800246686772</v>
      </c>
      <c r="L40" s="4">
        <f>Table2[[#This Row],[Current Value]]/SUM(Table2[Current Value])</f>
        <v>0</v>
      </c>
      <c r="M40" s="4"/>
      <c r="N40" s="15">
        <f>VLOOKUP(Table2[[#This Row],[Company name]],Universe!$B$2:$G$1998,5,FALSE)</f>
        <v>3014.7</v>
      </c>
    </row>
    <row r="41" spans="1:14" x14ac:dyDescent="0.25">
      <c r="A41" t="s">
        <v>311</v>
      </c>
      <c r="B41" t="str">
        <f>VLOOKUP(Table2[[#This Row],[Company name]],Universe!$B$2:$G$1996,2,FALSE)</f>
        <v>Textiles &amp; Apparel</v>
      </c>
      <c r="C41" t="str">
        <f>VLOOKUP(Table2[[#This Row],[Company name]],Universe!$B$2:$G$1996,3,FALSE)</f>
        <v>RAYMOND</v>
      </c>
      <c r="D41">
        <f>VLOOKUP(Table2[[#This Row],[Company name]],Universe!$B$2:$G$1996,4,FALSE)</f>
        <v>1.3877999999999999</v>
      </c>
      <c r="E41" s="15" t="str">
        <f>VLOOKUP(Table2[[#This Row],[Company name]],Universe!$B$2:$G$1996,6,FALSE)</f>
        <v>AGG</v>
      </c>
      <c r="F41" s="16">
        <f>_xlfn.FLOOR.MATH(Table2[[#This Row],[Current Value]]/Table2[[#This Row],[Current Price]])</f>
        <v>0</v>
      </c>
      <c r="G41" s="17">
        <v>0</v>
      </c>
      <c r="H41" s="17">
        <v>0</v>
      </c>
      <c r="I41" s="17">
        <v>7610.55</v>
      </c>
      <c r="J41" s="4">
        <v>0.10199999999999999</v>
      </c>
      <c r="K41" s="4">
        <f>$B$5+Table2[[#This Row],[Beta]]*($B$14-$B$5)</f>
        <v>0.3331027113970414</v>
      </c>
      <c r="L41" s="4">
        <f>Table2[[#This Row],[Current Value]]/SUM(Table2[Current Value])</f>
        <v>0</v>
      </c>
      <c r="M41" s="4"/>
      <c r="N41" s="15">
        <f>VLOOKUP(Table2[[#This Row],[Company name]],Universe!$B$2:$G$1998,5,FALSE)</f>
        <v>1808.3</v>
      </c>
    </row>
    <row r="42" spans="1:14" x14ac:dyDescent="0.25">
      <c r="A42" t="s">
        <v>313</v>
      </c>
      <c r="B42" t="str">
        <f>VLOOKUP(Table2[[#This Row],[Company name]],Universe!$B$2:$G$1996,2,FALSE)</f>
        <v>Oil &amp; Gas</v>
      </c>
      <c r="C42" t="str">
        <f>VLOOKUP(Table2[[#This Row],[Company name]],Universe!$B$2:$G$1996,3,FALSE)</f>
        <v>RELIANCE</v>
      </c>
      <c r="D42">
        <f>VLOOKUP(Table2[[#This Row],[Company name]],Universe!$B$2:$G$1996,4,FALSE)</f>
        <v>1.0075000000000001</v>
      </c>
      <c r="E42" s="15" t="str">
        <f>VLOOKUP(Table2[[#This Row],[Company name]],Universe!$B$2:$G$1996,6,FALSE)</f>
        <v>LT</v>
      </c>
      <c r="F42" s="16">
        <f>_xlfn.FLOOR.MATH(Table2[[#This Row],[Current Value]]/Table2[[#This Row],[Current Price]])</f>
        <v>0</v>
      </c>
      <c r="G42" s="17">
        <v>0</v>
      </c>
      <c r="H42" s="17">
        <v>0</v>
      </c>
      <c r="I42" s="17">
        <v>1750.5</v>
      </c>
      <c r="J42" s="4">
        <v>5.7000000000000002E-2</v>
      </c>
      <c r="K42" s="4">
        <f>$B$5+Table2[[#This Row],[Beta]]*($B$14-$B$5)</f>
        <v>0.26111406667568754</v>
      </c>
      <c r="L42" s="4">
        <f>Table2[[#This Row],[Current Value]]/SUM(Table2[Current Value])</f>
        <v>0</v>
      </c>
      <c r="M42" s="4"/>
      <c r="N42" s="15">
        <f>VLOOKUP(Table2[[#This Row],[Company name]],Universe!$B$2:$G$1998,5,FALSE)</f>
        <v>2971.7</v>
      </c>
    </row>
    <row r="43" spans="1:14" x14ac:dyDescent="0.25">
      <c r="A43" t="s">
        <v>324</v>
      </c>
      <c r="B43" t="str">
        <f>VLOOKUP(Table2[[#This Row],[Company name]],Universe!$B$2:$G$1996,2,FALSE)</f>
        <v>Metals &amp; Mining</v>
      </c>
      <c r="C43" t="str">
        <f>VLOOKUP(Table2[[#This Row],[Company name]],Universe!$B$2:$G$1996,3,FALSE)</f>
        <v>SHYAMMETL</v>
      </c>
      <c r="D43">
        <f>VLOOKUP(Table2[[#This Row],[Company name]],Universe!$B$2:$G$1996,4,FALSE)</f>
        <v>0.878</v>
      </c>
      <c r="E43" s="15" t="str">
        <f>VLOOKUP(Table2[[#This Row],[Company name]],Universe!$B$2:$G$1996,6,FALSE)</f>
        <v>AGG</v>
      </c>
      <c r="F43" s="16">
        <f>_xlfn.FLOOR.MATH(Table2[[#This Row],[Current Value]]/Table2[[#This Row],[Current Price]])</f>
        <v>0</v>
      </c>
      <c r="G43" s="17">
        <v>0</v>
      </c>
      <c r="H43" s="17">
        <v>0</v>
      </c>
      <c r="I43" s="17">
        <v>-613.85</v>
      </c>
      <c r="J43" s="4">
        <v>-6.0000000000000001E-3</v>
      </c>
      <c r="K43" s="4">
        <f>$B$5+Table2[[#This Row],[Beta]]*($B$14-$B$5)</f>
        <v>0.23660044718734857</v>
      </c>
      <c r="L43" s="4">
        <f>Table2[[#This Row],[Current Value]]/SUM(Table2[Current Value])</f>
        <v>0</v>
      </c>
      <c r="M43" s="4"/>
      <c r="N43" s="15">
        <f>VLOOKUP(Table2[[#This Row],[Company name]],Universe!$B$2:$G$1998,5,FALSE)</f>
        <v>591.35</v>
      </c>
    </row>
    <row r="44" spans="1:14" x14ac:dyDescent="0.25">
      <c r="A44" t="s">
        <v>341</v>
      </c>
      <c r="B44" t="str">
        <f>VLOOKUP(Table2[[#This Row],[Company name]],Universe!$B$2:$G$1996,2,FALSE)</f>
        <v>Metals &amp; Mining</v>
      </c>
      <c r="C44" t="str">
        <f>VLOOKUP(Table2[[#This Row],[Company name]],Universe!$B$2:$G$1996,3,FALSE)</f>
        <v>TATASTEEL</v>
      </c>
      <c r="D44">
        <f>VLOOKUP(Table2[[#This Row],[Company name]],Universe!$B$2:$G$1996,4,FALSE)</f>
        <v>1.5045999999999999</v>
      </c>
      <c r="E44" s="15" t="str">
        <f>VLOOKUP(Table2[[#This Row],[Company name]],Universe!$B$2:$G$1996,6,FALSE)</f>
        <v>LT</v>
      </c>
      <c r="F44" s="16">
        <f>_xlfn.FLOOR.MATH(Table2[[#This Row],[Current Value]]/Table2[[#This Row],[Current Price]])</f>
        <v>0</v>
      </c>
      <c r="G44" s="17">
        <v>0</v>
      </c>
      <c r="H44" s="17">
        <v>0</v>
      </c>
      <c r="I44" s="17">
        <v>0</v>
      </c>
      <c r="J44" s="4">
        <v>0</v>
      </c>
      <c r="K44" s="4">
        <f>$B$5+Table2[[#This Row],[Beta]]*($B$14-$B$5)</f>
        <v>0.35521229252629233</v>
      </c>
      <c r="L44" s="4">
        <f>Table2[[#This Row],[Current Value]]/SUM(Table2[Current Value])</f>
        <v>0</v>
      </c>
      <c r="M44" s="4"/>
      <c r="N44" s="15">
        <f>VLOOKUP(Table2[[#This Row],[Company name]],Universe!$B$2:$G$1998,5,FALSE)</f>
        <v>155.85</v>
      </c>
    </row>
    <row r="45" spans="1:14" x14ac:dyDescent="0.25">
      <c r="A45" t="s">
        <v>345</v>
      </c>
      <c r="B45" t="str">
        <f>VLOOKUP(Table2[[#This Row],[Company name]],Universe!$B$2:$G$1996,2,FALSE)</f>
        <v>Software &amp; IT Services</v>
      </c>
      <c r="C45" t="str">
        <f>VLOOKUP(Table2[[#This Row],[Company name]],Universe!$B$2:$G$1996,3,FALSE)</f>
        <v>TECHM</v>
      </c>
      <c r="D45">
        <f>VLOOKUP(Table2[[#This Row],[Company name]],Universe!$B$2:$G$1996,4,FALSE)</f>
        <v>0.9284</v>
      </c>
      <c r="E45" s="15" t="str">
        <f>VLOOKUP(Table2[[#This Row],[Company name]],Universe!$B$2:$G$1996,6,FALSE)</f>
        <v>LT</v>
      </c>
      <c r="F45" s="16">
        <f>_xlfn.FLOOR.MATH(Table2[[#This Row],[Current Value]]/Table2[[#This Row],[Current Price]])</f>
        <v>0</v>
      </c>
      <c r="G45" s="17">
        <v>0</v>
      </c>
      <c r="H45" s="17">
        <v>0</v>
      </c>
      <c r="I45" s="17">
        <v>5005</v>
      </c>
      <c r="J45" s="4">
        <v>8.1000000000000003E-2</v>
      </c>
      <c r="K45" s="4">
        <f>$B$5+Table2[[#This Row],[Beta]]*($B$14-$B$5)</f>
        <v>0.24614088288010755</v>
      </c>
      <c r="L45" s="4">
        <f>Table2[[#This Row],[Current Value]]/SUM(Table2[Current Value])</f>
        <v>0</v>
      </c>
      <c r="M45" s="4"/>
      <c r="N45" s="15">
        <f>VLOOKUP(Table2[[#This Row],[Company name]],Universe!$B$2:$G$1998,5,FALSE)</f>
        <v>1248.0999999999999</v>
      </c>
    </row>
    <row r="46" spans="1:14" x14ac:dyDescent="0.25">
      <c r="A46" t="s">
        <v>352</v>
      </c>
      <c r="B46" t="str">
        <f>VLOOKUP(Table2[[#This Row],[Company name]],Universe!$B$2:$G$1996,2,FALSE)</f>
        <v>Hotels &amp; Entertainment Services</v>
      </c>
      <c r="C46" t="str">
        <f>VLOOKUP(Table2[[#This Row],[Company name]],Universe!$B$2:$G$1996,3,FALSE)</f>
        <v>INDHOTEL</v>
      </c>
      <c r="D46">
        <f>VLOOKUP(Table2[[#This Row],[Company name]],Universe!$B$2:$G$1996,4,FALSE)</f>
        <v>1.2199</v>
      </c>
      <c r="E46" s="15" t="e">
        <f>VLOOKUP(Table2[[#This Row],[Company name]],Universe!$B$2:$G$1996,6,FALSE)</f>
        <v>#N/A</v>
      </c>
      <c r="F46" s="16">
        <f>_xlfn.FLOOR.MATH(Table2[[#This Row],[Current Value]]/Table2[[#This Row],[Current Price]])</f>
        <v>0</v>
      </c>
      <c r="G46" s="17">
        <v>0</v>
      </c>
      <c r="H46" s="17">
        <v>0</v>
      </c>
      <c r="I46" s="17">
        <v>7391</v>
      </c>
      <c r="J46" s="4">
        <v>0.247</v>
      </c>
      <c r="K46" s="4">
        <f>$B$5+Table2[[#This Row],[Beta]]*($B$14-$B$5)</f>
        <v>0.30132018852374315</v>
      </c>
      <c r="L46" s="4">
        <f>Table2[[#This Row],[Current Value]]/SUM(Table2[Current Value])</f>
        <v>0</v>
      </c>
      <c r="M46" s="4"/>
      <c r="N46" s="15">
        <f>VLOOKUP(Table2[[#This Row],[Company name]],Universe!$B$2:$G$1998,5,FALSE)</f>
        <v>591.15</v>
      </c>
    </row>
    <row r="47" spans="1:14" x14ac:dyDescent="0.25">
      <c r="A47" t="s">
        <v>355</v>
      </c>
      <c r="B47" t="str">
        <f>VLOOKUP(Table2[[#This Row],[Company name]],Universe!$B$2:$G$1996,2,FALSE)</f>
        <v>Textiles &amp; Apparel</v>
      </c>
      <c r="C47" t="str">
        <f>VLOOKUP(Table2[[#This Row],[Company name]],Universe!$B$2:$G$1996,3,FALSE)</f>
        <v>TITAN</v>
      </c>
      <c r="D47">
        <f>VLOOKUP(Table2[[#This Row],[Company name]],Universe!$B$2:$G$1996,4,FALSE)</f>
        <v>1.0620000000000001</v>
      </c>
      <c r="E47" s="15" t="str">
        <f>VLOOKUP(Table2[[#This Row],[Company name]],Universe!$B$2:$G$1996,6,FALSE)</f>
        <v>LT</v>
      </c>
      <c r="F47" s="16">
        <f>_xlfn.FLOOR.MATH(Table2[[#This Row],[Current Value]]/Table2[[#This Row],[Current Price]])</f>
        <v>0</v>
      </c>
      <c r="G47" s="17">
        <v>0</v>
      </c>
      <c r="H47" s="17">
        <v>0</v>
      </c>
      <c r="I47" s="17">
        <v>25289.4</v>
      </c>
      <c r="J47" s="4">
        <v>0.16600000000000001</v>
      </c>
      <c r="K47" s="4">
        <f>$B$5+Table2[[#This Row],[Beta]]*($B$14-$B$5)</f>
        <v>0.27143060924027812</v>
      </c>
      <c r="L47" s="4">
        <f>Table2[[#This Row],[Current Value]]/SUM(Table2[Current Value])</f>
        <v>0</v>
      </c>
      <c r="M47" s="4"/>
      <c r="N47" s="15">
        <f>VLOOKUP(Table2[[#This Row],[Company name]],Universe!$B$2:$G$1998,5,FALSE)</f>
        <v>3801.8</v>
      </c>
    </row>
    <row r="48" spans="1:14" x14ac:dyDescent="0.25">
      <c r="A48" t="s">
        <v>374</v>
      </c>
      <c r="B48" t="str">
        <f>VLOOKUP(Table2[[#This Row],[Company name]],Universe!$B$2:$G$1996,2,FALSE)</f>
        <v>Software &amp; IT Services</v>
      </c>
      <c r="C48" t="str">
        <f>VLOOKUP(Table2[[#This Row],[Company name]],Universe!$B$2:$G$1996,3,FALSE)</f>
        <v>ZOMATO</v>
      </c>
      <c r="D48">
        <f>VLOOKUP(Table2[[#This Row],[Company name]],Universe!$B$2:$G$1996,4,FALSE)</f>
        <v>1.45</v>
      </c>
      <c r="E48" s="15" t="e">
        <f>VLOOKUP(Table2[[#This Row],[Company name]],Universe!$B$2:$G$1996,6,FALSE)</f>
        <v>#N/A</v>
      </c>
      <c r="F48" s="16">
        <f>_xlfn.FLOOR.MATH(Table2[[#This Row],[Current Value]]/Table2[[#This Row],[Current Price]])</f>
        <v>0</v>
      </c>
      <c r="G48" s="17">
        <v>0</v>
      </c>
      <c r="H48" s="17">
        <v>0</v>
      </c>
      <c r="I48" s="17">
        <v>34295.300000000003</v>
      </c>
      <c r="J48" s="4">
        <v>0.64900000000000002</v>
      </c>
      <c r="K48" s="4">
        <f>$B$5+Table2[[#This Row],[Beta]]*($B$14-$B$5)</f>
        <v>0.34487682052580343</v>
      </c>
      <c r="L48" s="4">
        <f>Table2[[#This Row],[Current Value]]/SUM(Table2[Current Value])</f>
        <v>0</v>
      </c>
      <c r="M48" s="4"/>
      <c r="N48" s="15">
        <f>VLOOKUP(Table2[[#This Row],[Company name]],Universe!$B$2:$G$1998,5,FALSE)</f>
        <v>182.1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6"/>
  <sheetViews>
    <sheetView zoomScale="99" zoomScaleNormal="73" workbookViewId="0">
      <selection activeCell="B1" sqref="B1"/>
    </sheetView>
  </sheetViews>
  <sheetFormatPr defaultRowHeight="15" x14ac:dyDescent="0.25"/>
  <cols>
    <col min="1" max="1" width="45.7109375" bestFit="1" customWidth="1"/>
    <col min="2" max="2" width="41" bestFit="1" customWidth="1"/>
    <col min="3" max="3" width="14.42578125" bestFit="1" customWidth="1"/>
    <col min="4" max="4" width="8" bestFit="1" customWidth="1"/>
    <col min="5" max="5" width="11.85546875" bestFit="1" customWidth="1"/>
    <col min="6" max="6" width="9.85546875" style="15" bestFit="1" customWidth="1"/>
    <col min="7" max="7" width="19.7109375" style="10" bestFit="1" customWidth="1"/>
    <col min="8" max="8" width="16.7109375" style="10" bestFit="1" customWidth="1"/>
    <col min="9" max="9" width="16.42578125" style="10" bestFit="1" customWidth="1"/>
    <col min="10" max="10" width="17.5703125" bestFit="1" customWidth="1"/>
    <col min="11" max="11" width="15.42578125" customWidth="1"/>
    <col min="12" max="12" width="11.140625" style="9" bestFit="1" customWidth="1"/>
    <col min="13" max="13" width="18.5703125" style="9" bestFit="1" customWidth="1"/>
    <col min="14" max="14" width="15.42578125" bestFit="1" customWidth="1"/>
  </cols>
  <sheetData>
    <row r="1" spans="1:13" x14ac:dyDescent="0.25">
      <c r="A1" t="s">
        <v>402</v>
      </c>
      <c r="B1" s="11" t="s">
        <v>436</v>
      </c>
    </row>
    <row r="2" spans="1:13" x14ac:dyDescent="0.25">
      <c r="A2" t="s">
        <v>403</v>
      </c>
      <c r="B2" s="12">
        <v>44986</v>
      </c>
    </row>
    <row r="3" spans="1:13" x14ac:dyDescent="0.25">
      <c r="A3" t="s">
        <v>404</v>
      </c>
      <c r="B3" s="12">
        <v>45352</v>
      </c>
    </row>
    <row r="4" spans="1:13" x14ac:dyDescent="0.25">
      <c r="A4" t="s">
        <v>405</v>
      </c>
      <c r="B4" s="11" t="s">
        <v>380</v>
      </c>
    </row>
    <row r="5" spans="1:13" x14ac:dyDescent="0.25">
      <c r="A5" t="s">
        <v>406</v>
      </c>
      <c r="B5" s="13">
        <v>7.0400000000000004E-2</v>
      </c>
    </row>
    <row r="6" spans="1:13" x14ac:dyDescent="0.25">
      <c r="A6" t="s">
        <v>407</v>
      </c>
      <c r="B6" s="10">
        <f>SUM(Table3[Invested Amount])</f>
        <v>5855983.2399999993</v>
      </c>
    </row>
    <row r="7" spans="1:13" x14ac:dyDescent="0.25">
      <c r="A7" t="s">
        <v>408</v>
      </c>
      <c r="B7" s="10">
        <f>SUM(H20:H83)</f>
        <v>7622873.1600000001</v>
      </c>
    </row>
    <row r="8" spans="1:13" x14ac:dyDescent="0.25">
      <c r="A8" t="s">
        <v>409</v>
      </c>
      <c r="B8" s="14">
        <v>0</v>
      </c>
    </row>
    <row r="9" spans="1:13" x14ac:dyDescent="0.25">
      <c r="A9" t="s">
        <v>410</v>
      </c>
      <c r="B9" s="10">
        <f>B7-B6</f>
        <v>1766889.9200000009</v>
      </c>
    </row>
    <row r="10" spans="1:13" x14ac:dyDescent="0.25">
      <c r="A10" t="s">
        <v>411</v>
      </c>
      <c r="B10" s="10">
        <f>SUM(Table3[Actual Return])</f>
        <v>1876902.7099999995</v>
      </c>
    </row>
    <row r="11" spans="1:13" x14ac:dyDescent="0.25">
      <c r="A11" t="s">
        <v>412</v>
      </c>
      <c r="B11" s="10">
        <f>B6+B8</f>
        <v>5855983.2399999993</v>
      </c>
    </row>
    <row r="12" spans="1:13" x14ac:dyDescent="0.25">
      <c r="A12" t="s">
        <v>413</v>
      </c>
      <c r="B12" s="4">
        <f>B10/B11</f>
        <v>0.3205102598620142</v>
      </c>
      <c r="C12" s="5"/>
    </row>
    <row r="13" spans="1:13" x14ac:dyDescent="0.25">
      <c r="A13" t="s">
        <v>414</v>
      </c>
      <c r="B13" s="6">
        <f>SUMPRODUCT(Table3[Beta],Table3[Weights])</f>
        <v>1.0058078903998187</v>
      </c>
    </row>
    <row r="14" spans="1:13" x14ac:dyDescent="0.25">
      <c r="A14" t="s">
        <v>415</v>
      </c>
      <c r="B14" s="20">
        <v>0.25969435898331272</v>
      </c>
      <c r="K14" t="s">
        <v>4</v>
      </c>
      <c r="L14" s="23">
        <f>SUMPRODUCT(Table3[Beta],Table3[Weights])</f>
        <v>1.0058078903998187</v>
      </c>
      <c r="M14" s="23">
        <f>SUMPRODUCT(Table3[Beta],Table3[Optimal Weights])</f>
        <v>0.51516249999999997</v>
      </c>
    </row>
    <row r="15" spans="1:13" x14ac:dyDescent="0.25">
      <c r="A15" s="2" t="s">
        <v>416</v>
      </c>
      <c r="B15" s="7">
        <f>B12-(B5+B13*(B14-B5))</f>
        <v>5.9716499988422489E-2</v>
      </c>
      <c r="K15" t="s">
        <v>432</v>
      </c>
      <c r="L15" s="9">
        <f>SUMPRODUCT(Table3[% Absolute Rtn.],Table3[Weights])</f>
        <v>0.31778317408865303</v>
      </c>
      <c r="M15" s="9">
        <f>SUMPRODUCT(Table3[% Absolute Rtn.],Table3[Optimal Weights])</f>
        <v>0.65125</v>
      </c>
    </row>
    <row r="16" spans="1:13" x14ac:dyDescent="0.25">
      <c r="A16" s="2" t="s">
        <v>417</v>
      </c>
      <c r="B16" s="8">
        <f>(B12-B5)/B13</f>
        <v>0.24866603478582064</v>
      </c>
    </row>
    <row r="19" spans="1:14" s="2" customFormat="1" x14ac:dyDescent="0.25">
      <c r="A19" s="18" t="s">
        <v>418</v>
      </c>
      <c r="B19" s="2" t="s">
        <v>2</v>
      </c>
      <c r="C19" s="2" t="s">
        <v>3</v>
      </c>
      <c r="D19" s="2" t="s">
        <v>4</v>
      </c>
      <c r="E19" s="2" t="s">
        <v>6</v>
      </c>
      <c r="F19" s="28" t="s">
        <v>419</v>
      </c>
      <c r="G19" s="19" t="s">
        <v>420</v>
      </c>
      <c r="H19" s="19" t="s">
        <v>421</v>
      </c>
      <c r="I19" s="19" t="s">
        <v>422</v>
      </c>
      <c r="J19" s="18" t="s">
        <v>423</v>
      </c>
      <c r="K19" s="2" t="s">
        <v>424</v>
      </c>
      <c r="L19" s="2" t="s">
        <v>425</v>
      </c>
      <c r="M19" s="20" t="s">
        <v>426</v>
      </c>
      <c r="N19" s="2" t="s">
        <v>5</v>
      </c>
    </row>
    <row r="20" spans="1:14" x14ac:dyDescent="0.25">
      <c r="A20" t="s">
        <v>340</v>
      </c>
      <c r="B20" t="str">
        <f>VLOOKUP(Table3[[#This Row],[Company name]],Universe!$B$2:$E$1996,2,FALSE)</f>
        <v>Automobiles &amp; Auto Parts</v>
      </c>
      <c r="C20" t="str">
        <f>VLOOKUP(Table3[[#This Row],[Company name]],Universe!$B$2:$E$1998,3,FALSE)</f>
        <v>TATAMOTORS</v>
      </c>
      <c r="D20">
        <f>VLOOKUP(Table3[[#This Row],[Company name]],Universe!$B$2:$G$1996,4,FALSE)</f>
        <v>1.7888999999999999</v>
      </c>
      <c r="E20" t="str">
        <f>VLOOKUP(Table3[[#This Row],[Company name]],Universe!$B$2:$G$1996,6,FALSE)</f>
        <v>LT</v>
      </c>
      <c r="F20" s="15">
        <f>_xlfn.FLOOR.MATH(Table3[[#This Row],[Current Value]]/Table3[[#This Row],[Current Price]])</f>
        <v>777</v>
      </c>
      <c r="G20" s="10">
        <v>305072.84999999998</v>
      </c>
      <c r="H20" s="10">
        <v>772146</v>
      </c>
      <c r="I20" s="10">
        <v>407238.5</v>
      </c>
      <c r="J20" s="9">
        <v>1.1120000000000001</v>
      </c>
      <c r="K20" s="4">
        <f>$B$5+Table3[[#This Row],[Beta]]*($B$14-$B$5)</f>
        <v>0.40902867878524812</v>
      </c>
      <c r="L20" s="9">
        <f>Table3[[#This Row],[Current Value]]/SUM(Table3[Current Value])</f>
        <v>0.10129330290470162</v>
      </c>
      <c r="M20" s="9">
        <v>0</v>
      </c>
      <c r="N20" s="21">
        <f>VLOOKUP(Table3[[#This Row],[Company name]],Universe!$B$2:$G$1998,5,FALSE)</f>
        <v>992.8</v>
      </c>
    </row>
    <row r="21" spans="1:14" x14ac:dyDescent="0.25">
      <c r="A21" t="s">
        <v>199</v>
      </c>
      <c r="B21" t="str">
        <f>VLOOKUP(Table3[[#This Row],[Company name]],Universe!$B$2:$E$1996,2,FALSE)</f>
        <v>Software &amp; IT Services</v>
      </c>
      <c r="C21" t="str">
        <f>VLOOKUP(Table3[[#This Row],[Company name]],Universe!$B$2:$E$1998,3,FALSE)</f>
        <v>INFY</v>
      </c>
      <c r="D21">
        <f>VLOOKUP(Table3[[#This Row],[Company name]],Universe!$B$2:$G$1996,4,FALSE)</f>
        <v>0.69920000000000004</v>
      </c>
      <c r="E21" s="15" t="str">
        <f>VLOOKUP(Table3[[#This Row],[Company name]],Universe!$B$2:$G$1996,6,FALSE)</f>
        <v>LT</v>
      </c>
      <c r="F21" s="15">
        <f>_xlfn.FLOOR.MATH(Table3[[#This Row],[Current Value]]/Table3[[#This Row],[Current Price]])</f>
        <v>403</v>
      </c>
      <c r="G21" s="10">
        <v>458997.45</v>
      </c>
      <c r="H21" s="10">
        <v>603965.5</v>
      </c>
      <c r="I21" s="10">
        <v>99096.7</v>
      </c>
      <c r="J21" s="9">
        <v>0.192</v>
      </c>
      <c r="K21" s="4">
        <f>$B$5+Table3[[#This Row],[Beta]]*($B$14-$B$5)</f>
        <v>0.20275461580113224</v>
      </c>
      <c r="L21" s="9">
        <f>Table3[[#This Row],[Current Value]]/SUM(Table3[Current Value])</f>
        <v>7.9230689967298359E-2</v>
      </c>
      <c r="M21" s="9">
        <v>0</v>
      </c>
      <c r="N21" s="22">
        <f>VLOOKUP(Table3[[#This Row],[Company name]],Universe!$B$2:$G$1998,5,FALSE)</f>
        <v>1498.05</v>
      </c>
    </row>
    <row r="22" spans="1:14" x14ac:dyDescent="0.25">
      <c r="A22" t="s">
        <v>147</v>
      </c>
      <c r="B22" t="str">
        <f>VLOOKUP(Table3[[#This Row],[Company name]],Universe!$B$2:$E$1996,2,FALSE)</f>
        <v>Banking Services</v>
      </c>
      <c r="C22" t="str">
        <f>VLOOKUP(Table3[[#This Row],[Company name]],Universe!$B$2:$E$1998,3,FALSE)</f>
        <v>HDFCBANK</v>
      </c>
      <c r="D22">
        <f>VLOOKUP(Table3[[#This Row],[Company name]],Universe!$B$2:$G$1996,4,FALSE)</f>
        <v>1.1359999999999999</v>
      </c>
      <c r="E22" s="15" t="str">
        <f>VLOOKUP(Table3[[#This Row],[Company name]],Universe!$B$2:$G$1996,6,FALSE)</f>
        <v>LT</v>
      </c>
      <c r="F22" s="15">
        <f>_xlfn.FLOOR.MATH(Table3[[#This Row],[Current Value]]/Table3[[#This Row],[Current Price]])</f>
        <v>319</v>
      </c>
      <c r="G22" s="10">
        <v>438736.4</v>
      </c>
      <c r="H22" s="10">
        <v>462132.25</v>
      </c>
      <c r="I22" s="10">
        <v>-29932.55</v>
      </c>
      <c r="J22" s="9">
        <v>-0.06</v>
      </c>
      <c r="K22" s="4">
        <f>$B$5+Table3[[#This Row],[Beta]]*($B$14-$B$5)</f>
        <v>0.28543839180504321</v>
      </c>
      <c r="L22" s="9">
        <f>Table3[[#This Row],[Current Value]]/SUM(Table3[Current Value])</f>
        <v>6.062441815573906E-2</v>
      </c>
      <c r="M22" s="9">
        <v>0</v>
      </c>
      <c r="N22" s="21">
        <f>VLOOKUP(Table3[[#This Row],[Company name]],Universe!$B$2:$G$1998,5,FALSE)</f>
        <v>1447.9</v>
      </c>
    </row>
    <row r="23" spans="1:14" x14ac:dyDescent="0.25">
      <c r="A23" t="s">
        <v>166</v>
      </c>
      <c r="B23" t="str">
        <f>VLOOKUP(Table3[[#This Row],[Company name]],Universe!$B$2:$E$1996,2,FALSE)</f>
        <v>Banking Services</v>
      </c>
      <c r="C23" t="str">
        <f>VLOOKUP(Table3[[#This Row],[Company name]],Universe!$B$2:$E$1998,3,FALSE)</f>
        <v>ICICIBANK</v>
      </c>
      <c r="D23">
        <f>VLOOKUP(Table3[[#This Row],[Company name]],Universe!$B$2:$G$1996,4,FALSE)</f>
        <v>1.3002</v>
      </c>
      <c r="E23" s="15" t="str">
        <f>VLOOKUP(Table3[[#This Row],[Company name]],Universe!$B$2:$G$1996,6,FALSE)</f>
        <v>LT</v>
      </c>
      <c r="F23" s="15">
        <f>_xlfn.FLOOR.MATH(Table3[[#This Row],[Current Value]]/Table3[[#This Row],[Current Price]])</f>
        <v>405</v>
      </c>
      <c r="G23" s="10">
        <v>379024.75</v>
      </c>
      <c r="H23" s="10">
        <v>443455.2</v>
      </c>
      <c r="I23" s="10">
        <v>66304.899999999994</v>
      </c>
      <c r="J23" s="9">
        <v>0.17499999999999999</v>
      </c>
      <c r="K23" s="4">
        <f>$B$5+Table3[[#This Row],[Beta]]*($B$14-$B$5)</f>
        <v>0.31652052555010318</v>
      </c>
      <c r="L23" s="9">
        <f>Table3[[#This Row],[Current Value]]/SUM(Table3[Current Value])</f>
        <v>5.8174285560328019E-2</v>
      </c>
      <c r="M23" s="9">
        <v>0</v>
      </c>
      <c r="N23" s="22">
        <f>VLOOKUP(Table3[[#This Row],[Company name]],Universe!$B$2:$G$1998,5,FALSE)</f>
        <v>1093.3</v>
      </c>
    </row>
    <row r="24" spans="1:14" x14ac:dyDescent="0.25">
      <c r="A24" t="s">
        <v>313</v>
      </c>
      <c r="B24" t="str">
        <f>VLOOKUP(Table3[[#This Row],[Company name]],Universe!$B$2:$E$1996,2,FALSE)</f>
        <v>Oil &amp; Gas</v>
      </c>
      <c r="C24" t="str">
        <f>VLOOKUP(Table3[[#This Row],[Company name]],Universe!$B$2:$E$1998,3,FALSE)</f>
        <v>RELIANCE</v>
      </c>
      <c r="D24">
        <f>VLOOKUP(Table3[[#This Row],[Company name]],Universe!$B$2:$G$1996,4,FALSE)</f>
        <v>1.0075000000000001</v>
      </c>
      <c r="E24" s="15" t="str">
        <f>VLOOKUP(Table3[[#This Row],[Company name]],Universe!$B$2:$G$1996,6,FALSE)</f>
        <v>LT</v>
      </c>
      <c r="F24" s="15">
        <f>_xlfn.FLOOR.MATH(Table3[[#This Row],[Current Value]]/Table3[[#This Row],[Current Price]])</f>
        <v>148</v>
      </c>
      <c r="G24" s="10">
        <v>245403.97</v>
      </c>
      <c r="H24" s="10">
        <v>441669</v>
      </c>
      <c r="I24" s="10">
        <v>108130.64</v>
      </c>
      <c r="J24" s="9">
        <v>0.312</v>
      </c>
      <c r="K24" s="4">
        <f>$B$5+Table3[[#This Row],[Beta]]*($B$14-$B$5)</f>
        <v>0.26111406667568754</v>
      </c>
      <c r="L24" s="9">
        <f>Table3[[#This Row],[Current Value]]/SUM(Table3[Current Value])</f>
        <v>5.7939964463477968E-2</v>
      </c>
      <c r="M24" s="9">
        <v>0</v>
      </c>
      <c r="N24" s="21">
        <f>VLOOKUP(Table3[[#This Row],[Company name]],Universe!$B$2:$G$1998,5,FALSE)</f>
        <v>2971.7</v>
      </c>
    </row>
    <row r="25" spans="1:14" x14ac:dyDescent="0.25">
      <c r="A25" t="s">
        <v>282</v>
      </c>
      <c r="B25" t="str">
        <f>VLOOKUP(Table3[[#This Row],[Company name]],Universe!$B$2:$E$1996,2,FALSE)</f>
        <v>Oil &amp; Gas Related Equipment and Services</v>
      </c>
      <c r="C25" t="str">
        <f>VLOOKUP(Table3[[#This Row],[Company name]],Universe!$B$2:$E$1998,3,FALSE)</f>
        <v>PETRONET</v>
      </c>
      <c r="D25">
        <f>VLOOKUP(Table3[[#This Row],[Company name]],Universe!$B$2:$G$1996,4,FALSE)</f>
        <v>0.70240000000000002</v>
      </c>
      <c r="E25" s="15" t="str">
        <f>VLOOKUP(Table3[[#This Row],[Company name]],Universe!$B$2:$G$1996,6,FALSE)</f>
        <v>AGG</v>
      </c>
      <c r="F25" s="15">
        <f>_xlfn.FLOOR.MATH(Table3[[#This Row],[Current Value]]/Table3[[#This Row],[Current Price]])</f>
        <v>1631</v>
      </c>
      <c r="G25" s="10">
        <v>344886.6</v>
      </c>
      <c r="H25" s="10">
        <v>429421.3</v>
      </c>
      <c r="I25" s="10">
        <v>90736.7</v>
      </c>
      <c r="J25" s="9">
        <v>0.26300000000000001</v>
      </c>
      <c r="K25" s="4">
        <f>$B$5+Table3[[#This Row],[Beta]]*($B$14-$B$5)</f>
        <v>0.20336035774987887</v>
      </c>
      <c r="L25" s="9">
        <f>Table3[[#This Row],[Current Value]]/SUM(Table3[Current Value])</f>
        <v>5.6333260568118909E-2</v>
      </c>
      <c r="M25" s="9">
        <v>0.125</v>
      </c>
      <c r="N25" s="22">
        <f>VLOOKUP(Table3[[#This Row],[Company name]],Universe!$B$2:$G$1998,5,FALSE)</f>
        <v>263.2</v>
      </c>
    </row>
    <row r="26" spans="1:14" x14ac:dyDescent="0.25">
      <c r="A26" t="s">
        <v>335</v>
      </c>
      <c r="B26" t="str">
        <f>VLOOKUP(Table3[[#This Row],[Company name]],Universe!$B$2:$E$1996,2,FALSE)</f>
        <v>Software &amp; IT Services</v>
      </c>
      <c r="C26" t="str">
        <f>VLOOKUP(Table3[[#This Row],[Company name]],Universe!$B$2:$E$1998,3,FALSE)</f>
        <v>TCS</v>
      </c>
      <c r="D26">
        <f>VLOOKUP(Table3[[#This Row],[Company name]],Universe!$B$2:$G$1996,4,FALSE)</f>
        <v>0.55940000000000001</v>
      </c>
      <c r="E26" s="15" t="str">
        <f>VLOOKUP(Table3[[#This Row],[Company name]],Universe!$B$2:$G$1996,6,FALSE)</f>
        <v>LT</v>
      </c>
      <c r="F26" s="15">
        <f>_xlfn.FLOOR.MATH(Table3[[#This Row],[Current Value]]/Table3[[#This Row],[Current Price]])</f>
        <v>105</v>
      </c>
      <c r="G26" s="10">
        <v>247963.05</v>
      </c>
      <c r="H26" s="10">
        <v>409435</v>
      </c>
      <c r="I26" s="10">
        <v>77765</v>
      </c>
      <c r="J26" s="9">
        <v>0.23</v>
      </c>
      <c r="K26" s="4">
        <f>$B$5+Table3[[#This Row],[Beta]]*($B$14-$B$5)</f>
        <v>0.17629126441526513</v>
      </c>
      <c r="L26" s="9">
        <f>Table3[[#This Row],[Current Value]]/SUM(Table3[Current Value])</f>
        <v>5.371137514768775E-2</v>
      </c>
      <c r="M26" s="9">
        <v>0.125</v>
      </c>
      <c r="N26" s="21">
        <f>VLOOKUP(Table3[[#This Row],[Company name]],Universe!$B$2:$G$1998,5,FALSE)</f>
        <v>3876.3</v>
      </c>
    </row>
    <row r="27" spans="1:14" x14ac:dyDescent="0.25">
      <c r="A27" t="s">
        <v>334</v>
      </c>
      <c r="B27" t="str">
        <f>VLOOKUP(Table3[[#This Row],[Company name]],Universe!$B$2:$E$1996,2,FALSE)</f>
        <v>Pharmaceuticals</v>
      </c>
      <c r="C27" t="str">
        <f>VLOOKUP(Table3[[#This Row],[Company name]],Universe!$B$2:$E$1998,3,FALSE)</f>
        <v>SUNPHARMA</v>
      </c>
      <c r="D27">
        <f>VLOOKUP(Table3[[#This Row],[Company name]],Universe!$B$2:$G$1996,4,FALSE)</f>
        <v>0.71970000000000001</v>
      </c>
      <c r="E27" s="15" t="str">
        <f>VLOOKUP(Table3[[#This Row],[Company name]],Universe!$B$2:$G$1996,6,FALSE)</f>
        <v>LT</v>
      </c>
      <c r="F27" s="15">
        <f>_xlfn.FLOOR.MATH(Table3[[#This Row],[Current Value]]/Table3[[#This Row],[Current Price]])</f>
        <v>241</v>
      </c>
      <c r="G27" s="10">
        <v>169435.4</v>
      </c>
      <c r="H27" s="10">
        <v>391371.75</v>
      </c>
      <c r="I27" s="10">
        <v>153724.95000000001</v>
      </c>
      <c r="J27" s="9">
        <v>0.63800000000000001</v>
      </c>
      <c r="K27" s="4">
        <f>$B$5+Table3[[#This Row],[Beta]]*($B$14-$B$5)</f>
        <v>0.20663515016029016</v>
      </c>
      <c r="L27" s="9">
        <f>Table3[[#This Row],[Current Value]]/SUM(Table3[Current Value])</f>
        <v>5.1341763372591651E-2</v>
      </c>
      <c r="M27" s="9">
        <v>0.125</v>
      </c>
      <c r="N27" s="22">
        <f>VLOOKUP(Table3[[#This Row],[Company name]],Universe!$B$2:$G$1998,5,FALSE)</f>
        <v>1620.55</v>
      </c>
    </row>
    <row r="28" spans="1:14" x14ac:dyDescent="0.25">
      <c r="A28" t="s">
        <v>149</v>
      </c>
      <c r="B28" t="str">
        <f>VLOOKUP(Table3[[#This Row],[Company name]],Universe!$B$2:$E$1996,2,FALSE)</f>
        <v>Automobiles &amp; Auto Parts</v>
      </c>
      <c r="C28" t="str">
        <f>VLOOKUP(Table3[[#This Row],[Company name]],Universe!$B$2:$E$1998,3,FALSE)</f>
        <v>HEROMOTOCO</v>
      </c>
      <c r="D28">
        <f>VLOOKUP(Table3[[#This Row],[Company name]],Universe!$B$2:$G$1996,4,FALSE)</f>
        <v>0.99970000000000003</v>
      </c>
      <c r="E28" s="15" t="str">
        <f>VLOOKUP(Table3[[#This Row],[Company name]],Universe!$B$2:$G$1996,6,FALSE)</f>
        <v>LT</v>
      </c>
      <c r="F28" s="15">
        <f>_xlfn.FLOOR.MATH(Table3[[#This Row],[Current Value]]/Table3[[#This Row],[Current Price]])</f>
        <v>76</v>
      </c>
      <c r="G28" s="10">
        <v>248861.4</v>
      </c>
      <c r="H28" s="10">
        <v>360568</v>
      </c>
      <c r="I28" s="10">
        <v>154988.6</v>
      </c>
      <c r="J28" s="9">
        <v>0.71599999999999997</v>
      </c>
      <c r="K28" s="4">
        <f>$B$5+Table3[[#This Row],[Beta]]*($B$14-$B$5)</f>
        <v>0.25963757067561771</v>
      </c>
      <c r="L28" s="9">
        <f>Table3[[#This Row],[Current Value]]/SUM(Table3[Current Value])</f>
        <v>4.730080016181195E-2</v>
      </c>
      <c r="M28" s="9">
        <v>0.125</v>
      </c>
      <c r="N28" s="21">
        <f>VLOOKUP(Table3[[#This Row],[Company name]],Universe!$B$2:$G$1998,5,FALSE)</f>
        <v>4722.3</v>
      </c>
    </row>
    <row r="29" spans="1:14" x14ac:dyDescent="0.25">
      <c r="A29" t="s">
        <v>154</v>
      </c>
      <c r="B29" t="str">
        <f>VLOOKUP(Table3[[#This Row],[Company name]],Universe!$B$2:$E$1996,2,FALSE)</f>
        <v>Metals &amp; Mining</v>
      </c>
      <c r="C29" t="str">
        <f>VLOOKUP(Table3[[#This Row],[Company name]],Universe!$B$2:$E$1998,3,FALSE)</f>
        <v>HINDALCO</v>
      </c>
      <c r="D29">
        <f>VLOOKUP(Table3[[#This Row],[Company name]],Universe!$B$2:$G$1996,4,FALSE)</f>
        <v>1.8786</v>
      </c>
      <c r="E29" s="15" t="str">
        <f>VLOOKUP(Table3[[#This Row],[Company name]],Universe!$B$2:$G$1996,6,FALSE)</f>
        <v>LT</v>
      </c>
      <c r="F29" s="15">
        <f>_xlfn.FLOOR.MATH(Table3[[#This Row],[Current Value]]/Table3[[#This Row],[Current Price]])</f>
        <v>630</v>
      </c>
      <c r="G29" s="10">
        <v>300207.59999999998</v>
      </c>
      <c r="H29" s="10">
        <v>353507.1</v>
      </c>
      <c r="I29" s="10">
        <v>57209.75</v>
      </c>
      <c r="J29" s="9">
        <v>0.192</v>
      </c>
      <c r="K29" s="4">
        <f>$B$5+Table3[[#This Row],[Beta]]*($B$14-$B$5)</f>
        <v>0.4260083827860513</v>
      </c>
      <c r="L29" s="9">
        <f>Table3[[#This Row],[Current Value]]/SUM(Table3[Current Value])</f>
        <v>4.637452212309931E-2</v>
      </c>
      <c r="M29" s="9">
        <v>0</v>
      </c>
      <c r="N29" s="22">
        <f>VLOOKUP(Table3[[#This Row],[Company name]],Universe!$B$2:$G$1998,5,FALSE)</f>
        <v>560.25</v>
      </c>
    </row>
    <row r="30" spans="1:14" x14ac:dyDescent="0.25">
      <c r="A30" t="s">
        <v>164</v>
      </c>
      <c r="B30" t="str">
        <f>VLOOKUP(Table3[[#This Row],[Company name]],Universe!$B$2:$E$1996,2,FALSE)</f>
        <v>Personal &amp; Household Products &amp; Services</v>
      </c>
      <c r="C30" t="str">
        <f>VLOOKUP(Table3[[#This Row],[Company name]],Universe!$B$2:$E$1998,3,FALSE)</f>
        <v>HINDUNILVR</v>
      </c>
      <c r="D30">
        <f>VLOOKUP(Table3[[#This Row],[Company name]],Universe!$B$2:$G$1996,4,FALSE)</f>
        <v>0.19500000000000001</v>
      </c>
      <c r="E30" s="15" t="str">
        <f>VLOOKUP(Table3[[#This Row],[Company name]],Universe!$B$2:$G$1996,6,FALSE)</f>
        <v>LT</v>
      </c>
      <c r="F30" s="15">
        <f>_xlfn.FLOOR.MATH(Table3[[#This Row],[Current Value]]/Table3[[#This Row],[Current Price]])</f>
        <v>154</v>
      </c>
      <c r="G30" s="10">
        <v>347596.05</v>
      </c>
      <c r="H30" s="10">
        <v>349406.5</v>
      </c>
      <c r="I30" s="10">
        <v>-12092.65</v>
      </c>
      <c r="J30" s="9">
        <v>-3.3000000000000002E-2</v>
      </c>
      <c r="K30" s="4">
        <f>$B$5+Table3[[#This Row],[Beta]]*($B$14-$B$5)</f>
        <v>0.10731240000174598</v>
      </c>
      <c r="L30" s="9">
        <f>Table3[[#This Row],[Current Value]]/SUM(Table3[Current Value])</f>
        <v>4.583658847079649E-2</v>
      </c>
      <c r="M30" s="9">
        <v>0.125</v>
      </c>
      <c r="N30" s="21">
        <f>VLOOKUP(Table3[[#This Row],[Company name]],Universe!$B$2:$G$1998,5,FALSE)</f>
        <v>2264.35</v>
      </c>
    </row>
    <row r="31" spans="1:14" x14ac:dyDescent="0.25">
      <c r="A31" t="s">
        <v>319</v>
      </c>
      <c r="B31" t="str">
        <f>VLOOKUP(Table3[[#This Row],[Company name]],Universe!$B$2:$E$1996,2,FALSE)</f>
        <v>ETF</v>
      </c>
      <c r="C31" t="str">
        <f>VLOOKUP(Table3[[#This Row],[Company name]],Universe!$B$2:$E$1998,3,FALSE)</f>
        <v>SETFGOLD</v>
      </c>
      <c r="D31">
        <f>VLOOKUP(Table3[[#This Row],[Company name]],Universe!$B$2:$G$1996,4,FALSE)</f>
        <v>0.81810000000000005</v>
      </c>
      <c r="E31" s="15" t="str">
        <f>VLOOKUP(Table3[[#This Row],[Company name]],Universe!$B$2:$G$1996,6,FALSE)</f>
        <v>ETF</v>
      </c>
      <c r="F31" s="15">
        <f>_xlfn.FLOOR.MATH(Table3[[#This Row],[Current Value]]/Table3[[#This Row],[Current Price]])</f>
        <v>5497</v>
      </c>
      <c r="G31" s="10">
        <v>251102</v>
      </c>
      <c r="H31" s="10">
        <v>320960</v>
      </c>
      <c r="I31" s="10">
        <v>31329</v>
      </c>
      <c r="J31" s="9">
        <v>0.108</v>
      </c>
      <c r="K31" s="4">
        <f>$B$5+Table3[[#This Row],[Beta]]*($B$14-$B$5)</f>
        <v>0.22526171508424814</v>
      </c>
      <c r="L31" s="9">
        <f>Table3[[#This Row],[Current Value]]/SUM(Table3[Current Value])</f>
        <v>4.2104859055532282E-2</v>
      </c>
      <c r="M31" s="9">
        <v>0</v>
      </c>
      <c r="N31" s="22">
        <f>VLOOKUP(Table3[[#This Row],[Company name]],Universe!$B$2:$G$1998,5,FALSE)</f>
        <v>58.38</v>
      </c>
    </row>
    <row r="32" spans="1:14" x14ac:dyDescent="0.25">
      <c r="A32" t="s">
        <v>229</v>
      </c>
      <c r="B32" t="str">
        <f>VLOOKUP(Table3[[#This Row],[Company name]],Universe!$B$2:$E$1996,2,FALSE)</f>
        <v>Construction &amp; Engineering</v>
      </c>
      <c r="C32" t="str">
        <f>VLOOKUP(Table3[[#This Row],[Company name]],Universe!$B$2:$E$1998,3,FALSE)</f>
        <v>LT</v>
      </c>
      <c r="D32">
        <f>VLOOKUP(Table3[[#This Row],[Company name]],Universe!$B$2:$G$1996,4,FALSE)</f>
        <v>1.1884999999999999</v>
      </c>
      <c r="E32" s="15" t="str">
        <f>VLOOKUP(Table3[[#This Row],[Company name]],Universe!$B$2:$G$1996,6,FALSE)</f>
        <v>LT</v>
      </c>
      <c r="F32" s="15">
        <f>_xlfn.FLOOR.MATH(Table3[[#This Row],[Current Value]]/Table3[[#This Row],[Current Price]])</f>
        <v>83</v>
      </c>
      <c r="G32" s="10">
        <v>203144</v>
      </c>
      <c r="H32" s="10">
        <v>316114.5</v>
      </c>
      <c r="I32" s="10">
        <v>115464.3</v>
      </c>
      <c r="J32" s="9">
        <v>0.56799999999999995</v>
      </c>
      <c r="K32" s="4">
        <f>$B$5+Table3[[#This Row],[Beta]]*($B$14-$B$5)</f>
        <v>0.29537634565166715</v>
      </c>
      <c r="L32" s="9">
        <f>Table3[[#This Row],[Current Value]]/SUM(Table3[Current Value])</f>
        <v>4.1469206343189367E-2</v>
      </c>
      <c r="M32" s="9">
        <v>0</v>
      </c>
      <c r="N32" s="21">
        <f>VLOOKUP(Table3[[#This Row],[Company name]],Universe!$B$2:$G$1998,5,FALSE)</f>
        <v>3763.9</v>
      </c>
    </row>
    <row r="33" spans="1:14" x14ac:dyDescent="0.25">
      <c r="A33" t="s">
        <v>270</v>
      </c>
      <c r="B33" t="str">
        <f>VLOOKUP(Table3[[#This Row],[Company name]],Universe!$B$2:$E$1996,2,FALSE)</f>
        <v>ETF</v>
      </c>
      <c r="C33" t="str">
        <f>VLOOKUP(Table3[[#This Row],[Company name]],Universe!$B$2:$E$1998,3,FALSE)</f>
        <v>GOLDBEES</v>
      </c>
      <c r="D33">
        <f>VLOOKUP(Table3[[#This Row],[Company name]],Universe!$B$2:$G$1996,4,FALSE)</f>
        <v>0.81459999999999999</v>
      </c>
      <c r="E33" s="15" t="str">
        <f>VLOOKUP(Table3[[#This Row],[Company name]],Universe!$B$2:$G$1996,6,FALSE)</f>
        <v>ETF</v>
      </c>
      <c r="F33" s="15">
        <f>_xlfn.FLOOR.MATH(Table3[[#This Row],[Current Value]]/Table3[[#This Row],[Current Price]])</f>
        <v>5429</v>
      </c>
      <c r="G33" s="10">
        <v>255090.48</v>
      </c>
      <c r="H33" s="10">
        <v>307349</v>
      </c>
      <c r="I33" s="10">
        <v>29805.3</v>
      </c>
      <c r="J33" s="9">
        <v>0.107</v>
      </c>
      <c r="K33" s="4">
        <f>$B$5+Table3[[#This Row],[Beta]]*($B$14-$B$5)</f>
        <v>0.22459918482780655</v>
      </c>
      <c r="L33" s="9">
        <f>Table3[[#This Row],[Current Value]]/SUM(Table3[Current Value])</f>
        <v>4.0319311832810296E-2</v>
      </c>
      <c r="M33" s="9">
        <v>0</v>
      </c>
      <c r="N33" s="22">
        <f>VLOOKUP(Table3[[#This Row],[Company name]],Universe!$B$2:$G$1998,5,FALSE)</f>
        <v>56.61</v>
      </c>
    </row>
    <row r="34" spans="1:14" x14ac:dyDescent="0.25">
      <c r="A34" t="s">
        <v>40</v>
      </c>
      <c r="B34" t="str">
        <f>VLOOKUP(Table3[[#This Row],[Company name]],Universe!$B$2:$E$1996,2,FALSE)</f>
        <v>Chemicals</v>
      </c>
      <c r="C34" t="str">
        <f>VLOOKUP(Table3[[#This Row],[Company name]],Universe!$B$2:$E$1998,3,FALSE)</f>
        <v>ASIANPAINT</v>
      </c>
      <c r="D34">
        <f>VLOOKUP(Table3[[#This Row],[Company name]],Universe!$B$2:$G$1996,4,FALSE)</f>
        <v>0.63429999999999997</v>
      </c>
      <c r="E34" s="15" t="str">
        <f>VLOOKUP(Table3[[#This Row],[Company name]],Universe!$B$2:$G$1996,6,FALSE)</f>
        <v>LT</v>
      </c>
      <c r="F34" s="15">
        <f>_xlfn.FLOOR.MATH(Table3[[#This Row],[Current Value]]/Table3[[#This Row],[Current Price]])</f>
        <v>106</v>
      </c>
      <c r="G34" s="10">
        <v>309761.75</v>
      </c>
      <c r="H34" s="10">
        <v>302997.25</v>
      </c>
      <c r="I34" s="10">
        <v>-6846.05</v>
      </c>
      <c r="J34" s="9">
        <v>-2.1999999999999999E-2</v>
      </c>
      <c r="K34" s="4">
        <f>$B$5+Table3[[#This Row],[Beta]]*($B$14-$B$5)</f>
        <v>0.19046941190311525</v>
      </c>
      <c r="L34" s="9">
        <f>Table3[[#This Row],[Current Value]]/SUM(Table3[Current Value])</f>
        <v>3.9748431285717471E-2</v>
      </c>
      <c r="M34" s="9">
        <v>0</v>
      </c>
      <c r="N34" s="21">
        <f>VLOOKUP(Table3[[#This Row],[Company name]],Universe!$B$2:$G$1998,5,FALSE)</f>
        <v>2846.75</v>
      </c>
    </row>
    <row r="35" spans="1:14" x14ac:dyDescent="0.25">
      <c r="A35" t="s">
        <v>192</v>
      </c>
      <c r="B35" t="str">
        <f>VLOOKUP(Table3[[#This Row],[Company name]],Universe!$B$2:$E$1996,2,FALSE)</f>
        <v>Natural Gas Utilities</v>
      </c>
      <c r="C35" t="str">
        <f>VLOOKUP(Table3[[#This Row],[Company name]],Universe!$B$2:$E$1998,3,FALSE)</f>
        <v>IGL</v>
      </c>
      <c r="D35">
        <f>VLOOKUP(Table3[[#This Row],[Company name]],Universe!$B$2:$G$1996,4,FALSE)</f>
        <v>0.7258</v>
      </c>
      <c r="E35" s="15" t="str">
        <f>VLOOKUP(Table3[[#This Row],[Company name]],Universe!$B$2:$G$1996,6,FALSE)</f>
        <v>AGG</v>
      </c>
      <c r="F35" s="15">
        <f>_xlfn.FLOOR.MATH(Table3[[#This Row],[Current Value]]/Table3[[#This Row],[Current Price]])</f>
        <v>634</v>
      </c>
      <c r="G35" s="10">
        <v>264507.84999999998</v>
      </c>
      <c r="H35" s="10">
        <v>273262.5</v>
      </c>
      <c r="I35" s="10">
        <v>9450.65</v>
      </c>
      <c r="J35" s="9">
        <v>3.5999999999999997E-2</v>
      </c>
      <c r="K35" s="4">
        <f>$B$5+Table3[[#This Row],[Beta]]*($B$14-$B$5)</f>
        <v>0.20778984575008835</v>
      </c>
      <c r="L35" s="9">
        <f>Table3[[#This Row],[Current Value]]/SUM(Table3[Current Value])</f>
        <v>3.5847703912208345E-2</v>
      </c>
      <c r="M35" s="9">
        <v>0</v>
      </c>
      <c r="N35" s="22">
        <f>VLOOKUP(Table3[[#This Row],[Company name]],Universe!$B$2:$G$1998,5,FALSE)</f>
        <v>430.8</v>
      </c>
    </row>
    <row r="36" spans="1:14" x14ac:dyDescent="0.25">
      <c r="A36" t="s">
        <v>38</v>
      </c>
      <c r="B36" t="str">
        <f>VLOOKUP(Table3[[#This Row],[Company name]],Universe!$B$2:$E$1996,2,FALSE)</f>
        <v>Machinery, Equipment &amp; Components</v>
      </c>
      <c r="C36" t="str">
        <f>VLOOKUP(Table3[[#This Row],[Company name]],Universe!$B$2:$E$1998,3,FALSE)</f>
        <v>ASHOKLEY</v>
      </c>
      <c r="D36">
        <f>VLOOKUP(Table3[[#This Row],[Company name]],Universe!$B$2:$G$1996,4,FALSE)</f>
        <v>1.2419</v>
      </c>
      <c r="E36" s="15" t="str">
        <f>VLOOKUP(Table3[[#This Row],[Company name]],Universe!$B$2:$G$1996,6,FALSE)</f>
        <v>LT</v>
      </c>
      <c r="F36" s="15">
        <f>_xlfn.FLOOR.MATH(Table3[[#This Row],[Current Value]]/Table3[[#This Row],[Current Price]])</f>
        <v>1578</v>
      </c>
      <c r="G36" s="10">
        <v>255747.35</v>
      </c>
      <c r="H36" s="10">
        <v>270305.40000000002</v>
      </c>
      <c r="I36" s="10">
        <v>17059.25</v>
      </c>
      <c r="J36" s="9">
        <v>6.7000000000000004E-2</v>
      </c>
      <c r="K36" s="4">
        <f>$B$5+Table3[[#This Row],[Beta]]*($B$14-$B$5)</f>
        <v>0.30548466442137606</v>
      </c>
      <c r="L36" s="9">
        <f>Table3[[#This Row],[Current Value]]/SUM(Table3[Current Value])</f>
        <v>3.5459779315021429E-2</v>
      </c>
      <c r="M36" s="9">
        <v>0</v>
      </c>
      <c r="N36" s="21">
        <f>VLOOKUP(Table3[[#This Row],[Company name]],Universe!$B$2:$G$1998,5,FALSE)</f>
        <v>171.25</v>
      </c>
    </row>
    <row r="37" spans="1:14" x14ac:dyDescent="0.25">
      <c r="A37" t="s">
        <v>113</v>
      </c>
      <c r="B37" t="str">
        <f>VLOOKUP(Table3[[#This Row],[Company name]],Universe!$B$2:$E$1996,2,FALSE)</f>
        <v>Containers &amp; Packaging</v>
      </c>
      <c r="C37" t="str">
        <f>VLOOKUP(Table3[[#This Row],[Company name]],Universe!$B$2:$E$1998,3,FALSE)</f>
        <v>EPL</v>
      </c>
      <c r="D37">
        <f>VLOOKUP(Table3[[#This Row],[Company name]],Universe!$B$2:$G$1996,4,FALSE)</f>
        <v>0.80630000000000002</v>
      </c>
      <c r="E37" s="15" t="str">
        <f>VLOOKUP(Table3[[#This Row],[Company name]],Universe!$B$2:$G$1996,6,FALSE)</f>
        <v>LT</v>
      </c>
      <c r="F37" s="15">
        <f>_xlfn.FLOOR.MATH(Table3[[#This Row],[Current Value]]/Table3[[#This Row],[Current Price]])</f>
        <v>1340</v>
      </c>
      <c r="G37" s="10">
        <v>250047.8</v>
      </c>
      <c r="H37" s="10">
        <v>240412.79999999999</v>
      </c>
      <c r="I37" s="10">
        <v>-8555.7000000000007</v>
      </c>
      <c r="J37" s="9">
        <v>-3.4000000000000002E-2</v>
      </c>
      <c r="K37" s="4">
        <f>$B$5+Table3[[#This Row],[Beta]]*($B$14-$B$5)</f>
        <v>0.22302804164824502</v>
      </c>
      <c r="L37" s="9">
        <f>Table3[[#This Row],[Current Value]]/SUM(Table3[Current Value])</f>
        <v>3.1538344526252093E-2</v>
      </c>
      <c r="M37" s="9">
        <v>0</v>
      </c>
      <c r="N37" s="22">
        <f>VLOOKUP(Table3[[#This Row],[Company name]],Universe!$B$2:$G$1998,5,FALSE)</f>
        <v>179.3</v>
      </c>
    </row>
    <row r="38" spans="1:14" x14ac:dyDescent="0.25">
      <c r="A38" t="s">
        <v>48</v>
      </c>
      <c r="B38" t="str">
        <f>VLOOKUP(Table3[[#This Row],[Company name]],Universe!$B$2:$E$1996,2,FALSE)</f>
        <v>Banking Services</v>
      </c>
      <c r="C38" t="str">
        <f>VLOOKUP(Table3[[#This Row],[Company name]],Universe!$B$2:$E$1998,3,FALSE)</f>
        <v>BAJAJFINSV</v>
      </c>
      <c r="D38">
        <f>VLOOKUP(Table3[[#This Row],[Company name]],Universe!$B$2:$G$1996,4,FALSE)</f>
        <v>1.9836</v>
      </c>
      <c r="E38" s="15" t="str">
        <f>VLOOKUP(Table3[[#This Row],[Company name]],Universe!$B$2:$G$1996,6,FALSE)</f>
        <v>LT</v>
      </c>
      <c r="F38" s="15">
        <f>_xlfn.FLOOR.MATH(Table3[[#This Row],[Current Value]]/Table3[[#This Row],[Current Price]])</f>
        <v>118</v>
      </c>
      <c r="G38" s="10">
        <v>211352.7</v>
      </c>
      <c r="H38" s="10">
        <v>195221.4</v>
      </c>
      <c r="I38" s="10">
        <v>23914.7</v>
      </c>
      <c r="J38" s="9">
        <v>0.14000000000000001</v>
      </c>
      <c r="K38" s="4">
        <f>$B$5+Table3[[#This Row],[Beta]]*($B$14-$B$5)</f>
        <v>0.44588429047929912</v>
      </c>
      <c r="L38" s="9">
        <f>Table3[[#This Row],[Current Value]]/SUM(Table3[Current Value])</f>
        <v>2.5609949936514487E-2</v>
      </c>
      <c r="M38" s="9">
        <v>0</v>
      </c>
      <c r="N38" s="21">
        <f>VLOOKUP(Table3[[#This Row],[Company name]],Universe!$B$2:$G$1998,5,FALSE)</f>
        <v>1643.85</v>
      </c>
    </row>
    <row r="39" spans="1:14" x14ac:dyDescent="0.25">
      <c r="A39" t="s">
        <v>109</v>
      </c>
      <c r="B39" t="str">
        <f>VLOOKUP(Table3[[#This Row],[Company name]],Universe!$B$2:$E$1996,2,FALSE)</f>
        <v>Pharmaceuticals</v>
      </c>
      <c r="C39" t="str">
        <f>VLOOKUP(Table3[[#This Row],[Company name]],Universe!$B$2:$E$1998,3,FALSE)</f>
        <v>DRREDDY</v>
      </c>
      <c r="D39">
        <f>VLOOKUP(Table3[[#This Row],[Company name]],Universe!$B$2:$G$1996,4,FALSE)</f>
        <v>0.2311</v>
      </c>
      <c r="E39" s="15" t="str">
        <f>VLOOKUP(Table3[[#This Row],[Company name]],Universe!$B$2:$G$1996,6,FALSE)</f>
        <v>AGG</v>
      </c>
      <c r="F39" s="15">
        <f>_xlfn.FLOOR.MATH(Table3[[#This Row],[Current Value]]/Table3[[#This Row],[Current Price]])</f>
        <v>26</v>
      </c>
      <c r="G39" s="10">
        <v>133001</v>
      </c>
      <c r="H39" s="10">
        <v>161032.29999999999</v>
      </c>
      <c r="I39" s="10">
        <v>49123.1</v>
      </c>
      <c r="J39" s="9">
        <v>0.435</v>
      </c>
      <c r="K39" s="4">
        <f>$B$5+Table3[[#This Row],[Beta]]*($B$14-$B$5)</f>
        <v>0.11414592636104356</v>
      </c>
      <c r="L39" s="9">
        <f>Table3[[#This Row],[Current Value]]/SUM(Table3[Current Value])</f>
        <v>2.1124882523953736E-2</v>
      </c>
      <c r="M39" s="9">
        <v>0.125</v>
      </c>
      <c r="N39" s="22">
        <f>VLOOKUP(Table3[[#This Row],[Company name]],Universe!$B$2:$G$1998,5,FALSE)</f>
        <v>6157.9</v>
      </c>
    </row>
    <row r="40" spans="1:14" x14ac:dyDescent="0.25">
      <c r="A40" t="s">
        <v>273</v>
      </c>
      <c r="B40" t="str">
        <f>VLOOKUP(Table3[[#This Row],[Company name]],Universe!$B$2:$E$1996,2,FALSE)</f>
        <v>ETF</v>
      </c>
      <c r="C40" t="str">
        <f>VLOOKUP(Table3[[#This Row],[Company name]],Universe!$B$2:$E$1998,3,FALSE)</f>
        <v>LIQUIDBEES</v>
      </c>
      <c r="D40">
        <f>VLOOKUP(Table3[[#This Row],[Company name]],Universe!$B$2:$G$1996,4,FALSE)</f>
        <v>0.01</v>
      </c>
      <c r="E40" s="15" t="str">
        <f>VLOOKUP(Table3[[#This Row],[Company name]],Universe!$B$2:$G$1996,6,FALSE)</f>
        <v>ETF</v>
      </c>
      <c r="F40" s="15">
        <f>_xlfn.FLOOR.MATH(Table3[[#This Row],[Current Value]]/Table3[[#This Row],[Current Price]])</f>
        <v>73</v>
      </c>
      <c r="G40" s="10">
        <v>74000</v>
      </c>
      <c r="H40" s="10">
        <v>73999.259999999995</v>
      </c>
      <c r="I40" s="10">
        <v>4131.6499999999996</v>
      </c>
      <c r="J40" s="9">
        <v>5.5999999999999987E-2</v>
      </c>
      <c r="K40" s="4">
        <f>$B$5+Table3[[#This Row],[Beta]]*($B$14-$B$5)</f>
        <v>7.2292943589833125E-2</v>
      </c>
      <c r="L40" s="9">
        <f>Table3[[#This Row],[Current Value]]/SUM(Table3[Current Value])</f>
        <v>9.7075287029962844E-3</v>
      </c>
      <c r="M40" s="9">
        <v>0.125</v>
      </c>
      <c r="N40" s="21">
        <f>VLOOKUP(Table3[[#This Row],[Company name]],Universe!$B$2:$G$1998,5,FALSE)</f>
        <v>1000</v>
      </c>
    </row>
    <row r="41" spans="1:14" x14ac:dyDescent="0.25">
      <c r="A41" t="s">
        <v>59</v>
      </c>
      <c r="B41" t="str">
        <f>VLOOKUP(Table3[[#This Row],[Company name]],Universe!$B$2:$E$1996,2,FALSE)</f>
        <v>Banking Services</v>
      </c>
      <c r="C41" t="str">
        <f>VLOOKUP(Table3[[#This Row],[Company name]],Universe!$B$2:$E$1998,3,FALSE)</f>
        <v>BANDHANBNK</v>
      </c>
      <c r="D41">
        <f>VLOOKUP(Table3[[#This Row],[Company name]],Universe!$B$2:$G$1996,4,FALSE)</f>
        <v>1.7948999999999999</v>
      </c>
      <c r="E41" s="15" t="str">
        <f>VLOOKUP(Table3[[#This Row],[Company name]],Universe!$B$2:$G$1996,6,FALSE)</f>
        <v>AGG</v>
      </c>
      <c r="F41" s="15">
        <f>_xlfn.FLOOR.MATH(Table3[[#This Row],[Current Value]]/Table3[[#This Row],[Current Price]])</f>
        <v>385</v>
      </c>
      <c r="G41" s="10">
        <v>99932.4</v>
      </c>
      <c r="H41" s="10">
        <v>69347.95</v>
      </c>
      <c r="I41" s="10">
        <v>-11728.6</v>
      </c>
      <c r="J41" s="9">
        <v>-0.14399999999999999</v>
      </c>
      <c r="K41" s="4">
        <f>$B$5+Table3[[#This Row],[Beta]]*($B$14-$B$5)</f>
        <v>0.410164444939148</v>
      </c>
      <c r="L41" s="9">
        <f>Table3[[#This Row],[Current Value]]/SUM(Table3[Current Value])</f>
        <v>9.0973506372759843E-3</v>
      </c>
      <c r="M41" s="9">
        <v>0</v>
      </c>
      <c r="N41" s="22">
        <f>VLOOKUP(Table3[[#This Row],[Company name]],Universe!$B$2:$G$1998,5,FALSE)</f>
        <v>180</v>
      </c>
    </row>
    <row r="42" spans="1:14" x14ac:dyDescent="0.25">
      <c r="A42" t="s">
        <v>215</v>
      </c>
      <c r="B42" t="str">
        <f>VLOOKUP(Table3[[#This Row],[Company name]],Universe!$B$2:$E$1996,2,FALSE)</f>
        <v>Investment Banking &amp; Investment Services</v>
      </c>
      <c r="C42" t="str">
        <f>VLOOKUP(Table3[[#This Row],[Company name]],Universe!$B$2:$E$1998,3,FALSE)</f>
        <v>JIOFIN</v>
      </c>
      <c r="D42">
        <f>VLOOKUP(Table3[[#This Row],[Company name]],Universe!$B$2:$G$1996,4,FALSE)</f>
        <v>0.70399999999999996</v>
      </c>
      <c r="E42" s="15" t="str">
        <f>VLOOKUP(Table3[[#This Row],[Company name]],Universe!$B$2:$G$1996,6,FALSE)</f>
        <v>AGG</v>
      </c>
      <c r="F42" s="15">
        <f>_xlfn.FLOOR.MATH(Table3[[#This Row],[Current Value]]/Table3[[#This Row],[Current Price]])</f>
        <v>133</v>
      </c>
      <c r="G42" s="10">
        <v>12048.79</v>
      </c>
      <c r="H42" s="10">
        <v>47049.2</v>
      </c>
      <c r="I42" s="10">
        <v>35000.410000000003</v>
      </c>
      <c r="J42" s="9">
        <v>2.9049999999999998</v>
      </c>
      <c r="K42" s="4">
        <f>$B$5+Table3[[#This Row],[Beta]]*($B$14-$B$5)</f>
        <v>0.20366322872425213</v>
      </c>
      <c r="L42" s="9">
        <f>Table3[[#This Row],[Current Value]]/SUM(Table3[Current Value])</f>
        <v>6.1721084704497425E-3</v>
      </c>
      <c r="M42" s="9">
        <v>0.125</v>
      </c>
      <c r="N42" s="21">
        <f>VLOOKUP(Table3[[#This Row],[Company name]],Universe!$B$2:$G$1998,5,FALSE)</f>
        <v>353.75</v>
      </c>
    </row>
    <row r="43" spans="1:14" x14ac:dyDescent="0.25">
      <c r="A43" t="s">
        <v>95</v>
      </c>
      <c r="B43" t="str">
        <f>VLOOKUP(Table3[[#This Row],[Company name]],Universe!$B$2:$E$1996,2,FALSE)</f>
        <v>Chemicals</v>
      </c>
      <c r="C43" t="str">
        <f>VLOOKUP(Table3[[#This Row],[Company name]],Universe!$B$2:$E$1998,3,FALSE)</f>
        <v>CHEMCON</v>
      </c>
      <c r="D43">
        <f>VLOOKUP(Table3[[#This Row],[Company name]],Universe!$B$2:$G$1996,4,FALSE)</f>
        <v>0.73860000000000003</v>
      </c>
      <c r="E43" s="15" t="str">
        <f>VLOOKUP(Table3[[#This Row],[Company name]],Universe!$B$2:$G$1996,6,FALSE)</f>
        <v>AGG</v>
      </c>
      <c r="F43" s="15">
        <f>_xlfn.FLOOR.MATH(Table3[[#This Row],[Current Value]]/Table3[[#This Row],[Current Price]])</f>
        <v>120</v>
      </c>
      <c r="G43" s="10">
        <v>50061.599999999999</v>
      </c>
      <c r="H43" s="10">
        <v>27744</v>
      </c>
      <c r="I43" s="10">
        <v>418.2</v>
      </c>
      <c r="J43" s="9">
        <v>1.4999999999999999E-2</v>
      </c>
      <c r="K43" s="4">
        <f>$B$5+Table3[[#This Row],[Beta]]*($B$14-$B$5)</f>
        <v>0.21021281354507476</v>
      </c>
      <c r="L43" s="9">
        <f>Table3[[#This Row],[Current Value]]/SUM(Table3[Current Value])</f>
        <v>3.639572562427367E-3</v>
      </c>
      <c r="M43" s="9">
        <v>0</v>
      </c>
      <c r="N43" s="22">
        <f>VLOOKUP(Table3[[#This Row],[Company name]],Universe!$B$2:$G$1998,5,FALSE)</f>
        <v>231</v>
      </c>
    </row>
    <row r="44" spans="1:14" x14ac:dyDescent="0.25">
      <c r="A44" t="s">
        <v>366</v>
      </c>
      <c r="B44" t="str">
        <f>VLOOKUP(Table3[[#This Row],[Company name]],Universe!$B$2:$E$1996,2,FALSE)</f>
        <v>Machinery, Equipment &amp; Components</v>
      </c>
      <c r="C44" t="str">
        <f>VLOOKUP(Table3[[#This Row],[Company name]],Universe!$B$2:$E$1998,3,FALSE)</f>
        <v>VOLTAS</v>
      </c>
      <c r="D44">
        <f>VLOOKUP(Table3[[#This Row],[Company name]],Universe!$B$2:$G$1996,4,FALSE)</f>
        <v>0.81879999999999997</v>
      </c>
      <c r="E44" s="15" t="e">
        <f>VLOOKUP(Table3[[#This Row],[Company name]],Universe!$B$2:$G$1996,6,FALSE)</f>
        <v>#N/A</v>
      </c>
      <c r="F44" s="15">
        <f>_xlfn.FLOOR.MATH(Table3[[#This Row],[Current Value]]/Table3[[#This Row],[Current Price]])</f>
        <v>0</v>
      </c>
      <c r="G44" s="10">
        <v>0</v>
      </c>
      <c r="H44" s="10">
        <v>0</v>
      </c>
      <c r="I44" s="10">
        <v>-18470.400000000001</v>
      </c>
      <c r="J44" s="9">
        <v>-0.107</v>
      </c>
      <c r="K44" s="4">
        <f>$B$5+Table3[[#This Row],[Beta]]*($B$14-$B$5)</f>
        <v>0.22539422113553642</v>
      </c>
      <c r="L44" s="9">
        <f>Table3[[#This Row],[Current Value]]/SUM(Table3[Current Value])</f>
        <v>0</v>
      </c>
      <c r="N44" s="21">
        <f>VLOOKUP(Table3[[#This Row],[Company name]],Universe!$B$2:$G$1998,5,FALSE)</f>
        <v>1103.55</v>
      </c>
    </row>
    <row r="45" spans="1:14" x14ac:dyDescent="0.25">
      <c r="A45" t="s">
        <v>370</v>
      </c>
      <c r="B45" t="str">
        <f>VLOOKUP(Table3[[#This Row],[Company name]],Universe!$B$2:$E$1996,2,FALSE)</f>
        <v>Paper &amp; Forest Products</v>
      </c>
      <c r="C45" t="str">
        <f>VLOOKUP(Table3[[#This Row],[Company name]],Universe!$B$2:$E$1998,3,FALSE)</f>
        <v>WSTCSTPAPR</v>
      </c>
      <c r="D45">
        <f>VLOOKUP(Table3[[#This Row],[Company name]],Universe!$B$2:$G$1996,4,FALSE)</f>
        <v>1.3622000000000001</v>
      </c>
      <c r="E45" s="15" t="e">
        <f>VLOOKUP(Table3[[#This Row],[Company name]],Universe!$B$2:$G$1996,6,FALSE)</f>
        <v>#N/A</v>
      </c>
      <c r="F45" s="15">
        <f>_xlfn.FLOOR.MATH(Table3[[#This Row],[Current Value]]/Table3[[#This Row],[Current Price]])</f>
        <v>0</v>
      </c>
      <c r="G45" s="10">
        <v>0</v>
      </c>
      <c r="H45" s="10">
        <v>0</v>
      </c>
      <c r="I45" s="10">
        <v>-2634.3</v>
      </c>
      <c r="J45" s="9">
        <v>-5.2999999999999999E-2</v>
      </c>
      <c r="K45" s="4">
        <f>$B$5+Table3[[#This Row],[Beta]]*($B$14-$B$5)</f>
        <v>0.32825677580706858</v>
      </c>
      <c r="L45" s="9">
        <f>Table3[[#This Row],[Current Value]]/SUM(Table3[Current Value])</f>
        <v>0</v>
      </c>
      <c r="N45" s="22">
        <f>VLOOKUP(Table3[[#This Row],[Company name]],Universe!$B$2:$G$1998,5,FALSE)</f>
        <v>591.1</v>
      </c>
    </row>
    <row r="46" spans="1:14" x14ac:dyDescent="0.25">
      <c r="A46" t="s">
        <v>145</v>
      </c>
      <c r="B46" t="str">
        <f>VLOOKUP(Table3[[#This Row],[Company name]],Universe!$B$2:$E$1996,2,FALSE)</f>
        <v>Banking Services</v>
      </c>
      <c r="C46" t="str">
        <f>VLOOKUP(Table3[[#This Row],[Company name]],Universe!$B$2:$E$1998,3,FALSE)</f>
        <v>HDFCBANK</v>
      </c>
      <c r="D46">
        <f>VLOOKUP(Table3[[#This Row],[Company name]],Universe!$B$2:$G$1996,4,FALSE)</f>
        <v>1.1359999999999999</v>
      </c>
      <c r="E46" s="15">
        <f>VLOOKUP(Table3[[#This Row],[Company name]],Universe!$B$2:$G$1996,6,FALSE)</f>
        <v>0</v>
      </c>
      <c r="F46" s="15">
        <f>_xlfn.FLOOR.MATH(Table3[[#This Row],[Current Value]]/Table3[[#This Row],[Current Price]])</f>
        <v>0</v>
      </c>
      <c r="G46" s="10">
        <v>0</v>
      </c>
      <c r="H46" s="10">
        <v>0</v>
      </c>
      <c r="I46" s="10">
        <v>-10414.59</v>
      </c>
      <c r="J46" s="9">
        <v>-4.0999999999999988E-2</v>
      </c>
      <c r="K46" s="4">
        <f>$B$5+Table3[[#This Row],[Beta]]*($B$14-$B$5)</f>
        <v>0.28543839180504321</v>
      </c>
      <c r="L46" s="9">
        <f>Table3[[#This Row],[Current Value]]/SUM(Table3[Current Value])</f>
        <v>0</v>
      </c>
      <c r="N46" s="21">
        <f>VLOOKUP(Table3[[#This Row],[Company name]],Universe!$B$2:$G$1998,5,FALSE)</f>
        <v>1447.9</v>
      </c>
    </row>
    <row r="47" spans="1:14" x14ac:dyDescent="0.25">
      <c r="A47" t="s">
        <v>81</v>
      </c>
      <c r="B47" t="str">
        <f>VLOOKUP(Table3[[#This Row],[Company name]],Universe!$B$2:$E$1996,2,FALSE)</f>
        <v>Oil &amp; Gas</v>
      </c>
      <c r="C47" t="str">
        <f>VLOOKUP(Table3[[#This Row],[Company name]],Universe!$B$2:$E$1998,3,FALSE)</f>
        <v>CASTROLIND</v>
      </c>
      <c r="D47">
        <f>VLOOKUP(Table3[[#This Row],[Company name]],Universe!$B$2:$G$1996,4,FALSE)</f>
        <v>1.1546000000000001</v>
      </c>
      <c r="E47" s="15" t="e">
        <f>VLOOKUP(Table3[[#This Row],[Company name]],Universe!$B$2:$G$1996,6,FALSE)</f>
        <v>#N/A</v>
      </c>
      <c r="F47" s="15">
        <f>_xlfn.FLOOR.MATH(Table3[[#This Row],[Current Value]]/Table3[[#This Row],[Current Price]])</f>
        <v>0</v>
      </c>
      <c r="G47" s="10">
        <v>0</v>
      </c>
      <c r="H47" s="10">
        <v>0</v>
      </c>
      <c r="I47" s="10">
        <v>0</v>
      </c>
      <c r="J47" s="9">
        <v>0</v>
      </c>
      <c r="K47" s="4">
        <f>$B$5+Table3[[#This Row],[Beta]]*($B$14-$B$5)</f>
        <v>0.28895926688213286</v>
      </c>
      <c r="L47" s="9">
        <f>Table3[[#This Row],[Current Value]]/SUM(Table3[Current Value])</f>
        <v>0</v>
      </c>
      <c r="N47" s="22">
        <f>VLOOKUP(Table3[[#This Row],[Company name]],Universe!$B$2:$G$1998,5,FALSE)</f>
        <v>185.95</v>
      </c>
    </row>
    <row r="48" spans="1:14" x14ac:dyDescent="0.25">
      <c r="A48" t="s">
        <v>213</v>
      </c>
      <c r="B48" t="str">
        <f>VLOOKUP(Table3[[#This Row],[Company name]],Universe!$B$2:$E$1996,2,FALSE)</f>
        <v>Automobiles &amp; Auto Parts</v>
      </c>
      <c r="C48" t="str">
        <f>VLOOKUP(Table3[[#This Row],[Company name]],Universe!$B$2:$E$1998,3,FALSE)</f>
        <v>JAMNAAUTO</v>
      </c>
      <c r="D48">
        <f>VLOOKUP(Table3[[#This Row],[Company name]],Universe!$B$2:$G$1996,4,FALSE)</f>
        <v>1.1862999999999999</v>
      </c>
      <c r="E48" s="15" t="str">
        <f>VLOOKUP(Table3[[#This Row],[Company name]],Universe!$B$2:$G$1996,6,FALSE)</f>
        <v>AGG</v>
      </c>
      <c r="F48" s="15">
        <f>_xlfn.FLOOR.MATH(Table3[[#This Row],[Current Value]]/Table3[[#This Row],[Current Price]])</f>
        <v>0</v>
      </c>
      <c r="G48" s="10">
        <v>0</v>
      </c>
      <c r="H48" s="10">
        <v>0</v>
      </c>
      <c r="I48" s="10">
        <v>1621.2</v>
      </c>
      <c r="J48" s="9">
        <v>1.2E-2</v>
      </c>
      <c r="K48" s="4">
        <f>$B$5+Table3[[#This Row],[Beta]]*($B$14-$B$5)</f>
        <v>0.29495989806190387</v>
      </c>
      <c r="L48" s="9">
        <f>Table3[[#This Row],[Current Value]]/SUM(Table3[Current Value])</f>
        <v>0</v>
      </c>
      <c r="N48" s="21">
        <f>VLOOKUP(Table3[[#This Row],[Company name]],Universe!$B$2:$G$1998,5,FALSE)</f>
        <v>132.25</v>
      </c>
    </row>
    <row r="49" spans="1:14" x14ac:dyDescent="0.25">
      <c r="A49" t="s">
        <v>260</v>
      </c>
      <c r="B49" t="str">
        <f>VLOOKUP(Table3[[#This Row],[Company name]],Universe!$B$2:$E$1996,2,FALSE)</f>
        <v>Media &amp; Publishing</v>
      </c>
      <c r="C49" t="str">
        <f>VLOOKUP(Table3[[#This Row],[Company name]],Universe!$B$2:$E$1998,3,FALSE)</f>
        <v>NAVNETEDUL</v>
      </c>
      <c r="D49">
        <f>VLOOKUP(Table3[[#This Row],[Company name]],Universe!$B$2:$G$1996,4,FALSE)</f>
        <v>0.96130000000000004</v>
      </c>
      <c r="E49" s="15" t="str">
        <f>VLOOKUP(Table3[[#This Row],[Company name]],Universe!$B$2:$G$1996,6,FALSE)</f>
        <v>AGG</v>
      </c>
      <c r="F49" s="15">
        <f>_xlfn.FLOOR.MATH(Table3[[#This Row],[Current Value]]/Table3[[#This Row],[Current Price]])</f>
        <v>0</v>
      </c>
      <c r="G49" s="10">
        <v>0</v>
      </c>
      <c r="H49" s="10">
        <v>0</v>
      </c>
      <c r="I49" s="10">
        <v>6491.15</v>
      </c>
      <c r="J49" s="9">
        <v>4.2999999999999997E-2</v>
      </c>
      <c r="K49" s="4">
        <f>$B$5+Table3[[#This Row],[Beta]]*($B$14-$B$5)</f>
        <v>0.25236866729065849</v>
      </c>
      <c r="L49" s="9">
        <f>Table3[[#This Row],[Current Value]]/SUM(Table3[Current Value])</f>
        <v>0</v>
      </c>
      <c r="N49" s="22">
        <f>VLOOKUP(Table3[[#This Row],[Company name]],Universe!$B$2:$G$1998,5,FALSE)</f>
        <v>137.75</v>
      </c>
    </row>
    <row r="50" spans="1:14" x14ac:dyDescent="0.25">
      <c r="A50" t="s">
        <v>71</v>
      </c>
      <c r="B50" t="str">
        <f>VLOOKUP(Table3[[#This Row],[Company name]],Universe!$B$2:$E$1996,2,FALSE)</f>
        <v>Telecommunications Services</v>
      </c>
      <c r="C50" t="str">
        <f>VLOOKUP(Table3[[#This Row],[Company name]],Universe!$B$2:$E$1998,3,FALSE)</f>
        <v>BHARTIARTL</v>
      </c>
      <c r="D50">
        <f>VLOOKUP(Table3[[#This Row],[Company name]],Universe!$B$2:$G$1996,4,FALSE)</f>
        <v>0.59330000000000005</v>
      </c>
      <c r="E50" s="15" t="str">
        <f>VLOOKUP(Table3[[#This Row],[Company name]],Universe!$B$2:$G$1996,6,FALSE)</f>
        <v>LT</v>
      </c>
      <c r="F50" s="15">
        <f>_xlfn.FLOOR.MATH(Table3[[#This Row],[Current Value]]/Table3[[#This Row],[Current Price]])</f>
        <v>0</v>
      </c>
      <c r="G50" s="10">
        <v>0</v>
      </c>
      <c r="H50" s="10">
        <v>0</v>
      </c>
      <c r="I50" s="10">
        <v>2050.5500000000002</v>
      </c>
      <c r="J50" s="9">
        <v>5.4000000000000013E-2</v>
      </c>
      <c r="K50" s="4">
        <f>$B$5+Table3[[#This Row],[Beta]]*($B$14-$B$5)</f>
        <v>0.18270834318479945</v>
      </c>
      <c r="L50" s="9">
        <f>Table3[[#This Row],[Current Value]]/SUM(Table3[Current Value])</f>
        <v>0</v>
      </c>
      <c r="N50" s="21">
        <f>VLOOKUP(Table3[[#This Row],[Company name]],Universe!$B$2:$G$1998,5,FALSE)</f>
        <v>1228.5999999999999</v>
      </c>
    </row>
    <row r="51" spans="1:14" x14ac:dyDescent="0.25">
      <c r="A51" t="s">
        <v>292</v>
      </c>
      <c r="B51" t="str">
        <f>VLOOKUP(Table3[[#This Row],[Company name]],Universe!$B$2:$E$1996,2,FALSE)</f>
        <v>Banking Services</v>
      </c>
      <c r="C51" t="str">
        <f>VLOOKUP(Table3[[#This Row],[Company name]],Universe!$B$2:$E$1998,3,FALSE)</f>
        <v>POONAWALLA</v>
      </c>
      <c r="D51">
        <f>VLOOKUP(Table3[[#This Row],[Company name]],Universe!$B$2:$G$1996,4,FALSE)</f>
        <v>2.5646</v>
      </c>
      <c r="E51" s="15" t="e">
        <f>VLOOKUP(Table3[[#This Row],[Company name]],Universe!$B$2:$G$1996,6,FALSE)</f>
        <v>#N/A</v>
      </c>
      <c r="F51" s="15">
        <f>_xlfn.FLOOR.MATH(Table3[[#This Row],[Current Value]]/Table3[[#This Row],[Current Price]])</f>
        <v>0</v>
      </c>
      <c r="G51" s="10">
        <v>0</v>
      </c>
      <c r="H51" s="10">
        <v>0</v>
      </c>
      <c r="I51" s="10">
        <v>6668.15</v>
      </c>
      <c r="J51" s="9">
        <v>6.7000000000000004E-2</v>
      </c>
      <c r="K51" s="4">
        <f>$B$5+Table3[[#This Row],[Beta]]*($B$14-$B$5)</f>
        <v>0.55586431304860373</v>
      </c>
      <c r="L51" s="9">
        <f>Table3[[#This Row],[Current Value]]/SUM(Table3[Current Value])</f>
        <v>0</v>
      </c>
      <c r="N51" s="22">
        <f>VLOOKUP(Table3[[#This Row],[Company name]],Universe!$B$2:$G$1998,5,FALSE)</f>
        <v>465.6</v>
      </c>
    </row>
    <row r="52" spans="1:14" x14ac:dyDescent="0.25">
      <c r="A52" t="s">
        <v>156</v>
      </c>
      <c r="B52" t="str">
        <f>VLOOKUP(Table3[[#This Row],[Company name]],Universe!$B$2:$E$1996,2,FALSE)</f>
        <v>Aerospace &amp; Defense</v>
      </c>
      <c r="C52" t="str">
        <f>VLOOKUP(Table3[[#This Row],[Company name]],Universe!$B$2:$E$1998,3,FALSE)</f>
        <v>HAL</v>
      </c>
      <c r="D52">
        <f>VLOOKUP(Table3[[#This Row],[Company name]],Universe!$B$2:$G$1996,4,FALSE)</f>
        <v>1.2263999999999999</v>
      </c>
      <c r="E52" s="15" t="e">
        <f>VLOOKUP(Table3[[#This Row],[Company name]],Universe!$B$2:$G$1996,6,FALSE)</f>
        <v>#N/A</v>
      </c>
      <c r="F52" s="15">
        <f>_xlfn.FLOOR.MATH(Table3[[#This Row],[Current Value]]/Table3[[#This Row],[Current Price]])</f>
        <v>0</v>
      </c>
      <c r="G52" s="10">
        <v>0</v>
      </c>
      <c r="H52" s="10">
        <v>0</v>
      </c>
      <c r="I52" s="10">
        <v>3303</v>
      </c>
      <c r="J52" s="9">
        <v>0.10299999999999999</v>
      </c>
      <c r="K52" s="4">
        <f>$B$5+Table3[[#This Row],[Beta]]*($B$14-$B$5)</f>
        <v>0.30255060185713467</v>
      </c>
      <c r="L52" s="9">
        <f>Table3[[#This Row],[Current Value]]/SUM(Table3[Current Value])</f>
        <v>0</v>
      </c>
      <c r="N52" s="21">
        <f>VLOOKUP(Table3[[#This Row],[Company name]],Universe!$B$2:$G$1998,5,FALSE)</f>
        <v>3327</v>
      </c>
    </row>
    <row r="53" spans="1:14" x14ac:dyDescent="0.25">
      <c r="A53" t="s">
        <v>138</v>
      </c>
      <c r="B53" t="str">
        <f>VLOOKUP(Table3[[#This Row],[Company name]],Universe!$B$2:$E$1996,2,FALSE)</f>
        <v>Paper &amp; Forest Products</v>
      </c>
      <c r="C53" t="str">
        <f>VLOOKUP(Table3[[#This Row],[Company name]],Universe!$B$2:$E$1998,3,FALSE)</f>
        <v>GREENPLY</v>
      </c>
      <c r="D53">
        <f>VLOOKUP(Table3[[#This Row],[Company name]],Universe!$B$2:$G$1996,4,FALSE)</f>
        <v>1.7059</v>
      </c>
      <c r="E53" s="15" t="str">
        <f>VLOOKUP(Table3[[#This Row],[Company name]],Universe!$B$2:$G$1996,6,FALSE)</f>
        <v>AGG</v>
      </c>
      <c r="F53" s="15">
        <f>_xlfn.FLOOR.MATH(Table3[[#This Row],[Current Value]]/Table3[[#This Row],[Current Price]])</f>
        <v>0</v>
      </c>
      <c r="G53" s="10">
        <v>0</v>
      </c>
      <c r="H53" s="10">
        <v>0</v>
      </c>
      <c r="I53" s="10">
        <v>5468.2</v>
      </c>
      <c r="J53" s="9">
        <v>0.109</v>
      </c>
      <c r="K53" s="4">
        <f>$B$5+Table3[[#This Row],[Beta]]*($B$14-$B$5)</f>
        <v>0.39331724698963316</v>
      </c>
      <c r="L53" s="9">
        <f>Table3[[#This Row],[Current Value]]/SUM(Table3[Current Value])</f>
        <v>0</v>
      </c>
      <c r="N53" s="22">
        <f>VLOOKUP(Table3[[#This Row],[Company name]],Universe!$B$2:$G$1998,5,FALSE)</f>
        <v>231.2</v>
      </c>
    </row>
    <row r="54" spans="1:14" x14ac:dyDescent="0.25">
      <c r="A54" t="s">
        <v>26</v>
      </c>
      <c r="B54" t="str">
        <f>VLOOKUP(Table3[[#This Row],[Company name]],Universe!$B$2:$E$1996,2,FALSE)</f>
        <v>Computers, Phones &amp; Household Electronics</v>
      </c>
      <c r="C54" t="str">
        <f>VLOOKUP(Table3[[#This Row],[Company name]],Universe!$B$2:$E$1998,3,FALSE)</f>
        <v>AMBER</v>
      </c>
      <c r="D54">
        <f>VLOOKUP(Table3[[#This Row],[Company name]],Universe!$B$2:$G$1996,4,FALSE)</f>
        <v>0.26400000000000001</v>
      </c>
      <c r="E54" s="15" t="e">
        <f>VLOOKUP(Table3[[#This Row],[Company name]],Universe!$B$2:$G$1996,6,FALSE)</f>
        <v>#N/A</v>
      </c>
      <c r="F54" s="15">
        <f>_xlfn.FLOOR.MATH(Table3[[#This Row],[Current Value]]/Table3[[#This Row],[Current Price]])</f>
        <v>0</v>
      </c>
      <c r="G54" s="10">
        <v>0</v>
      </c>
      <c r="H54" s="10">
        <v>0</v>
      </c>
      <c r="I54" s="10">
        <v>11486.05</v>
      </c>
      <c r="J54" s="9">
        <v>0.11700000000000001</v>
      </c>
      <c r="K54" s="4">
        <f>$B$5+Table3[[#This Row],[Beta]]*($B$14-$B$5)</f>
        <v>0.12037371077159456</v>
      </c>
      <c r="L54" s="9">
        <f>Table3[[#This Row],[Current Value]]/SUM(Table3[Current Value])</f>
        <v>0</v>
      </c>
      <c r="N54" s="21">
        <f>VLOOKUP(Table3[[#This Row],[Company name]],Universe!$B$2:$G$1998,5,FALSE)</f>
        <v>3657.7</v>
      </c>
    </row>
    <row r="55" spans="1:14" x14ac:dyDescent="0.25">
      <c r="A55" t="s">
        <v>34</v>
      </c>
      <c r="B55" t="str">
        <f>VLOOKUP(Table3[[#This Row],[Company name]],Universe!$B$2:$E$1996,2,FALSE)</f>
        <v>Metals &amp; Mining</v>
      </c>
      <c r="C55" t="str">
        <f>VLOOKUP(Table3[[#This Row],[Company name]],Universe!$B$2:$E$1998,3,FALSE)</f>
        <v>ASHAPURMIN</v>
      </c>
      <c r="D55">
        <f>VLOOKUP(Table3[[#This Row],[Company name]],Universe!$B$2:$G$1996,4,FALSE)</f>
        <v>1.0712999999999999</v>
      </c>
      <c r="E55" s="15" t="e">
        <f>VLOOKUP(Table3[[#This Row],[Company name]],Universe!$B$2:$G$1996,6,FALSE)</f>
        <v>#N/A</v>
      </c>
      <c r="F55" s="15">
        <f>_xlfn.FLOOR.MATH(Table3[[#This Row],[Current Value]]/Table3[[#This Row],[Current Price]])</f>
        <v>0</v>
      </c>
      <c r="G55" s="10">
        <v>0</v>
      </c>
      <c r="H55" s="10">
        <v>0</v>
      </c>
      <c r="I55" s="10">
        <v>12815.3</v>
      </c>
      <c r="J55" s="9">
        <v>0.125</v>
      </c>
      <c r="K55" s="4">
        <f>$B$5+Table3[[#This Row],[Beta]]*($B$14-$B$5)</f>
        <v>0.27319104677882289</v>
      </c>
      <c r="L55" s="9">
        <f>Table3[[#This Row],[Current Value]]/SUM(Table3[Current Value])</f>
        <v>0</v>
      </c>
      <c r="N55" s="22">
        <f>VLOOKUP(Table3[[#This Row],[Company name]],Universe!$B$2:$G$1998,5,FALSE)</f>
        <v>375.95</v>
      </c>
    </row>
    <row r="56" spans="1:14" x14ac:dyDescent="0.25">
      <c r="A56" t="s">
        <v>358</v>
      </c>
      <c r="B56" t="str">
        <f>VLOOKUP(Table3[[#This Row],[Company name]],Universe!$B$2:$E$1996,2,FALSE)</f>
        <v>Construction Materials</v>
      </c>
      <c r="C56" t="str">
        <f>VLOOKUP(Table3[[#This Row],[Company name]],Universe!$B$2:$E$1998,3,FALSE)</f>
        <v>ULTRACEMCO</v>
      </c>
      <c r="D56">
        <f>VLOOKUP(Table3[[#This Row],[Company name]],Universe!$B$2:$G$1996,4,FALSE)</f>
        <v>0.87160000000000004</v>
      </c>
      <c r="E56" s="15" t="str">
        <f>VLOOKUP(Table3[[#This Row],[Company name]],Universe!$B$2:$G$1996,6,FALSE)</f>
        <v>LT</v>
      </c>
      <c r="F56" s="15">
        <f>_xlfn.FLOOR.MATH(Table3[[#This Row],[Current Value]]/Table3[[#This Row],[Current Price]])</f>
        <v>0</v>
      </c>
      <c r="G56" s="10">
        <v>0</v>
      </c>
      <c r="H56" s="10">
        <v>0</v>
      </c>
      <c r="I56" s="10">
        <v>30061.8</v>
      </c>
      <c r="J56" s="9">
        <v>0.13800000000000001</v>
      </c>
      <c r="K56" s="4">
        <f>$B$5+Table3[[#This Row],[Beta]]*($B$14-$B$5)</f>
        <v>0.23538896328985537</v>
      </c>
      <c r="L56" s="9">
        <f>Table3[[#This Row],[Current Value]]/SUM(Table3[Current Value])</f>
        <v>0</v>
      </c>
      <c r="N56" s="21">
        <f>VLOOKUP(Table3[[#This Row],[Company name]],Universe!$B$2:$G$1998,5,FALSE)</f>
        <v>9749.15</v>
      </c>
    </row>
    <row r="57" spans="1:14" x14ac:dyDescent="0.25">
      <c r="A57" t="s">
        <v>201</v>
      </c>
      <c r="B57" t="str">
        <f>VLOOKUP(Table3[[#This Row],[Company name]],Universe!$B$2:$E$1996,2,FALSE)</f>
        <v>Machinery, Equipment &amp; Components</v>
      </c>
      <c r="C57" t="str">
        <f>VLOOKUP(Table3[[#This Row],[Company name]],Universe!$B$2:$E$1998,3,FALSE)</f>
        <v>INGERRAND</v>
      </c>
      <c r="D57">
        <f>VLOOKUP(Table3[[#This Row],[Company name]],Universe!$B$2:$G$1996,4,FALSE)</f>
        <v>0.38819999999999999</v>
      </c>
      <c r="E57" s="15" t="e">
        <f>VLOOKUP(Table3[[#This Row],[Company name]],Universe!$B$2:$G$1996,6,FALSE)</f>
        <v>#N/A</v>
      </c>
      <c r="F57" s="15">
        <f>_xlfn.FLOOR.MATH(Table3[[#This Row],[Current Value]]/Table3[[#This Row],[Current Price]])</f>
        <v>0</v>
      </c>
      <c r="G57" s="10">
        <v>0</v>
      </c>
      <c r="H57" s="10">
        <v>0</v>
      </c>
      <c r="I57" s="10">
        <v>14035.65</v>
      </c>
      <c r="J57" s="9">
        <v>0.14299999999999999</v>
      </c>
      <c r="K57" s="4">
        <f>$B$5+Table3[[#This Row],[Beta]]*($B$14-$B$5)</f>
        <v>0.14388407015732199</v>
      </c>
      <c r="L57" s="9">
        <f>Table3[[#This Row],[Current Value]]/SUM(Table3[Current Value])</f>
        <v>0</v>
      </c>
      <c r="N57" s="22">
        <f>VLOOKUP(Table3[[#This Row],[Company name]],Universe!$B$2:$G$1998,5,FALSE)</f>
        <v>3680.35</v>
      </c>
    </row>
    <row r="58" spans="1:14" x14ac:dyDescent="0.25">
      <c r="A58" t="s">
        <v>44</v>
      </c>
      <c r="B58" t="str">
        <f>VLOOKUP(Table3[[#This Row],[Company name]],Universe!$B$2:$E$1996,2,FALSE)</f>
        <v>Food &amp; Drug Retailing</v>
      </c>
      <c r="C58" t="str">
        <f>VLOOKUP(Table3[[#This Row],[Company name]],Universe!$B$2:$E$1998,3,FALSE)</f>
        <v>DMART</v>
      </c>
      <c r="D58">
        <f>VLOOKUP(Table3[[#This Row],[Company name]],Universe!$B$2:$G$1996,4,FALSE)</f>
        <v>0.54849999999999999</v>
      </c>
      <c r="E58" s="15" t="e">
        <f>VLOOKUP(Table3[[#This Row],[Company name]],Universe!$B$2:$G$1996,6,FALSE)</f>
        <v>#N/A</v>
      </c>
      <c r="F58" s="15">
        <f>_xlfn.FLOOR.MATH(Table3[[#This Row],[Current Value]]/Table3[[#This Row],[Current Price]])</f>
        <v>0</v>
      </c>
      <c r="G58" s="10">
        <v>0</v>
      </c>
      <c r="H58" s="10">
        <v>0</v>
      </c>
      <c r="I58" s="10">
        <v>7375.9</v>
      </c>
      <c r="J58" s="9">
        <v>0.153</v>
      </c>
      <c r="K58" s="4">
        <f>$B$5+Table3[[#This Row],[Beta]]*($B$14-$B$5)</f>
        <v>0.17422795590234702</v>
      </c>
      <c r="L58" s="9">
        <f>Table3[[#This Row],[Current Value]]/SUM(Table3[Current Value])</f>
        <v>0</v>
      </c>
      <c r="N58" s="21">
        <f>VLOOKUP(Table3[[#This Row],[Company name]],Universe!$B$2:$G$1998,5,FALSE)</f>
        <v>4525.6000000000004</v>
      </c>
    </row>
    <row r="59" spans="1:14" x14ac:dyDescent="0.25">
      <c r="A59" t="s">
        <v>327</v>
      </c>
      <c r="B59" t="str">
        <f>VLOOKUP(Table3[[#This Row],[Company name]],Universe!$B$2:$E$1996,2,FALSE)</f>
        <v>Real Estate Operations</v>
      </c>
      <c r="C59" t="str">
        <f>VLOOKUP(Table3[[#This Row],[Company name]],Universe!$B$2:$E$1998,3,FALSE)</f>
        <v>SOBHA</v>
      </c>
      <c r="D59">
        <f>VLOOKUP(Table3[[#This Row],[Company name]],Universe!$B$2:$G$1996,4,FALSE)</f>
        <v>1.8386</v>
      </c>
      <c r="E59" s="15" t="e">
        <f>VLOOKUP(Table3[[#This Row],[Company name]],Universe!$B$2:$G$1996,6,FALSE)</f>
        <v>#N/A</v>
      </c>
      <c r="F59" s="15">
        <f>_xlfn.FLOOR.MATH(Table3[[#This Row],[Current Value]]/Table3[[#This Row],[Current Price]])</f>
        <v>0</v>
      </c>
      <c r="G59" s="10">
        <v>0</v>
      </c>
      <c r="H59" s="10">
        <v>0</v>
      </c>
      <c r="I59" s="10">
        <v>16189.7</v>
      </c>
      <c r="J59" s="9">
        <v>0.16300000000000001</v>
      </c>
      <c r="K59" s="4">
        <f>$B$5+Table3[[#This Row],[Beta]]*($B$14-$B$5)</f>
        <v>0.41843660842671876</v>
      </c>
      <c r="L59" s="9">
        <f>Table3[[#This Row],[Current Value]]/SUM(Table3[Current Value])</f>
        <v>0</v>
      </c>
      <c r="N59" s="22">
        <f>VLOOKUP(Table3[[#This Row],[Company name]],Universe!$B$2:$G$1998,5,FALSE)</f>
        <v>1448.75</v>
      </c>
    </row>
    <row r="60" spans="1:14" x14ac:dyDescent="0.25">
      <c r="A60" t="s">
        <v>118</v>
      </c>
      <c r="B60" t="str">
        <f>VLOOKUP(Table3[[#This Row],[Company name]],Universe!$B$2:$E$1996,2,FALSE)</f>
        <v>Automobiles &amp; Auto Parts</v>
      </c>
      <c r="C60" t="str">
        <f>VLOOKUP(Table3[[#This Row],[Company name]],Universe!$B$2:$E$1998,3,FALSE)</f>
        <v>EXIDEIND</v>
      </c>
      <c r="D60">
        <f>VLOOKUP(Table3[[#This Row],[Company name]],Universe!$B$2:$G$1996,4,FALSE)</f>
        <v>0.9526</v>
      </c>
      <c r="E60" s="15" t="e">
        <f>VLOOKUP(Table3[[#This Row],[Company name]],Universe!$B$2:$G$1996,6,FALSE)</f>
        <v>#N/A</v>
      </c>
      <c r="F60" s="15">
        <f>_xlfn.FLOOR.MATH(Table3[[#This Row],[Current Value]]/Table3[[#This Row],[Current Price]])</f>
        <v>0</v>
      </c>
      <c r="G60" s="10">
        <v>0</v>
      </c>
      <c r="H60" s="10">
        <v>0</v>
      </c>
      <c r="I60" s="10">
        <v>15141</v>
      </c>
      <c r="J60" s="9">
        <v>0.16400000000000001</v>
      </c>
      <c r="K60" s="4">
        <f>$B$5+Table3[[#This Row],[Beta]]*($B$14-$B$5)</f>
        <v>0.25072180636750369</v>
      </c>
      <c r="L60" s="9">
        <f>Table3[[#This Row],[Current Value]]/SUM(Table3[Current Value])</f>
        <v>0</v>
      </c>
      <c r="N60" s="21">
        <f>VLOOKUP(Table3[[#This Row],[Company name]],Universe!$B$2:$G$1998,5,FALSE)</f>
        <v>304.55</v>
      </c>
    </row>
    <row r="61" spans="1:14" x14ac:dyDescent="0.25">
      <c r="A61" t="s">
        <v>203</v>
      </c>
      <c r="B61" t="str">
        <f>VLOOKUP(Table3[[#This Row],[Company name]],Universe!$B$2:$E$1996,2,FALSE)</f>
        <v>Passenger Transportation Services</v>
      </c>
      <c r="C61" t="str">
        <f>VLOOKUP(Table3[[#This Row],[Company name]],Universe!$B$2:$E$1998,3,FALSE)</f>
        <v>INDIGO</v>
      </c>
      <c r="D61">
        <f>VLOOKUP(Table3[[#This Row],[Company name]],Universe!$B$2:$G$1996,4,FALSE)</f>
        <v>0.85770000000000002</v>
      </c>
      <c r="E61" s="15" t="str">
        <f>VLOOKUP(Table3[[#This Row],[Company name]],Universe!$B$2:$G$1996,6,FALSE)</f>
        <v>AGG</v>
      </c>
      <c r="F61" s="15">
        <f>_xlfn.FLOOR.MATH(Table3[[#This Row],[Current Value]]/Table3[[#This Row],[Current Price]])</f>
        <v>0</v>
      </c>
      <c r="G61" s="10">
        <v>0</v>
      </c>
      <c r="H61" s="10">
        <v>0</v>
      </c>
      <c r="I61" s="10">
        <v>32608.75</v>
      </c>
      <c r="J61" s="9">
        <v>0.16500000000000001</v>
      </c>
      <c r="K61" s="4">
        <f>$B$5+Table3[[#This Row],[Beta]]*($B$14-$B$5)</f>
        <v>0.23275777169998729</v>
      </c>
      <c r="L61" s="9">
        <f>Table3[[#This Row],[Current Value]]/SUM(Table3[Current Value])</f>
        <v>0</v>
      </c>
      <c r="N61" s="22">
        <f>VLOOKUP(Table3[[#This Row],[Company name]],Universe!$B$2:$G$1998,5,FALSE)</f>
        <v>3548.65</v>
      </c>
    </row>
    <row r="62" spans="1:14" x14ac:dyDescent="0.25">
      <c r="A62" t="s">
        <v>315</v>
      </c>
      <c r="B62" t="str">
        <f>VLOOKUP(Table3[[#This Row],[Company name]],Universe!$B$2:$E$1996,2,FALSE)</f>
        <v>Media &amp; Publishing</v>
      </c>
      <c r="C62" t="str">
        <f>VLOOKUP(Table3[[#This Row],[Company name]],Universe!$B$2:$E$1998,3,FALSE)</f>
        <v>SCHAND</v>
      </c>
      <c r="D62">
        <f>VLOOKUP(Table3[[#This Row],[Company name]],Universe!$B$2:$G$1996,4,FALSE)</f>
        <v>1.6859</v>
      </c>
      <c r="E62" s="15" t="str">
        <f>VLOOKUP(Table3[[#This Row],[Company name]],Universe!$B$2:$G$1996,6,FALSE)</f>
        <v>AGG</v>
      </c>
      <c r="F62" s="15">
        <f>_xlfn.FLOOR.MATH(Table3[[#This Row],[Current Value]]/Table3[[#This Row],[Current Price]])</f>
        <v>0</v>
      </c>
      <c r="G62" s="10">
        <v>0</v>
      </c>
      <c r="H62" s="10">
        <v>0</v>
      </c>
      <c r="I62" s="10">
        <v>34167.449999999997</v>
      </c>
      <c r="J62" s="9">
        <v>0.17100000000000001</v>
      </c>
      <c r="K62" s="4">
        <f>$B$5+Table3[[#This Row],[Beta]]*($B$14-$B$5)</f>
        <v>0.38953135980996689</v>
      </c>
      <c r="L62" s="9">
        <f>Table3[[#This Row],[Current Value]]/SUM(Table3[Current Value])</f>
        <v>0</v>
      </c>
      <c r="N62" s="21">
        <f>VLOOKUP(Table3[[#This Row],[Company name]],Universe!$B$2:$G$1998,5,FALSE)</f>
        <v>232.6</v>
      </c>
    </row>
    <row r="63" spans="1:14" x14ac:dyDescent="0.25">
      <c r="A63" t="s">
        <v>103</v>
      </c>
      <c r="B63" t="str">
        <f>VLOOKUP(Table3[[#This Row],[Company name]],Universe!$B$2:$E$1996,2,FALSE)</f>
        <v>Chemicals</v>
      </c>
      <c r="C63" t="str">
        <f>VLOOKUP(Table3[[#This Row],[Company name]],Universe!$B$2:$E$1998,3,FALSE)</f>
        <v>DEEPAKNTR</v>
      </c>
      <c r="D63">
        <f>VLOOKUP(Table3[[#This Row],[Company name]],Universe!$B$2:$G$1996,4,FALSE)</f>
        <v>1.1565000000000001</v>
      </c>
      <c r="E63" s="15" t="e">
        <f>VLOOKUP(Table3[[#This Row],[Company name]],Universe!$B$2:$G$1996,6,FALSE)</f>
        <v>#N/A</v>
      </c>
      <c r="F63" s="15">
        <f>_xlfn.FLOOR.MATH(Table3[[#This Row],[Current Value]]/Table3[[#This Row],[Current Price]])</f>
        <v>0</v>
      </c>
      <c r="G63" s="10">
        <v>0</v>
      </c>
      <c r="H63" s="10">
        <v>0</v>
      </c>
      <c r="I63" s="10">
        <v>26556.7</v>
      </c>
      <c r="J63" s="9">
        <v>0.20599999999999999</v>
      </c>
      <c r="K63" s="4">
        <f>$B$5+Table3[[#This Row],[Beta]]*($B$14-$B$5)</f>
        <v>0.28931892616420118</v>
      </c>
      <c r="L63" s="9">
        <f>Table3[[#This Row],[Current Value]]/SUM(Table3[Current Value])</f>
        <v>0</v>
      </c>
      <c r="N63" s="22">
        <f>VLOOKUP(Table3[[#This Row],[Company name]],Universe!$B$2:$G$1998,5,FALSE)</f>
        <v>2125.5</v>
      </c>
    </row>
    <row r="64" spans="1:14" x14ac:dyDescent="0.25">
      <c r="A64" t="s">
        <v>280</v>
      </c>
      <c r="B64" t="str">
        <f>VLOOKUP(Table3[[#This Row],[Company name]],Universe!$B$2:$E$1996,2,FALSE)</f>
        <v>Chemicals</v>
      </c>
      <c r="C64" t="str">
        <f>VLOOKUP(Table3[[#This Row],[Company name]],Universe!$B$2:$E$1998,3,FALSE)</f>
        <v>PARADEEP</v>
      </c>
      <c r="D64">
        <f>VLOOKUP(Table3[[#This Row],[Company name]],Universe!$B$2:$G$1996,4,FALSE)</f>
        <v>0.80400000000000005</v>
      </c>
      <c r="E64" s="15" t="str">
        <f>VLOOKUP(Table3[[#This Row],[Company name]],Universe!$B$2:$G$1996,6,FALSE)</f>
        <v>AGG</v>
      </c>
      <c r="F64" s="15">
        <f>_xlfn.FLOOR.MATH(Table3[[#This Row],[Current Value]]/Table3[[#This Row],[Current Price]])</f>
        <v>0</v>
      </c>
      <c r="G64" s="10">
        <v>0</v>
      </c>
      <c r="H64" s="10">
        <v>0</v>
      </c>
      <c r="I64" s="10">
        <v>30692.2</v>
      </c>
      <c r="J64" s="9">
        <v>0.219</v>
      </c>
      <c r="K64" s="4">
        <f>$B$5+Table3[[#This Row],[Beta]]*($B$14-$B$5)</f>
        <v>0.22259266462258342</v>
      </c>
      <c r="L64" s="9">
        <f>Table3[[#This Row],[Current Value]]/SUM(Table3[Current Value])</f>
        <v>0</v>
      </c>
      <c r="N64" s="21">
        <f>VLOOKUP(Table3[[#This Row],[Company name]],Universe!$B$2:$G$1998,5,FALSE)</f>
        <v>66.400000000000006</v>
      </c>
    </row>
    <row r="65" spans="1:14" x14ac:dyDescent="0.25">
      <c r="A65" t="s">
        <v>75</v>
      </c>
      <c r="B65" t="str">
        <f>VLOOKUP(Table3[[#This Row],[Company name]],Universe!$B$2:$E$1996,2,FALSE)</f>
        <v>Software &amp; IT Services</v>
      </c>
      <c r="C65" t="str">
        <f>VLOOKUP(Table3[[#This Row],[Company name]],Universe!$B$2:$E$1998,3,FALSE)</f>
        <v>BSOFT</v>
      </c>
      <c r="D65">
        <f>VLOOKUP(Table3[[#This Row],[Company name]],Universe!$B$2:$G$1996,4,FALSE)</f>
        <v>1.2115</v>
      </c>
      <c r="E65" s="15" t="e">
        <f>VLOOKUP(Table3[[#This Row],[Company name]],Universe!$B$2:$G$1996,6,FALSE)</f>
        <v>#N/A</v>
      </c>
      <c r="F65" s="15">
        <f>_xlfn.FLOOR.MATH(Table3[[#This Row],[Current Value]]/Table3[[#This Row],[Current Price]])</f>
        <v>0</v>
      </c>
      <c r="G65" s="10">
        <v>0</v>
      </c>
      <c r="H65" s="10">
        <v>0</v>
      </c>
      <c r="I65" s="10">
        <v>9322.5</v>
      </c>
      <c r="J65" s="9">
        <v>0.224</v>
      </c>
      <c r="K65" s="4">
        <f>$B$5+Table3[[#This Row],[Beta]]*($B$14-$B$5)</f>
        <v>0.29973011590828336</v>
      </c>
      <c r="L65" s="9">
        <f>Table3[[#This Row],[Current Value]]/SUM(Table3[Current Value])</f>
        <v>0</v>
      </c>
      <c r="N65" s="22">
        <f>VLOOKUP(Table3[[#This Row],[Company name]],Universe!$B$2:$G$1998,5,FALSE)</f>
        <v>742</v>
      </c>
    </row>
    <row r="66" spans="1:14" x14ac:dyDescent="0.25">
      <c r="A66" t="s">
        <v>354</v>
      </c>
      <c r="B66" t="str">
        <f>VLOOKUP(Table3[[#This Row],[Company name]],Universe!$B$2:$E$1996,2,FALSE)</f>
        <v>Electrical Utilities &amp; IPPs</v>
      </c>
      <c r="C66" t="str">
        <f>VLOOKUP(Table3[[#This Row],[Company name]],Universe!$B$2:$E$1998,3,FALSE)</f>
        <v>TATAPOWER</v>
      </c>
      <c r="D66">
        <f>VLOOKUP(Table3[[#This Row],[Company name]],Universe!$B$2:$G$1996,4,FALSE)</f>
        <v>1.3069</v>
      </c>
      <c r="E66" s="15" t="str">
        <f>VLOOKUP(Table3[[#This Row],[Company name]],Universe!$B$2:$G$1996,6,FALSE)</f>
        <v>AGG</v>
      </c>
      <c r="F66" s="15">
        <f>_xlfn.FLOOR.MATH(Table3[[#This Row],[Current Value]]/Table3[[#This Row],[Current Price]])</f>
        <v>0</v>
      </c>
      <c r="G66" s="10">
        <v>0</v>
      </c>
      <c r="H66" s="10">
        <v>0</v>
      </c>
      <c r="I66" s="10">
        <v>44971.6</v>
      </c>
      <c r="J66" s="9">
        <v>0.23400000000000001</v>
      </c>
      <c r="K66" s="4">
        <f>$B$5+Table3[[#This Row],[Beta]]*($B$14-$B$5)</f>
        <v>0.3177887977552914</v>
      </c>
      <c r="L66" s="9">
        <f>Table3[[#This Row],[Current Value]]/SUM(Table3[Current Value])</f>
        <v>0</v>
      </c>
      <c r="N66" s="21">
        <f>VLOOKUP(Table3[[#This Row],[Company name]],Universe!$B$2:$G$1998,5,FALSE)</f>
        <v>394.2</v>
      </c>
    </row>
    <row r="67" spans="1:14" x14ac:dyDescent="0.25">
      <c r="A67" t="s">
        <v>88</v>
      </c>
      <c r="B67" t="str">
        <f>VLOOKUP(Table3[[#This Row],[Company name]],Universe!$B$2:$E$1996,2,FALSE)</f>
        <v>Investment Banking &amp; Investment Services</v>
      </c>
      <c r="C67" t="str">
        <f>VLOOKUP(Table3[[#This Row],[Company name]],Universe!$B$2:$E$1998,3,FALSE)</f>
        <v>CDSL</v>
      </c>
      <c r="D67">
        <f>VLOOKUP(Table3[[#This Row],[Company name]],Universe!$B$2:$G$1996,4,FALSE)</f>
        <v>0.85019999999999996</v>
      </c>
      <c r="E67" s="15" t="e">
        <f>VLOOKUP(Table3[[#This Row],[Company name]],Universe!$B$2:$G$1996,6,FALSE)</f>
        <v>#N/A</v>
      </c>
      <c r="F67" s="15">
        <f>_xlfn.FLOOR.MATH(Table3[[#This Row],[Current Value]]/Table3[[#This Row],[Current Price]])</f>
        <v>0</v>
      </c>
      <c r="G67" s="10">
        <v>0</v>
      </c>
      <c r="H67" s="10">
        <v>0</v>
      </c>
      <c r="I67" s="10">
        <v>12469</v>
      </c>
      <c r="J67" s="9">
        <v>0.35899999999999999</v>
      </c>
      <c r="K67" s="4">
        <f>$B$5+Table3[[#This Row],[Beta]]*($B$14-$B$5)</f>
        <v>0.23133806400761248</v>
      </c>
      <c r="L67" s="9">
        <f>Table3[[#This Row],[Current Value]]/SUM(Table3[Current Value])</f>
        <v>0</v>
      </c>
      <c r="N67" s="22">
        <f>VLOOKUP(Table3[[#This Row],[Company name]],Universe!$B$2:$G$1998,5,FALSE)</f>
        <v>1711.95</v>
      </c>
    </row>
    <row r="68" spans="1:14" x14ac:dyDescent="0.25">
      <c r="A68" t="s">
        <v>294</v>
      </c>
      <c r="B68" t="str">
        <f>VLOOKUP(Table3[[#This Row],[Company name]],Universe!$B$2:$E$1996,2,FALSE)</f>
        <v>Construction &amp; Engineering</v>
      </c>
      <c r="C68" t="str">
        <f>VLOOKUP(Table3[[#This Row],[Company name]],Universe!$B$2:$E$1998,3,FALSE)</f>
        <v>PIGL</v>
      </c>
      <c r="D68">
        <f>VLOOKUP(Table3[[#This Row],[Company name]],Universe!$B$2:$G$1996,4,FALSE)</f>
        <v>0.29699999999999999</v>
      </c>
      <c r="E68" s="15" t="e">
        <f>VLOOKUP(Table3[[#This Row],[Company name]],Universe!$B$2:$G$1996,6,FALSE)</f>
        <v>#N/A</v>
      </c>
      <c r="F68" s="15">
        <f>_xlfn.FLOOR.MATH(Table3[[#This Row],[Current Value]]/Table3[[#This Row],[Current Price]])</f>
        <v>0</v>
      </c>
      <c r="G68" s="10">
        <v>0</v>
      </c>
      <c r="H68" s="10">
        <v>0</v>
      </c>
      <c r="I68" s="10">
        <v>123189.4</v>
      </c>
      <c r="J68" s="9">
        <v>0.49299999999999999</v>
      </c>
      <c r="K68" s="4">
        <f>$B$5+Table3[[#This Row],[Beta]]*($B$14-$B$5)</f>
        <v>0.12662042461804388</v>
      </c>
      <c r="L68" s="9">
        <f>Table3[[#This Row],[Current Value]]/SUM(Table3[Current Value])</f>
        <v>0</v>
      </c>
      <c r="N68" s="21">
        <f>VLOOKUP(Table3[[#This Row],[Company name]],Universe!$B$2:$G$1998,5,FALSE)</f>
        <v>67</v>
      </c>
    </row>
    <row r="69" spans="1:14" x14ac:dyDescent="0.25">
      <c r="A69" t="s">
        <v>99</v>
      </c>
      <c r="B69" t="str">
        <f>VLOOKUP(Table3[[#This Row],[Company name]],Universe!$B$2:$E$1996,2,FALSE)</f>
        <v>Personal &amp; Household Products &amp; Services</v>
      </c>
      <c r="C69" t="str">
        <f>VLOOKUP(Table3[[#This Row],[Company name]],Universe!$B$2:$E$1998,3,FALSE)</f>
        <v>DABUR</v>
      </c>
      <c r="D69">
        <f>VLOOKUP(Table3[[#This Row],[Company name]],Universe!$B$2:$G$1996,4,FALSE)</f>
        <v>0.38319999999999999</v>
      </c>
      <c r="E69" s="15" t="e">
        <f>VLOOKUP(Table3[[#This Row],[Company name]],Universe!$B$2:$G$1996,6,FALSE)</f>
        <v>#N/A</v>
      </c>
      <c r="F69" s="15">
        <f>_xlfn.FLOOR.MATH(Table3[[#This Row],[Current Value]]/Table3[[#This Row],[Current Price]])</f>
        <v>0</v>
      </c>
      <c r="G69" s="10">
        <v>0</v>
      </c>
      <c r="H69" s="10">
        <v>0</v>
      </c>
      <c r="I69" s="10">
        <v>0</v>
      </c>
      <c r="J69" s="9">
        <v>0</v>
      </c>
      <c r="K69" s="4">
        <f>$B$5+Table3[[#This Row],[Beta]]*($B$14-$B$5)</f>
        <v>0.14293759836240544</v>
      </c>
      <c r="L69" s="9">
        <f>Table3[[#This Row],[Current Value]]/SUM(Table3[Current Value])</f>
        <v>0</v>
      </c>
      <c r="N69" s="22">
        <f>VLOOKUP(Table3[[#This Row],[Company name]],Universe!$B$2:$G$1998,5,FALSE)</f>
        <v>523.15</v>
      </c>
    </row>
    <row r="70" spans="1:14" x14ac:dyDescent="0.25">
      <c r="A70" t="s">
        <v>105</v>
      </c>
      <c r="B70" t="str">
        <f>VLOOKUP(Table3[[#This Row],[Company name]],Universe!$B$2:$E$1996,2,FALSE)</f>
        <v>Healthcare Providers &amp; Services</v>
      </c>
      <c r="C70" t="str">
        <f>VLOOKUP(Table3[[#This Row],[Company name]],Universe!$B$2:$E$1998,3,FALSE)</f>
        <v>LALPATHLAB</v>
      </c>
      <c r="D70">
        <f>VLOOKUP(Table3[[#This Row],[Company name]],Universe!$B$2:$G$1996,4,FALSE)</f>
        <v>0.73929999999999996</v>
      </c>
      <c r="E70" s="15" t="e">
        <f>VLOOKUP(Table3[[#This Row],[Company name]],Universe!$B$2:$G$1996,6,FALSE)</f>
        <v>#N/A</v>
      </c>
      <c r="F70" s="15">
        <f>_xlfn.FLOOR.MATH(Table3[[#This Row],[Current Value]]/Table3[[#This Row],[Current Price]])</f>
        <v>0</v>
      </c>
      <c r="G70" s="10">
        <v>0</v>
      </c>
      <c r="H70" s="10">
        <v>0</v>
      </c>
      <c r="I70" s="10">
        <v>0</v>
      </c>
      <c r="J70" s="9">
        <v>0</v>
      </c>
      <c r="K70" s="4">
        <f>$B$5+Table3[[#This Row],[Beta]]*($B$14-$B$5)</f>
        <v>0.2103453195963631</v>
      </c>
      <c r="L70" s="9">
        <f>Table3[[#This Row],[Current Value]]/SUM(Table3[Current Value])</f>
        <v>0</v>
      </c>
      <c r="N70" s="22">
        <f>VLOOKUP(Table3[[#This Row],[Company name]],Universe!$B$2:$G$1998,5,FALSE)</f>
        <v>2262.85</v>
      </c>
    </row>
    <row r="71" spans="1:14" x14ac:dyDescent="0.25">
      <c r="A71" t="s">
        <v>142</v>
      </c>
      <c r="B71" t="str">
        <f>VLOOKUP(Table3[[#This Row],[Company name]],Universe!$B$2:$E$1996,2,FALSE)</f>
        <v>Software &amp; IT Services</v>
      </c>
      <c r="C71" t="str">
        <f>VLOOKUP(Table3[[#This Row],[Company name]],Universe!$B$2:$E$1998,3,FALSE)</f>
        <v>HCLTECH</v>
      </c>
      <c r="D71">
        <f>VLOOKUP(Table3[[#This Row],[Company name]],Universe!$B$2:$G$1996,4,FALSE)</f>
        <v>0.89270000000000005</v>
      </c>
      <c r="E71" s="15" t="str">
        <f>VLOOKUP(Table3[[#This Row],[Company name]],Universe!$B$2:$G$1996,6,FALSE)</f>
        <v>LT</v>
      </c>
      <c r="F71" s="15">
        <f>_xlfn.FLOOR.MATH(Table3[[#This Row],[Current Value]]/Table3[[#This Row],[Current Price]])</f>
        <v>0</v>
      </c>
      <c r="G71" s="10">
        <v>0</v>
      </c>
      <c r="H71" s="10">
        <v>0</v>
      </c>
      <c r="I71" s="10">
        <v>0</v>
      </c>
      <c r="J71" s="9">
        <v>0</v>
      </c>
      <c r="K71" s="4">
        <f>$B$5+Table3[[#This Row],[Beta]]*($B$14-$B$5)</f>
        <v>0.23938307426440325</v>
      </c>
      <c r="L71" s="9">
        <f>Table3[[#This Row],[Current Value]]/SUM(Table3[Current Value])</f>
        <v>0</v>
      </c>
      <c r="N71" s="21">
        <f>VLOOKUP(Table3[[#This Row],[Company name]],Universe!$B$2:$G$1998,5,FALSE)</f>
        <v>1543.55</v>
      </c>
    </row>
    <row r="72" spans="1:14" x14ac:dyDescent="0.25">
      <c r="A72" t="s">
        <v>184</v>
      </c>
      <c r="B72" t="str">
        <f>VLOOKUP(Table3[[#This Row],[Company name]],Universe!$B$2:$E$1996,2,FALSE)</f>
        <v>Passenger Transportation Services</v>
      </c>
      <c r="C72" t="str">
        <f>VLOOKUP(Table3[[#This Row],[Company name]],Universe!$B$2:$E$1998,3,FALSE)</f>
        <v>IRCTC</v>
      </c>
      <c r="D72">
        <f>VLOOKUP(Table3[[#This Row],[Company name]],Universe!$B$2:$G$1996,4,FALSE)</f>
        <v>1.2174</v>
      </c>
      <c r="E72" s="15" t="e">
        <f>VLOOKUP(Table3[[#This Row],[Company name]],Universe!$B$2:$G$1996,6,FALSE)</f>
        <v>#N/A</v>
      </c>
      <c r="F72" s="15">
        <f>_xlfn.FLOOR.MATH(Table3[[#This Row],[Current Value]]/Table3[[#This Row],[Current Price]])</f>
        <v>0</v>
      </c>
      <c r="G72" s="10">
        <v>0</v>
      </c>
      <c r="H72" s="10">
        <v>0</v>
      </c>
      <c r="I72" s="10">
        <v>0</v>
      </c>
      <c r="J72" s="9">
        <v>0</v>
      </c>
      <c r="K72" s="4">
        <f>$B$5+Table3[[#This Row],[Beta]]*($B$14-$B$5)</f>
        <v>0.30084695262628491</v>
      </c>
      <c r="L72" s="9">
        <f>Table3[[#This Row],[Current Value]]/SUM(Table3[Current Value])</f>
        <v>0</v>
      </c>
      <c r="N72" s="21">
        <f>VLOOKUP(Table3[[#This Row],[Company name]],Universe!$B$2:$G$1998,5,FALSE)</f>
        <v>929.7</v>
      </c>
    </row>
    <row r="73" spans="1:14" x14ac:dyDescent="0.25">
      <c r="A73" t="s">
        <v>190</v>
      </c>
      <c r="B73" t="str">
        <f>VLOOKUP(Table3[[#This Row],[Company name]],Universe!$B$2:$E$1996,2,FALSE)</f>
        <v>Pharmaceuticals</v>
      </c>
      <c r="C73" t="str">
        <f>VLOOKUP(Table3[[#This Row],[Company name]],Universe!$B$2:$E$1998,3,FALSE)</f>
        <v>INDOCO</v>
      </c>
      <c r="D73">
        <f>VLOOKUP(Table3[[#This Row],[Company name]],Universe!$B$2:$G$1996,4,FALSE)</f>
        <v>0.62060000000000004</v>
      </c>
      <c r="E73" s="15" t="e">
        <f>VLOOKUP(Table3[[#This Row],[Company name]],Universe!$B$2:$G$1996,6,FALSE)</f>
        <v>#N/A</v>
      </c>
      <c r="F73" s="15">
        <f>_xlfn.FLOOR.MATH(Table3[[#This Row],[Current Value]]/Table3[[#This Row],[Current Price]])</f>
        <v>0</v>
      </c>
      <c r="G73" s="10">
        <v>0</v>
      </c>
      <c r="H73" s="10">
        <v>0</v>
      </c>
      <c r="I73" s="10">
        <v>0</v>
      </c>
      <c r="J73" s="9">
        <v>0</v>
      </c>
      <c r="K73" s="4">
        <f>$B$5+Table3[[#This Row],[Beta]]*($B$14-$B$5)</f>
        <v>0.18787607918504387</v>
      </c>
      <c r="L73" s="9">
        <f>Table3[[#This Row],[Current Value]]/SUM(Table3[Current Value])</f>
        <v>0</v>
      </c>
      <c r="N73" s="21">
        <f>VLOOKUP(Table3[[#This Row],[Company name]],Universe!$B$2:$G$1998,5,FALSE)</f>
        <v>328.65</v>
      </c>
    </row>
    <row r="74" spans="1:14" x14ac:dyDescent="0.25">
      <c r="A74" t="s">
        <v>207</v>
      </c>
      <c r="B74" t="str">
        <f>VLOOKUP(Table3[[#This Row],[Company name]],Universe!$B$2:$E$1996,2,FALSE)</f>
        <v>Construction Materials</v>
      </c>
      <c r="C74" t="str">
        <f>VLOOKUP(Table3[[#This Row],[Company name]],Universe!$B$2:$E$1998,3,FALSE)</f>
        <v>JKCEMENT</v>
      </c>
      <c r="D74">
        <f>VLOOKUP(Table3[[#This Row],[Company name]],Universe!$B$2:$G$1996,4,FALSE)</f>
        <v>1.0964</v>
      </c>
      <c r="E74" s="15" t="e">
        <f>VLOOKUP(Table3[[#This Row],[Company name]],Universe!$B$2:$G$1996,6,FALSE)</f>
        <v>#N/A</v>
      </c>
      <c r="F74" s="15">
        <f>_xlfn.FLOOR.MATH(Table3[[#This Row],[Current Value]]/Table3[[#This Row],[Current Price]])</f>
        <v>0</v>
      </c>
      <c r="G74" s="10">
        <v>0</v>
      </c>
      <c r="H74" s="10">
        <v>0</v>
      </c>
      <c r="I74" s="10">
        <v>0</v>
      </c>
      <c r="J74" s="9">
        <v>0</v>
      </c>
      <c r="K74" s="4">
        <f>$B$5+Table3[[#This Row],[Beta]]*($B$14-$B$5)</f>
        <v>0.27794233518930406</v>
      </c>
      <c r="L74" s="9">
        <f>Table3[[#This Row],[Current Value]]/SUM(Table3[Current Value])</f>
        <v>0</v>
      </c>
      <c r="N74" s="22">
        <f>VLOOKUP(Table3[[#This Row],[Company name]],Universe!$B$2:$G$1998,5,FALSE)</f>
        <v>4076.15</v>
      </c>
    </row>
    <row r="75" spans="1:14" x14ac:dyDescent="0.25">
      <c r="A75" t="s">
        <v>240</v>
      </c>
      <c r="B75" t="str">
        <f>VLOOKUP(Table3[[#This Row],[Company name]],Universe!$B$2:$E$1996,2,FALSE)</f>
        <v>Automobiles &amp; Auto Parts</v>
      </c>
      <c r="C75" t="str">
        <f>VLOOKUP(Table3[[#This Row],[Company name]],Universe!$B$2:$E$1998,3,FALSE)</f>
        <v>M&amp;M</v>
      </c>
      <c r="D75">
        <f>VLOOKUP(Table3[[#This Row],[Company name]],Universe!$B$2:$G$1996,4,FALSE)</f>
        <v>1.3189</v>
      </c>
      <c r="E75" s="15" t="str">
        <f>VLOOKUP(Table3[[#This Row],[Company name]],Universe!$B$2:$G$1996,6,FALSE)</f>
        <v>LT</v>
      </c>
      <c r="F75" s="15">
        <f>_xlfn.FLOOR.MATH(Table3[[#This Row],[Current Value]]/Table3[[#This Row],[Current Price]])</f>
        <v>0</v>
      </c>
      <c r="G75" s="10">
        <v>0</v>
      </c>
      <c r="H75" s="10">
        <v>0</v>
      </c>
      <c r="I75" s="10">
        <v>0</v>
      </c>
      <c r="J75" s="9">
        <v>0</v>
      </c>
      <c r="K75" s="4">
        <f>$B$5+Table3[[#This Row],[Beta]]*($B$14-$B$5)</f>
        <v>0.32006033006309115</v>
      </c>
      <c r="L75" s="9">
        <f>Table3[[#This Row],[Current Value]]/SUM(Table3[Current Value])</f>
        <v>0</v>
      </c>
      <c r="N75" s="21">
        <f>VLOOKUP(Table3[[#This Row],[Company name]],Universe!$B$2:$G$1998,5,FALSE)</f>
        <v>1921.35</v>
      </c>
    </row>
    <row r="76" spans="1:14" x14ac:dyDescent="0.25">
      <c r="A76" t="s">
        <v>249</v>
      </c>
      <c r="B76" t="str">
        <f>VLOOKUP(Table3[[#This Row],[Company name]],Universe!$B$2:$E$1996,2,FALSE)</f>
        <v>Personal &amp; Household Products &amp; Services</v>
      </c>
      <c r="C76" t="str">
        <f>VLOOKUP(Table3[[#This Row],[Company name]],Universe!$B$2:$E$1998,3,FALSE)</f>
        <v>MARICO</v>
      </c>
      <c r="D76">
        <f>VLOOKUP(Table3[[#This Row],[Company name]],Universe!$B$2:$G$1996,4,FALSE)</f>
        <v>0.29720000000000002</v>
      </c>
      <c r="E76" s="15" t="e">
        <f>VLOOKUP(Table3[[#This Row],[Company name]],Universe!$B$2:$G$1996,6,FALSE)</f>
        <v>#N/A</v>
      </c>
      <c r="F76" s="15">
        <f>_xlfn.FLOOR.MATH(Table3[[#This Row],[Current Value]]/Table3[[#This Row],[Current Price]])</f>
        <v>0</v>
      </c>
      <c r="G76" s="10">
        <v>0</v>
      </c>
      <c r="H76" s="10">
        <v>0</v>
      </c>
      <c r="I76" s="10">
        <v>0</v>
      </c>
      <c r="J76" s="9">
        <v>0</v>
      </c>
      <c r="K76" s="4">
        <f>$B$5+Table3[[#This Row],[Beta]]*($B$14-$B$5)</f>
        <v>0.12665828348984054</v>
      </c>
      <c r="L76" s="9">
        <f>Table3[[#This Row],[Current Value]]/SUM(Table3[Current Value])</f>
        <v>0</v>
      </c>
      <c r="N76" s="22">
        <f>VLOOKUP(Table3[[#This Row],[Company name]],Universe!$B$2:$G$1998,5,FALSE)</f>
        <v>497.2</v>
      </c>
    </row>
    <row r="77" spans="1:14" x14ac:dyDescent="0.25">
      <c r="A77" t="s">
        <v>252</v>
      </c>
      <c r="B77" t="str">
        <f>VLOOKUP(Table3[[#This Row],[Company name]],Universe!$B$2:$E$1996,2,FALSE)</f>
        <v>Automobiles &amp; Auto Parts</v>
      </c>
      <c r="C77" t="str">
        <f>VLOOKUP(Table3[[#This Row],[Company name]],Universe!$B$2:$E$1998,3,FALSE)</f>
        <v>MARUTI</v>
      </c>
      <c r="D77">
        <f>VLOOKUP(Table3[[#This Row],[Company name]],Universe!$B$2:$G$1996,4,FALSE)</f>
        <v>0.94340000000000002</v>
      </c>
      <c r="E77" s="15" t="str">
        <f>VLOOKUP(Table3[[#This Row],[Company name]],Universe!$B$2:$G$1996,6,FALSE)</f>
        <v>LT</v>
      </c>
      <c r="F77" s="15">
        <f>_xlfn.FLOOR.MATH(Table3[[#This Row],[Current Value]]/Table3[[#This Row],[Current Price]])</f>
        <v>0</v>
      </c>
      <c r="G77" s="10">
        <v>0</v>
      </c>
      <c r="H77" s="10">
        <v>0</v>
      </c>
      <c r="I77" s="10">
        <v>0</v>
      </c>
      <c r="J77" s="9">
        <v>0</v>
      </c>
      <c r="K77" s="4">
        <f>$B$5+Table3[[#This Row],[Beta]]*($B$14-$B$5)</f>
        <v>0.24898029826485724</v>
      </c>
      <c r="L77" s="9">
        <f>Table3[[#This Row],[Current Value]]/SUM(Table3[Current Value])</f>
        <v>0</v>
      </c>
      <c r="N77" s="21">
        <f>VLOOKUP(Table3[[#This Row],[Company name]],Universe!$B$2:$G$1998,5,FALSE)</f>
        <v>12600.35</v>
      </c>
    </row>
    <row r="78" spans="1:14" x14ac:dyDescent="0.25">
      <c r="A78" t="s">
        <v>258</v>
      </c>
      <c r="B78" t="str">
        <f>VLOOKUP(Table3[[#This Row],[Company name]],Universe!$B$2:$E$1996,2,FALSE)</f>
        <v>Metals &amp; Mining</v>
      </c>
      <c r="C78" t="str">
        <f>VLOOKUP(Table3[[#This Row],[Company name]],Universe!$B$2:$E$1998,3,FALSE)</f>
        <v>NATIONALUM</v>
      </c>
      <c r="D78">
        <f>VLOOKUP(Table3[[#This Row],[Company name]],Universe!$B$2:$G$1996,4,FALSE)</f>
        <v>1.1749000000000001</v>
      </c>
      <c r="E78" s="15" t="e">
        <f>VLOOKUP(Table3[[#This Row],[Company name]],Universe!$B$2:$G$1996,6,FALSE)</f>
        <v>#N/A</v>
      </c>
      <c r="F78" s="15">
        <f>_xlfn.FLOOR.MATH(Table3[[#This Row],[Current Value]]/Table3[[#This Row],[Current Price]])</f>
        <v>0</v>
      </c>
      <c r="G78" s="10">
        <v>0</v>
      </c>
      <c r="H78" s="10">
        <v>0</v>
      </c>
      <c r="I78" s="10">
        <v>0</v>
      </c>
      <c r="J78" s="9">
        <v>0</v>
      </c>
      <c r="K78" s="4">
        <f>$B$5+Table3[[#This Row],[Beta]]*($B$14-$B$5)</f>
        <v>0.29280194236949414</v>
      </c>
      <c r="L78" s="9">
        <f>Table3[[#This Row],[Current Value]]/SUM(Table3[Current Value])</f>
        <v>0</v>
      </c>
      <c r="N78" s="22">
        <f>VLOOKUP(Table3[[#This Row],[Company name]],Universe!$B$2:$G$1998,5,FALSE)</f>
        <v>152.55000000000001</v>
      </c>
    </row>
    <row r="79" spans="1:14" x14ac:dyDescent="0.25">
      <c r="A79" t="s">
        <v>278</v>
      </c>
      <c r="B79" t="str">
        <f>VLOOKUP(Table3[[#This Row],[Company name]],Universe!$B$2:$E$1996,2,FALSE)</f>
        <v>Real Estate Operations</v>
      </c>
      <c r="C79" t="str">
        <f>VLOOKUP(Table3[[#This Row],[Company name]],Universe!$B$2:$E$1998,3,FALSE)</f>
        <v>OBEROIRLTY</v>
      </c>
      <c r="D79">
        <f>VLOOKUP(Table3[[#This Row],[Company name]],Universe!$B$2:$G$1996,4,FALSE)</f>
        <v>1.2854000000000001</v>
      </c>
      <c r="E79" s="15" t="e">
        <f>VLOOKUP(Table3[[#This Row],[Company name]],Universe!$B$2:$G$1996,6,FALSE)</f>
        <v>#N/A</v>
      </c>
      <c r="F79" s="15">
        <f>_xlfn.FLOOR.MATH(Table3[[#This Row],[Current Value]]/Table3[[#This Row],[Current Price]])</f>
        <v>0</v>
      </c>
      <c r="G79" s="10">
        <v>0</v>
      </c>
      <c r="H79" s="10">
        <v>0</v>
      </c>
      <c r="I79" s="10">
        <v>0</v>
      </c>
      <c r="J79" s="9">
        <v>0</v>
      </c>
      <c r="K79" s="4">
        <f>$B$5+Table3[[#This Row],[Beta]]*($B$14-$B$5)</f>
        <v>0.31371896903715019</v>
      </c>
      <c r="L79" s="9">
        <f>Table3[[#This Row],[Current Value]]/SUM(Table3[Current Value])</f>
        <v>0</v>
      </c>
      <c r="N79" s="21">
        <f>VLOOKUP(Table3[[#This Row],[Company name]],Universe!$B$2:$G$1998,5,FALSE)</f>
        <v>1475.85</v>
      </c>
    </row>
    <row r="80" spans="1:14" x14ac:dyDescent="0.25">
      <c r="A80" t="s">
        <v>290</v>
      </c>
      <c r="B80" t="str">
        <f>VLOOKUP(Table3[[#This Row],[Company name]],Universe!$B$2:$E$1996,2,FALSE)</f>
        <v>Machinery, Equipment &amp; Components</v>
      </c>
      <c r="C80" t="str">
        <f>VLOOKUP(Table3[[#This Row],[Company name]],Universe!$B$2:$E$1998,3,FALSE)</f>
        <v>POLYCAB</v>
      </c>
      <c r="D80">
        <f>VLOOKUP(Table3[[#This Row],[Company name]],Universe!$B$2:$G$1996,4,FALSE)</f>
        <v>0.90469999999999995</v>
      </c>
      <c r="E80" s="15" t="e">
        <f>VLOOKUP(Table3[[#This Row],[Company name]],Universe!$B$2:$G$1996,6,FALSE)</f>
        <v>#N/A</v>
      </c>
      <c r="F80" s="15">
        <f>_xlfn.FLOOR.MATH(Table3[[#This Row],[Current Value]]/Table3[[#This Row],[Current Price]])</f>
        <v>0</v>
      </c>
      <c r="G80" s="10">
        <v>0</v>
      </c>
      <c r="H80" s="10">
        <v>0</v>
      </c>
      <c r="I80" s="10">
        <v>0</v>
      </c>
      <c r="J80" s="9">
        <v>0</v>
      </c>
      <c r="K80" s="4">
        <f>$B$5+Table3[[#This Row],[Beta]]*($B$14-$B$5)</f>
        <v>0.241654606572203</v>
      </c>
      <c r="L80" s="9">
        <f>Table3[[#This Row],[Current Value]]/SUM(Table3[Current Value])</f>
        <v>0</v>
      </c>
      <c r="N80" s="22">
        <f>VLOOKUP(Table3[[#This Row],[Company name]],Universe!$B$2:$G$1998,5,FALSE)</f>
        <v>5065</v>
      </c>
    </row>
    <row r="81" spans="1:14" x14ac:dyDescent="0.25">
      <c r="A81" t="s">
        <v>301</v>
      </c>
      <c r="B81" t="str">
        <f>VLOOKUP(Table3[[#This Row],[Company name]],Universe!$B$2:$E$1996,2,FALSE)</f>
        <v>Beverages</v>
      </c>
      <c r="C81" t="str">
        <f>VLOOKUP(Table3[[#This Row],[Company name]],Universe!$B$2:$E$1998,3,FALSE)</f>
        <v>RADICO</v>
      </c>
      <c r="D81">
        <f>VLOOKUP(Table3[[#This Row],[Company name]],Universe!$B$2:$G$1996,4,FALSE)</f>
        <v>0.83040000000000003</v>
      </c>
      <c r="E81" s="15" t="e">
        <f>VLOOKUP(Table3[[#This Row],[Company name]],Universe!$B$2:$G$1996,6,FALSE)</f>
        <v>#N/A</v>
      </c>
      <c r="F81" s="15">
        <f>_xlfn.FLOOR.MATH(Table3[[#This Row],[Current Value]]/Table3[[#This Row],[Current Price]])</f>
        <v>0</v>
      </c>
      <c r="G81" s="10">
        <v>0</v>
      </c>
      <c r="H81" s="10">
        <v>0</v>
      </c>
      <c r="I81" s="10">
        <v>0</v>
      </c>
      <c r="J81" s="9">
        <v>0</v>
      </c>
      <c r="K81" s="4">
        <f>$B$5+Table3[[#This Row],[Beta]]*($B$14-$B$5)</f>
        <v>0.2275900356997429</v>
      </c>
      <c r="L81" s="9">
        <f>Table3[[#This Row],[Current Value]]/SUM(Table3[Current Value])</f>
        <v>0</v>
      </c>
      <c r="N81" s="21">
        <f>VLOOKUP(Table3[[#This Row],[Company name]],Universe!$B$2:$G$1998,5,FALSE)</f>
        <v>1727.75</v>
      </c>
    </row>
    <row r="82" spans="1:14" x14ac:dyDescent="0.25">
      <c r="A82" t="s">
        <v>341</v>
      </c>
      <c r="B82" t="str">
        <f>VLOOKUP(Table3[[#This Row],[Company name]],Universe!$B$2:$E$1996,2,FALSE)</f>
        <v>Metals &amp; Mining</v>
      </c>
      <c r="C82" t="str">
        <f>VLOOKUP(Table3[[#This Row],[Company name]],Universe!$B$2:$E$1998,3,FALSE)</f>
        <v>TATASTEEL</v>
      </c>
      <c r="D82">
        <f>VLOOKUP(Table3[[#This Row],[Company name]],Universe!$B$2:$G$1996,4,FALSE)</f>
        <v>1.5045999999999999</v>
      </c>
      <c r="E82" s="15" t="str">
        <f>VLOOKUP(Table3[[#This Row],[Company name]],Universe!$B$2:$G$1996,6,FALSE)</f>
        <v>LT</v>
      </c>
      <c r="F82" s="15">
        <f>_xlfn.FLOOR.MATH(Table3[[#This Row],[Current Value]]/Table3[[#This Row],[Current Price]])</f>
        <v>0</v>
      </c>
      <c r="G82" s="10">
        <v>0</v>
      </c>
      <c r="H82" s="10">
        <v>0</v>
      </c>
      <c r="I82" s="10">
        <v>0</v>
      </c>
      <c r="J82" s="9">
        <v>0</v>
      </c>
      <c r="K82" s="4">
        <f>$B$5+Table3[[#This Row],[Beta]]*($B$14-$B$5)</f>
        <v>0.35521229252629233</v>
      </c>
      <c r="L82" s="9">
        <f>Table3[[#This Row],[Current Value]]/SUM(Table3[Current Value])</f>
        <v>0</v>
      </c>
      <c r="N82" s="22">
        <f>VLOOKUP(Table3[[#This Row],[Company name]],Universe!$B$2:$G$1998,5,FALSE)</f>
        <v>155.85</v>
      </c>
    </row>
    <row r="83" spans="1:14" x14ac:dyDescent="0.25">
      <c r="A83" t="s">
        <v>345</v>
      </c>
      <c r="B83" t="str">
        <f>VLOOKUP(Table3[[#This Row],[Company name]],Universe!$B$2:$E$1996,2,FALSE)</f>
        <v>Software &amp; IT Services</v>
      </c>
      <c r="C83" t="str">
        <f>VLOOKUP(Table3[[#This Row],[Company name]],Universe!$B$2:$E$1998,3,FALSE)</f>
        <v>TECHM</v>
      </c>
      <c r="D83">
        <f>VLOOKUP(Table3[[#This Row],[Company name]],Universe!$B$2:$G$1996,4,FALSE)</f>
        <v>0.9284</v>
      </c>
      <c r="E83" s="15" t="str">
        <f>VLOOKUP(Table3[[#This Row],[Company name]],Universe!$B$2:$G$1996,6,FALSE)</f>
        <v>LT</v>
      </c>
      <c r="F83" s="15">
        <f>_xlfn.FLOOR.MATH(Table3[[#This Row],[Current Value]]/Table3[[#This Row],[Current Price]])</f>
        <v>0</v>
      </c>
      <c r="G83" s="10">
        <v>0</v>
      </c>
      <c r="H83" s="10">
        <v>0</v>
      </c>
      <c r="I83" s="10">
        <v>0</v>
      </c>
      <c r="J83" s="9">
        <v>0</v>
      </c>
      <c r="K83" s="4">
        <f>$B$5+Table3[[#This Row],[Beta]]*($B$14-$B$5)</f>
        <v>0.24614088288010755</v>
      </c>
      <c r="L83" s="9">
        <f>Table3[[#This Row],[Current Value]]/SUM(Table3[Current Value])</f>
        <v>0</v>
      </c>
      <c r="N83" s="21">
        <f>VLOOKUP(Table3[[#This Row],[Company name]],Universe!$B$2:$G$1998,5,FALSE)</f>
        <v>1248.0999999999999</v>
      </c>
    </row>
    <row r="84" spans="1:14" x14ac:dyDescent="0.25">
      <c r="A84" t="s">
        <v>355</v>
      </c>
      <c r="B84" t="str">
        <f>VLOOKUP(Table3[[#This Row],[Company name]],Universe!$B$2:$E$1996,2,FALSE)</f>
        <v>Textiles &amp; Apparel</v>
      </c>
      <c r="C84" t="str">
        <f>VLOOKUP(Table3[[#This Row],[Company name]],Universe!$B$2:$E$1998,3,FALSE)</f>
        <v>TITAN</v>
      </c>
      <c r="D84">
        <f>VLOOKUP(Table3[[#This Row],[Company name]],Universe!$B$2:$G$1996,4,FALSE)</f>
        <v>1.0620000000000001</v>
      </c>
      <c r="E84" s="15" t="str">
        <f>VLOOKUP(Table3[[#This Row],[Company name]],Universe!$B$2:$G$1996,6,FALSE)</f>
        <v>LT</v>
      </c>
      <c r="F84" s="15">
        <f>_xlfn.FLOOR.MATH(Table3[[#This Row],[Current Value]]/Table3[[#This Row],[Current Price]])</f>
        <v>0</v>
      </c>
      <c r="G84" s="10">
        <v>0</v>
      </c>
      <c r="H84" s="10">
        <v>0</v>
      </c>
      <c r="I84" s="10">
        <v>0</v>
      </c>
      <c r="J84" s="9">
        <v>0</v>
      </c>
      <c r="K84" s="4">
        <f>$B$5+Table3[[#This Row],[Beta]]*($B$14-$B$5)</f>
        <v>0.27143060924027812</v>
      </c>
      <c r="L84" s="9">
        <f>Table3[[#This Row],[Current Value]]/SUM(Table3[Current Value])</f>
        <v>0</v>
      </c>
      <c r="N84" s="22">
        <f>VLOOKUP(Table3[[#This Row],[Company name]],Universe!$B$2:$G$1998,5,FALSE)</f>
        <v>3801.8</v>
      </c>
    </row>
    <row r="85" spans="1:14" x14ac:dyDescent="0.25">
      <c r="A85" t="s">
        <v>361</v>
      </c>
      <c r="B85" t="str">
        <f>VLOOKUP(Table3[[#This Row],[Company name]],Universe!$B$2:$E$1996,2,FALSE)</f>
        <v>Beverages</v>
      </c>
      <c r="C85" t="str">
        <f>VLOOKUP(Table3[[#This Row],[Company name]],Universe!$B$2:$E$1998,3,FALSE)</f>
        <v>MCDOWELL-N</v>
      </c>
      <c r="D85">
        <f>VLOOKUP(Table3[[#This Row],[Company name]],Universe!$B$2:$G$1996,4,FALSE)</f>
        <v>0.77839999999999998</v>
      </c>
      <c r="E85" s="15" t="e">
        <f>VLOOKUP(Table3[[#This Row],[Company name]],Universe!$B$2:$G$1996,6,FALSE)</f>
        <v>#N/A</v>
      </c>
      <c r="F85" s="15">
        <f>_xlfn.FLOOR.MATH(Table3[[#This Row],[Current Value]]/Table3[[#This Row],[Current Price]])</f>
        <v>0</v>
      </c>
      <c r="G85" s="10">
        <v>0</v>
      </c>
      <c r="H85" s="10">
        <v>0</v>
      </c>
      <c r="I85" s="10">
        <v>0</v>
      </c>
      <c r="J85" s="9">
        <v>0</v>
      </c>
      <c r="K85" s="4">
        <f>$B$5+Table3[[#This Row],[Beta]]*($B$14-$B$5)</f>
        <v>0.21774672903261061</v>
      </c>
      <c r="L85" s="9">
        <f>Table3[[#This Row],[Current Value]]/SUM(Table3[Current Value])</f>
        <v>0</v>
      </c>
      <c r="N85" s="21">
        <f>VLOOKUP(Table3[[#This Row],[Company name]],Universe!$B$2:$G$1998,5,FALSE)</f>
        <v>1134.25</v>
      </c>
    </row>
    <row r="86" spans="1:14" x14ac:dyDescent="0.25">
      <c r="A86" t="s">
        <v>372</v>
      </c>
      <c r="B86" t="str">
        <f>VLOOKUP(Table3[[#This Row],[Company name]],Universe!$B$2:$E$1996,2,FALSE)</f>
        <v>Banking Services</v>
      </c>
      <c r="C86" t="str">
        <f>VLOOKUP(Table3[[#This Row],[Company name]],Universe!$B$2:$E$1998,3,FALSE)</f>
        <v>YESBANK</v>
      </c>
      <c r="D86">
        <f>VLOOKUP(Table3[[#This Row],[Company name]],Universe!$B$2:$G$1996,4,FALSE)</f>
        <v>1.1511</v>
      </c>
      <c r="E86" s="15" t="e">
        <f>VLOOKUP(Table3[[#This Row],[Company name]],Universe!$B$2:$G$1996,6,FALSE)</f>
        <v>#N/A</v>
      </c>
      <c r="F86" s="15">
        <f>_xlfn.FLOOR.MATH(Table3[[#This Row],[Current Value]]/Table3[[#This Row],[Current Price]])</f>
        <v>0</v>
      </c>
      <c r="G86" s="10">
        <v>0</v>
      </c>
      <c r="H86" s="10">
        <v>0</v>
      </c>
      <c r="I86" s="10">
        <v>0</v>
      </c>
      <c r="J86" s="9">
        <v>0</v>
      </c>
      <c r="K86" s="4">
        <f>$B$5+Table3[[#This Row],[Beta]]*($B$14-$B$5)</f>
        <v>0.28829673662569127</v>
      </c>
      <c r="L86" s="9">
        <f>Table3[[#This Row],[Current Value]]/SUM(Table3[Current Value])</f>
        <v>0</v>
      </c>
      <c r="N86" s="22">
        <f>VLOOKUP(Table3[[#This Row],[Company name]],Universe!$B$2:$G$1998,5,FALSE)</f>
        <v>23.2</v>
      </c>
    </row>
  </sheetData>
  <pageMargins left="0.7" right="0.7" top="0.75" bottom="0.75" header="0.3" footer="0.3"/>
  <pageSetup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Universe</vt:lpstr>
      <vt:lpstr>Benchmark</vt:lpstr>
      <vt:lpstr>Clients</vt:lpstr>
      <vt:lpstr>WX</vt:lpstr>
      <vt:lpstr>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Sindhkar</dc:creator>
  <cp:lastModifiedBy>Siddhant Sindhkar</cp:lastModifiedBy>
  <dcterms:created xsi:type="dcterms:W3CDTF">2024-03-15T13:44:02Z</dcterms:created>
  <dcterms:modified xsi:type="dcterms:W3CDTF">2024-04-01T11:02:58Z</dcterms:modified>
</cp:coreProperties>
</file>