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2"/>
  </bookViews>
  <sheets>
    <sheet name="RETURN &amp; RISK" sheetId="1" r:id="rId1"/>
    <sheet name="PORTFOLIO CONSTRUCTION" sheetId="2" r:id="rId2"/>
    <sheet name="PORTFOLIO SUMMARY &amp; EVALUATION" sheetId="3" r:id="rId3"/>
  </sheets>
  <externalReferences>
    <externalReference r:id="rId4"/>
  </externalReferences>
  <definedNames>
    <definedName name="solver_opt" localSheetId="1" hidden="1">'PORTFOLIO CONSTRUCTION'!$J$28</definedName>
    <definedName name="solver_typ" localSheetId="1" hidden="1">1</definedName>
    <definedName name="solver_val" localSheetId="1" hidden="1">0</definedName>
    <definedName name="solver_adj" localSheetId="1" hidden="1">'PORTFOLIO CONSTRUCTION'!$G$15:$G$19</definedName>
    <definedName name="solver_neg" localSheetId="1" hidden="1">1</definedName>
    <definedName name="solver_num" localSheetId="1" hidden="1">5</definedName>
    <definedName name="solver_lin" localSheetId="1" hidden="1">0</definedName>
    <definedName name="solver_eng" localSheetId="1" hidden="1">1</definedName>
    <definedName name="solver_ver" localSheetId="1" hidden="1">3</definedName>
    <definedName name="solver_lhs1" localSheetId="1" hidden="1">'PORTFOLIO CONSTRUCTION'!$G$20</definedName>
    <definedName name="solver_rel1" localSheetId="1" hidden="1">2</definedName>
    <definedName name="solver_rhs1" localSheetId="1" hidden="1">1</definedName>
    <definedName name="solver_lhs2" localSheetId="1" hidden="1">'PORTFOLIO CONSTRUCTION'!$G$15:$G$19</definedName>
    <definedName name="solver_rel2" localSheetId="1" hidden="1">1</definedName>
    <definedName name="solver_rhs2" localSheetId="1" hidden="1">0.4</definedName>
    <definedName name="solver_lhs3" localSheetId="1" hidden="1">'PORTFOLIO CONSTRUCTION'!$G$15:$G$19</definedName>
    <definedName name="solver_rel3" localSheetId="1" hidden="1">3</definedName>
    <definedName name="solver_rhs3" localSheetId="1" hidden="1">0.05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  <definedName name="solver_lhs4" localSheetId="1" hidden="1">'PORTFOLIO CONSTRUCTION'!$G$15:$G$19</definedName>
    <definedName name="solver_rel4" localSheetId="1" hidden="1">1</definedName>
    <definedName name="solver_rhs4" localSheetId="1" hidden="1">1</definedName>
    <definedName name="solver_lhs5" localSheetId="1" hidden="1">'PORTFOLIO CONSTRUCTION'!$G$15:$G$19</definedName>
    <definedName name="solver_rel5" localSheetId="1" hidden="1">3</definedName>
    <definedName name="solver_rhs5" localSheetId="1" hidden="1">0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<sst xmlns="http://schemas.openxmlformats.org/spreadsheetml/2006/main" count="167" uniqueCount="93">
  <si>
    <t>Date</t>
  </si>
  <si>
    <t>Hindustan Unilever Ltd</t>
  </si>
  <si>
    <t>LTIMindtree Ltd</t>
  </si>
  <si>
    <t>State Bank of India</t>
  </si>
  <si>
    <t>Shriram Finance Ltd</t>
  </si>
  <si>
    <t>KPI Green Energy Ltd</t>
  </si>
  <si>
    <t>NSE Nifty 50</t>
  </si>
  <si>
    <t>Price</t>
  </si>
  <si>
    <t>Returns</t>
  </si>
  <si>
    <t>COMPANIES</t>
  </si>
  <si>
    <t>AVG RETURNS</t>
  </si>
  <si>
    <t>STD DEV</t>
  </si>
  <si>
    <t>SBI</t>
  </si>
  <si>
    <t>Variance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</si>
  <si>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</si>
  <si>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</si>
  <si>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</si>
  <si>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</si>
  <si>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</si>
  <si>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</si>
  <si>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</si>
  <si>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</si>
  <si>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</si>
  <si>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</si>
  <si>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</si>
  <si>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</si>
  <si>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</si>
  <si>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</si>
  <si>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</si>
  <si>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</si>
  <si>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</si>
  <si>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</si>
  <si>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</si>
  <si>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</si>
  <si>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</si>
  <si>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03/26/2024</t>
  </si>
  <si>
    <t>03/27/2024</t>
  </si>
  <si>
    <t>03/28/2024</t>
  </si>
  <si>
    <t xml:space="preserve">COVARIANCE OF RETURNS </t>
  </si>
  <si>
    <t>BETA</t>
  </si>
  <si>
    <t>Equal-Weights A</t>
  </si>
  <si>
    <t>Random Weights B</t>
  </si>
  <si>
    <t>Random Weights C</t>
  </si>
  <si>
    <t>Optimal Weights</t>
  </si>
  <si>
    <t>Total</t>
  </si>
  <si>
    <t>PORTFOLIO CONSTRUCTION A</t>
  </si>
  <si>
    <t>PORTFOLIO CONSTRUCTION B</t>
  </si>
  <si>
    <t>PORTFOLIO CONSTRUCTION C</t>
  </si>
  <si>
    <t>PORTFOLIO CONSTRUCTION (Optimal)</t>
  </si>
  <si>
    <t>PORTFOLIO RETURNS</t>
  </si>
  <si>
    <t>PORTFOLIO VARIANCE</t>
  </si>
  <si>
    <t>PORTFOLIO RISK</t>
  </si>
  <si>
    <t>RISK FREE RATE</t>
  </si>
  <si>
    <t>SHARPE RATIO</t>
  </si>
  <si>
    <t>BETA OF PORTFOLIO</t>
  </si>
  <si>
    <t>CAPITAL ALLOCATION</t>
  </si>
  <si>
    <t>RISKY PORTFOLIO</t>
  </si>
  <si>
    <t>PORTFOLIO RETURN (Rp)</t>
  </si>
  <si>
    <t>PORTFOLIO RISK (Sigma P)</t>
  </si>
  <si>
    <t>RETURN ON CAPITAL</t>
  </si>
  <si>
    <t>RISK ON CAPITAL</t>
  </si>
  <si>
    <t>PROPORTION</t>
  </si>
  <si>
    <t>RISK-FREE PORTFOLIO</t>
  </si>
  <si>
    <t>RISK FREE RATE Rf</t>
  </si>
  <si>
    <t>1-PROPORTION</t>
  </si>
  <si>
    <t>UTILITY</t>
  </si>
  <si>
    <t xml:space="preserve">Assume A </t>
  </si>
  <si>
    <t>PORTFOLIO SUMMARY</t>
  </si>
  <si>
    <t>Metrics</t>
  </si>
  <si>
    <t>Equal-Weighted A</t>
  </si>
  <si>
    <t>OPTIMAL Portfolio</t>
  </si>
  <si>
    <t>NIFTY 50</t>
  </si>
  <si>
    <t>Return</t>
  </si>
  <si>
    <t>Risk</t>
  </si>
  <si>
    <t>Beta</t>
  </si>
  <si>
    <t>PORTFOLIO EVALUATION</t>
  </si>
  <si>
    <t>Ratio</t>
  </si>
  <si>
    <t>Portfolio A</t>
  </si>
  <si>
    <t>Portfolio B</t>
  </si>
  <si>
    <t xml:space="preserve">Portfolio C </t>
  </si>
  <si>
    <t>Optimal Portfolio</t>
  </si>
  <si>
    <t>Rf</t>
  </si>
  <si>
    <t>Sharpe Ratio</t>
  </si>
  <si>
    <t>Treynors Ratio</t>
  </si>
  <si>
    <t>Jenson Ratio</t>
  </si>
  <si>
    <t>-</t>
  </si>
  <si>
    <t>M2</t>
  </si>
  <si>
    <t>CAPM</t>
  </si>
  <si>
    <t>PORTFOLIO WEIGHTS</t>
  </si>
  <si>
    <t>FOR RISKY ASSETS</t>
  </si>
  <si>
    <t>FOR RISK FREE ASSETS</t>
  </si>
  <si>
    <t>Equi-Weighted A</t>
  </si>
  <si>
    <t>RANKING TABLE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</si>
</sst>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00%"/>
    <numFmt numFmtId="181" formatCode="0.000000"/>
    <numFmt numFmtId="182" formatCode="dd/mm/yyyy"/>
    <numFmt numFmtId="183" formatCode="#,##0.000000"/>
    <numFmt numFmtId="184" formatCode="0.000000_ "/>
    <numFmt numFmtId="185" formatCode="mm\/dd\/yyyy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13" fillId="0" borderId="50" applyNumberFormat="0" applyFill="0" applyAlignment="0" applyProtection="0">
      <alignment vertical="center"/>
    </xf>
    <xf numFmtId="0" fontId="14" fillId="0" borderId="5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2" applyNumberFormat="0" applyAlignment="0" applyProtection="0">
      <alignment vertical="center"/>
    </xf>
    <xf numFmtId="0" fontId="16" fillId="13" borderId="53" applyNumberFormat="0" applyAlignment="0" applyProtection="0">
      <alignment vertical="center"/>
    </xf>
    <xf numFmtId="0" fontId="17" fillId="13" borderId="52" applyNumberFormat="0" applyAlignment="0" applyProtection="0">
      <alignment vertical="center"/>
    </xf>
    <xf numFmtId="0" fontId="18" fillId="14" borderId="54" applyNumberFormat="0" applyAlignment="0" applyProtection="0">
      <alignment vertical="center"/>
    </xf>
    <xf numFmtId="0" fontId="19" fillId="0" borderId="55" applyNumberFormat="0" applyFill="0" applyAlignment="0" applyProtection="0">
      <alignment vertical="center"/>
    </xf>
    <xf numFmtId="0" fontId="20" fillId="0" borderId="5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80" fontId="2" fillId="0" borderId="5" xfId="0" applyNumberFormat="1" applyFont="1" applyFill="1" applyBorder="1" applyAlignment="1"/>
    <xf numFmtId="180" fontId="2" fillId="0" borderId="0" xfId="0" applyNumberFormat="1" applyFont="1" applyFill="1" applyAlignment="1"/>
    <xf numFmtId="181" fontId="2" fillId="0" borderId="5" xfId="0" applyNumberFormat="1" applyFont="1" applyFill="1" applyBorder="1" applyAlignment="1"/>
    <xf numFmtId="181" fontId="2" fillId="0" borderId="0" xfId="0" applyNumberFormat="1" applyFont="1" applyFill="1" applyAlignment="1"/>
    <xf numFmtId="0" fontId="2" fillId="0" borderId="6" xfId="0" applyFont="1" applyFill="1" applyBorder="1" applyAlignment="1">
      <alignment horizontal="center"/>
    </xf>
    <xf numFmtId="181" fontId="2" fillId="0" borderId="7" xfId="0" applyNumberFormat="1" applyFont="1" applyFill="1" applyBorder="1" applyAlignment="1"/>
    <xf numFmtId="181" fontId="2" fillId="0" borderId="8" xfId="0" applyNumberFormat="1" applyFont="1" applyFill="1" applyBorder="1" applyAlignment="1"/>
    <xf numFmtId="0" fontId="2" fillId="0" borderId="0" xfId="0" applyFont="1" applyFill="1" applyAlignment="1"/>
    <xf numFmtId="0" fontId="2" fillId="2" borderId="1" xfId="0" applyFont="1" applyFill="1" applyBorder="1" applyAlignment="1">
      <alignment horizontal="right"/>
    </xf>
    <xf numFmtId="180" fontId="2" fillId="2" borderId="9" xfId="3" applyNumberFormat="1" applyFont="1" applyFill="1" applyBorder="1"/>
    <xf numFmtId="181" fontId="2" fillId="3" borderId="3" xfId="0" applyNumberFormat="1" applyFont="1" applyFill="1" applyBorder="1" applyAlignment="1"/>
    <xf numFmtId="181" fontId="2" fillId="3" borderId="2" xfId="0" applyNumberFormat="1" applyFont="1" applyFill="1" applyBorder="1" applyAlignment="1"/>
    <xf numFmtId="181" fontId="2" fillId="3" borderId="9" xfId="0" applyNumberFormat="1" applyFont="1" applyFill="1" applyBorder="1" applyAlignment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181" fontId="2" fillId="0" borderId="16" xfId="0" applyNumberFormat="1" applyFont="1" applyFill="1" applyBorder="1" applyAlignment="1"/>
    <xf numFmtId="181" fontId="2" fillId="0" borderId="17" xfId="0" applyNumberFormat="1" applyFont="1" applyFill="1" applyBorder="1" applyAlignment="1"/>
    <xf numFmtId="0" fontId="2" fillId="0" borderId="18" xfId="0" applyFont="1" applyFill="1" applyBorder="1" applyAlignment="1">
      <alignment horizontal="center"/>
    </xf>
    <xf numFmtId="181" fontId="2" fillId="0" borderId="19" xfId="0" applyNumberFormat="1" applyFont="1" applyFill="1" applyBorder="1" applyAlignment="1"/>
    <xf numFmtId="0" fontId="2" fillId="0" borderId="20" xfId="0" applyFont="1" applyFill="1" applyBorder="1" applyAlignment="1"/>
    <xf numFmtId="0" fontId="2" fillId="0" borderId="18" xfId="0" applyFont="1" applyFill="1" applyBorder="1" applyAlignment="1"/>
    <xf numFmtId="0" fontId="2" fillId="0" borderId="21" xfId="0" applyFont="1" applyFill="1" applyBorder="1" applyAlignment="1">
      <alignment horizontal="center"/>
    </xf>
    <xf numFmtId="181" fontId="2" fillId="0" borderId="13" xfId="0" applyNumberFormat="1" applyFont="1" applyFill="1" applyBorder="1" applyAlignment="1"/>
    <xf numFmtId="0" fontId="2" fillId="0" borderId="14" xfId="0" applyFont="1" applyFill="1" applyBorder="1" applyAlignment="1"/>
    <xf numFmtId="0" fontId="2" fillId="2" borderId="9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6" xfId="0" applyFont="1" applyFill="1" applyBorder="1" applyAlignment="1"/>
    <xf numFmtId="0" fontId="2" fillId="5" borderId="19" xfId="0" applyFont="1" applyFill="1" applyBorder="1" applyAlignment="1"/>
    <xf numFmtId="0" fontId="2" fillId="5" borderId="22" xfId="0" applyFont="1" applyFill="1" applyBorder="1" applyAlignment="1">
      <alignment horizontal="center"/>
    </xf>
    <xf numFmtId="0" fontId="2" fillId="6" borderId="19" xfId="0" applyFont="1" applyFill="1" applyBorder="1" applyAlignment="1"/>
    <xf numFmtId="181" fontId="2" fillId="0" borderId="23" xfId="0" applyNumberFormat="1" applyFont="1" applyFill="1" applyBorder="1" applyAlignment="1"/>
    <xf numFmtId="181" fontId="2" fillId="0" borderId="24" xfId="0" applyNumberFormat="1" applyFont="1" applyFill="1" applyBorder="1" applyAlignment="1"/>
    <xf numFmtId="0" fontId="2" fillId="5" borderId="13" xfId="0" applyFont="1" applyFill="1" applyBorder="1" applyAlignment="1"/>
    <xf numFmtId="181" fontId="2" fillId="0" borderId="25" xfId="0" applyNumberFormat="1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9" fontId="2" fillId="0" borderId="16" xfId="3" applyFont="1" applyBorder="1"/>
    <xf numFmtId="9" fontId="2" fillId="0" borderId="26" xfId="3" applyFont="1" applyBorder="1"/>
    <xf numFmtId="9" fontId="2" fillId="0" borderId="17" xfId="3" applyNumberFormat="1" applyFont="1" applyFill="1" applyBorder="1" applyAlignment="1" applyProtection="1"/>
    <xf numFmtId="9" fontId="2" fillId="0" borderId="19" xfId="3" applyFont="1" applyBorder="1"/>
    <xf numFmtId="9" fontId="2" fillId="0" borderId="27" xfId="3" applyFont="1" applyBorder="1"/>
    <xf numFmtId="0" fontId="2" fillId="5" borderId="18" xfId="0" applyFont="1" applyFill="1" applyBorder="1" applyAlignment="1"/>
    <xf numFmtId="0" fontId="2" fillId="5" borderId="21" xfId="0" applyFont="1" applyFill="1" applyBorder="1" applyAlignment="1"/>
    <xf numFmtId="9" fontId="2" fillId="0" borderId="13" xfId="0" applyNumberFormat="1" applyFont="1" applyFill="1" applyBorder="1" applyAlignment="1"/>
    <xf numFmtId="9" fontId="2" fillId="0" borderId="28" xfId="0" applyNumberFormat="1" applyFont="1" applyFill="1" applyBorder="1" applyAlignment="1"/>
    <xf numFmtId="9" fontId="2" fillId="0" borderId="14" xfId="0" applyNumberFormat="1" applyFont="1" applyFill="1" applyBorder="1" applyAlignment="1"/>
    <xf numFmtId="0" fontId="2" fillId="4" borderId="29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0" borderId="11" xfId="0" applyFont="1" applyFill="1" applyBorder="1" applyAlignment="1"/>
    <xf numFmtId="180" fontId="2" fillId="0" borderId="26" xfId="3" applyNumberFormat="1" applyFont="1" applyBorder="1"/>
    <xf numFmtId="0" fontId="2" fillId="0" borderId="19" xfId="0" applyFont="1" applyFill="1" applyBorder="1" applyAlignment="1"/>
    <xf numFmtId="181" fontId="2" fillId="0" borderId="27" xfId="0" applyNumberFormat="1" applyFont="1" applyFill="1" applyBorder="1" applyAlignment="1"/>
    <xf numFmtId="180" fontId="2" fillId="0" borderId="27" xfId="3" applyNumberFormat="1" applyFont="1" applyBorder="1"/>
    <xf numFmtId="0" fontId="2" fillId="0" borderId="13" xfId="0" applyFont="1" applyFill="1" applyBorder="1" applyAlignment="1"/>
    <xf numFmtId="181" fontId="2" fillId="0" borderId="28" xfId="0" applyNumberFormat="1" applyFont="1" applyFill="1" applyBorder="1" applyAlignment="1"/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0" borderId="34" xfId="0" applyFont="1" applyFill="1" applyBorder="1" applyAlignment="1"/>
    <xf numFmtId="180" fontId="2" fillId="0" borderId="35" xfId="3" applyNumberFormat="1" applyFont="1" applyBorder="1"/>
    <xf numFmtId="181" fontId="2" fillId="0" borderId="35" xfId="0" applyNumberFormat="1" applyFont="1" applyFill="1" applyBorder="1" applyAlignment="1"/>
    <xf numFmtId="0" fontId="2" fillId="0" borderId="35" xfId="0" applyFont="1" applyFill="1" applyBorder="1" applyAlignment="1"/>
    <xf numFmtId="0" fontId="2" fillId="4" borderId="34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0" borderId="36" xfId="0" applyFont="1" applyFill="1" applyBorder="1" applyAlignment="1"/>
    <xf numFmtId="0" fontId="2" fillId="0" borderId="37" xfId="0" applyFont="1" applyFill="1" applyBorder="1" applyAlignment="1"/>
    <xf numFmtId="181" fontId="2" fillId="0" borderId="38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9" fontId="2" fillId="0" borderId="0" xfId="3" applyNumberFormat="1" applyFont="1" applyBorder="1"/>
    <xf numFmtId="0" fontId="0" fillId="0" borderId="0" xfId="0" applyBorder="1">
      <alignment vertical="center"/>
    </xf>
    <xf numFmtId="0" fontId="2" fillId="0" borderId="0" xfId="0" applyFont="1" applyFill="1" applyBorder="1" applyAlignment="1"/>
    <xf numFmtId="9" fontId="2" fillId="0" borderId="0" xfId="3" applyNumberFormat="1" applyFont="1" applyFill="1" applyBorder="1"/>
    <xf numFmtId="9" fontId="2" fillId="0" borderId="0" xfId="0" applyNumberFormat="1" applyFont="1" applyFill="1" applyBorder="1" applyAlignment="1"/>
    <xf numFmtId="9" fontId="2" fillId="0" borderId="0" xfId="0" applyNumberFormat="1" applyFont="1" applyFill="1" applyBorder="1" applyAlignment="1"/>
    <xf numFmtId="0" fontId="1" fillId="0" borderId="0" xfId="0" applyFont="1" applyFill="1" applyAlignment="1"/>
    <xf numFmtId="180" fontId="2" fillId="0" borderId="17" xfId="3" applyNumberFormat="1" applyFont="1" applyBorder="1"/>
    <xf numFmtId="181" fontId="2" fillId="0" borderId="20" xfId="0" applyNumberFormat="1" applyFont="1" applyFill="1" applyBorder="1" applyAlignment="1"/>
    <xf numFmtId="180" fontId="2" fillId="0" borderId="20" xfId="3" applyNumberFormat="1" applyFont="1" applyBorder="1"/>
    <xf numFmtId="181" fontId="2" fillId="0" borderId="14" xfId="0" applyNumberFormat="1" applyFont="1" applyFill="1" applyBorder="1" applyAlignment="1"/>
    <xf numFmtId="0" fontId="2" fillId="7" borderId="10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41" xfId="0" applyFont="1" applyFill="1" applyBorder="1" applyAlignment="1">
      <alignment horizontal="center"/>
    </xf>
    <xf numFmtId="182" fontId="3" fillId="8" borderId="34" xfId="0" applyNumberFormat="1" applyFont="1" applyFill="1" applyBorder="1" applyAlignment="1">
      <alignment horizontal="left"/>
    </xf>
    <xf numFmtId="4" fontId="4" fillId="9" borderId="42" xfId="0" applyNumberFormat="1" applyFont="1" applyFill="1" applyBorder="1" applyAlignment="1"/>
    <xf numFmtId="0" fontId="5" fillId="8" borderId="42" xfId="0" applyFont="1" applyFill="1" applyBorder="1">
      <alignment vertical="center"/>
    </xf>
    <xf numFmtId="4" fontId="4" fillId="8" borderId="42" xfId="0" applyNumberFormat="1" applyFont="1" applyFill="1" applyBorder="1" applyAlignment="1"/>
    <xf numFmtId="0" fontId="4" fillId="9" borderId="42" xfId="0" applyFont="1" applyFill="1" applyBorder="1" applyAlignment="1"/>
    <xf numFmtId="183" fontId="5" fillId="8" borderId="42" xfId="0" applyNumberFormat="1" applyFont="1" applyFill="1" applyBorder="1">
      <alignment vertical="center"/>
    </xf>
    <xf numFmtId="184" fontId="5" fillId="8" borderId="42" xfId="0" applyNumberFormat="1" applyFont="1" applyFill="1" applyBorder="1">
      <alignment vertical="center"/>
    </xf>
    <xf numFmtId="0" fontId="3" fillId="8" borderId="34" xfId="0" applyFont="1" applyFill="1" applyBorder="1" applyAlignment="1">
      <alignment horizontal="left"/>
    </xf>
    <xf numFmtId="185" fontId="3" fillId="8" borderId="36" xfId="0" applyNumberFormat="1" applyFont="1" applyFill="1" applyBorder="1" applyAlignment="1">
      <alignment horizontal="left"/>
    </xf>
    <xf numFmtId="4" fontId="4" fillId="9" borderId="43" xfId="0" applyNumberFormat="1" applyFont="1" applyFill="1" applyBorder="1" applyAlignment="1"/>
    <xf numFmtId="183" fontId="5" fillId="8" borderId="43" xfId="0" applyNumberFormat="1" applyFont="1" applyFill="1" applyBorder="1">
      <alignment vertical="center"/>
    </xf>
    <xf numFmtId="4" fontId="4" fillId="8" borderId="43" xfId="0" applyNumberFormat="1" applyFont="1" applyFill="1" applyBorder="1" applyAlignment="1"/>
    <xf numFmtId="0" fontId="4" fillId="9" borderId="43" xfId="0" applyFont="1" applyFill="1" applyBorder="1" applyAlignment="1"/>
    <xf numFmtId="184" fontId="5" fillId="8" borderId="43" xfId="0" applyNumberFormat="1" applyFont="1" applyFill="1" applyBorder="1">
      <alignment vertical="center"/>
    </xf>
    <xf numFmtId="4" fontId="0" fillId="0" borderId="0" xfId="0" applyNumberFormat="1" applyFill="1" applyBorder="1">
      <alignment vertical="center"/>
    </xf>
    <xf numFmtId="0" fontId="2" fillId="4" borderId="44" xfId="0" applyFont="1" applyFill="1" applyBorder="1" applyAlignment="1">
      <alignment horizontal="center"/>
    </xf>
    <xf numFmtId="0" fontId="2" fillId="10" borderId="29" xfId="0" applyFont="1" applyFill="1" applyBorder="1" applyAlignment="1">
      <alignment horizontal="center"/>
    </xf>
    <xf numFmtId="0" fontId="2" fillId="10" borderId="30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41" xfId="0" applyFont="1" applyFill="1" applyBorder="1" applyAlignment="1">
      <alignment horizontal="center"/>
    </xf>
    <xf numFmtId="0" fontId="2" fillId="7" borderId="10" xfId="0" applyFont="1" applyFill="1" applyBorder="1" applyAlignment="1"/>
    <xf numFmtId="0" fontId="2" fillId="7" borderId="46" xfId="0" applyFont="1" applyFill="1" applyBorder="1" applyAlignment="1"/>
    <xf numFmtId="4" fontId="6" fillId="8" borderId="42" xfId="0" applyNumberFormat="1" applyFont="1" applyFill="1" applyBorder="1" applyAlignment="1">
      <alignment readingOrder="1"/>
    </xf>
    <xf numFmtId="0" fontId="5" fillId="8" borderId="35" xfId="0" applyFont="1" applyFill="1" applyBorder="1">
      <alignment vertical="center"/>
    </xf>
    <xf numFmtId="183" fontId="5" fillId="8" borderId="35" xfId="0" applyNumberFormat="1" applyFont="1" applyFill="1" applyBorder="1">
      <alignment vertical="center"/>
    </xf>
    <xf numFmtId="4" fontId="6" fillId="8" borderId="43" xfId="0" applyNumberFormat="1" applyFont="1" applyFill="1" applyBorder="1" applyAlignment="1">
      <alignment readingOrder="1"/>
    </xf>
    <xf numFmtId="183" fontId="5" fillId="8" borderId="37" xfId="0" applyNumberFormat="1" applyFont="1" applyFill="1" applyBorder="1">
      <alignment vertical="center"/>
    </xf>
    <xf numFmtId="0" fontId="2" fillId="4" borderId="3" xfId="0" applyFont="1" applyFill="1" applyBorder="1" applyAlignment="1"/>
    <xf numFmtId="181" fontId="2" fillId="0" borderId="47" xfId="0" applyNumberFormat="1" applyFont="1" applyFill="1" applyBorder="1" applyAlignment="1"/>
    <xf numFmtId="181" fontId="2" fillId="6" borderId="5" xfId="0" applyNumberFormat="1" applyFont="1" applyFill="1" applyBorder="1" applyAlignment="1"/>
    <xf numFmtId="181" fontId="2" fillId="6" borderId="47" xfId="0" applyNumberFormat="1" applyFont="1" applyFill="1" applyBorder="1" applyAlignment="1"/>
    <xf numFmtId="181" fontId="2" fillId="0" borderId="48" xfId="0" applyNumberFormat="1" applyFont="1" applyFill="1" applyBorder="1" applyAlignment="1"/>
    <xf numFmtId="0" fontId="2" fillId="5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181" fontId="2" fillId="0" borderId="9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59D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EFFICIENT FRONTIER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1"/>
          <c:order val="0"/>
          <c:tx>
            <c:strRef>
              <c:f>'PORTFOLIO SUMMARY &amp; EVALUATION'!$D$6</c:f>
              <c:strCache>
                <c:ptCount val="1"/>
                <c:pt idx="0">
                  <c:v>Risk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('PORTFOLIO SUMMARY &amp; EVALUATION'!$E$6,'PORTFOLIO SUMMARY &amp; EVALUATION'!$E$6:$I$6)</c:f>
              <c:numCache>
                <c:formatCode>0.000000</c:formatCode>
                <c:ptCount val="6"/>
                <c:pt idx="0">
                  <c:v>0.0117052367238064</c:v>
                </c:pt>
                <c:pt idx="1">
                  <c:v>0.0117052367238064</c:v>
                </c:pt>
                <c:pt idx="2">
                  <c:v>0.00845975330499506</c:v>
                </c:pt>
                <c:pt idx="3">
                  <c:v>0.0144852885183353</c:v>
                </c:pt>
                <c:pt idx="4">
                  <c:v>0.018601660197059</c:v>
                </c:pt>
                <c:pt idx="5">
                  <c:v>0.00652508177780925</c:v>
                </c:pt>
              </c:numCache>
            </c:numRef>
          </c:xVal>
          <c:yVal>
            <c:numRef>
              <c:f>'PORTFOLIO SUMMARY &amp; EVALUATION'!$E$5:$I$5</c:f>
              <c:numCache>
                <c:formatCode>0.000000%</c:formatCode>
                <c:ptCount val="5"/>
                <c:pt idx="0">
                  <c:v>0.000755243914283782</c:v>
                </c:pt>
                <c:pt idx="1">
                  <c:v>2.05725235431814e-5</c:v>
                </c:pt>
                <c:pt idx="2">
                  <c:v>0.00128777128458579</c:v>
                </c:pt>
                <c:pt idx="3">
                  <c:v>0.00307239948971202</c:v>
                </c:pt>
                <c:pt idx="4" c:formatCode="0.000000">
                  <c:v>0.0007543007197563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0469264"/>
        <c:axId val="76016926"/>
      </c:scatterChart>
      <c:valAx>
        <c:axId val="8046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RISK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016926"/>
        <c:crosses val="autoZero"/>
        <c:crossBetween val="midCat"/>
      </c:valAx>
      <c:valAx>
        <c:axId val="760169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RETURN</a:t>
                </a:r>
              </a:p>
            </c:rich>
          </c:tx>
          <c:layout>
            <c:manualLayout>
              <c:xMode val="edge"/>
              <c:yMode val="edge"/>
              <c:x val="0.033870072182121"/>
              <c:y val="0.4337406653088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6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170815</xdr:colOff>
      <xdr:row>0</xdr:row>
      <xdr:rowOff>78105</xdr:rowOff>
    </xdr:from>
    <xdr:to>
      <xdr:col>15</xdr:col>
      <xdr:colOff>546735</xdr:colOff>
      <xdr:row>18</xdr:row>
      <xdr:rowOff>26035</xdr:rowOff>
    </xdr:to>
    <xdr:graphicFrame>
      <xdr:nvGraphicFramePr>
        <xdr:cNvPr id="5" name="Chart 4"/>
        <xdr:cNvGraphicFramePr/>
      </xdr:nvGraphicFramePr>
      <xdr:xfrm>
        <a:off x="9519285" y="78105"/>
        <a:ext cx="5215890" cy="3376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PM%20CIA%2003%20EXC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TURN &amp; RISK"/>
      <sheetName val="PORTFOLIO CONSTRUCTION"/>
      <sheetName val="PORTFOLIO SUMMARY &amp; EVALUATION"/>
    </sheetNames>
    <sheetDataSet>
      <sheetData sheetId="0"/>
      <sheetData sheetId="1"/>
      <sheetData sheetId="2">
        <row r="4">
          <cell r="E4" t="str">
            <v>Equi-Weighted A</v>
          </cell>
          <cell r="F4" t="str">
            <v>Random Weights B</v>
          </cell>
          <cell r="G4" t="str">
            <v>Random Weights C</v>
          </cell>
          <cell r="H4" t="str">
            <v>OPTIMAL Portfolio</v>
          </cell>
          <cell r="I4" t="str">
            <v>BSE 30</v>
          </cell>
        </row>
        <row r="5">
          <cell r="D5" t="str">
            <v>Return</v>
          </cell>
          <cell r="E5">
            <v>0.00289741398907442</v>
          </cell>
          <cell r="F5">
            <v>0.00289741398907442</v>
          </cell>
          <cell r="G5">
            <v>0.00289741398907442</v>
          </cell>
          <cell r="H5">
            <v>0.00346240385021449</v>
          </cell>
          <cell r="I5">
            <v>0.000728557154574971</v>
          </cell>
        </row>
        <row r="6">
          <cell r="D6" t="str">
            <v>Risk</v>
          </cell>
          <cell r="E6">
            <v>0.0117103783423587</v>
          </cell>
          <cell r="F6">
            <v>0.0105459700155197</v>
          </cell>
          <cell r="G6">
            <v>0.0116320896924335</v>
          </cell>
          <cell r="H6">
            <v>0.0109325548180866</v>
          </cell>
          <cell r="I6">
            <v>0.00644393810575876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S45"/>
  <sheetViews>
    <sheetView topLeftCell="C28" workbookViewId="0">
      <selection activeCell="O32" sqref="O32"/>
    </sheetView>
  </sheetViews>
  <sheetFormatPr defaultColWidth="8.72727272727273" defaultRowHeight="14.5"/>
  <cols>
    <col min="2" max="2" width="11.3636363636364" customWidth="1"/>
    <col min="4" max="4" width="12" customWidth="1"/>
    <col min="6" max="6" width="9.72727272727273"/>
    <col min="8" max="8" width="13.1818181818182" customWidth="1"/>
    <col min="10" max="10" width="9.72727272727273"/>
    <col min="12" max="12" width="8.90909090909091" customWidth="1"/>
    <col min="13" max="13" width="9.63636363636364"/>
    <col min="14" max="14" width="9.72727272727273"/>
    <col min="17" max="17" width="30.2727272727273" customWidth="1"/>
    <col min="18" max="18" width="13.7272727272727" customWidth="1"/>
    <col min="19" max="19" width="9.09090909090909" customWidth="1"/>
  </cols>
  <sheetData>
    <row r="3" ht="15.25" spans="2:14">
      <c r="B3" s="102" t="s">
        <v>0</v>
      </c>
      <c r="C3" s="64" t="s">
        <v>1</v>
      </c>
      <c r="D3" s="103"/>
      <c r="E3" s="104" t="s">
        <v>2</v>
      </c>
      <c r="F3" s="105"/>
      <c r="G3" s="64" t="s">
        <v>3</v>
      </c>
      <c r="H3" s="103"/>
      <c r="I3" s="104" t="s">
        <v>4</v>
      </c>
      <c r="J3" s="123"/>
      <c r="K3" s="124" t="s">
        <v>5</v>
      </c>
      <c r="L3" s="125"/>
      <c r="M3" s="126" t="s">
        <v>6</v>
      </c>
      <c r="N3" s="127"/>
    </row>
    <row r="4" ht="15.25" spans="2:19">
      <c r="B4" s="106"/>
      <c r="C4" s="102" t="s">
        <v>7</v>
      </c>
      <c r="D4" s="107" t="s">
        <v>8</v>
      </c>
      <c r="E4" s="102" t="s">
        <v>7</v>
      </c>
      <c r="F4" s="107" t="s">
        <v>8</v>
      </c>
      <c r="G4" s="102" t="s">
        <v>7</v>
      </c>
      <c r="H4" s="107" t="s">
        <v>8</v>
      </c>
      <c r="I4" s="102" t="s">
        <v>7</v>
      </c>
      <c r="J4" s="107" t="s">
        <v>8</v>
      </c>
      <c r="K4" s="128" t="s">
        <v>7</v>
      </c>
      <c r="L4" s="129" t="s">
        <v>8</v>
      </c>
      <c r="M4" s="130" t="s">
        <v>7</v>
      </c>
      <c r="N4" s="131" t="s">
        <v>8</v>
      </c>
      <c r="Q4" s="137" t="s">
        <v>9</v>
      </c>
      <c r="R4" s="52" t="s">
        <v>10</v>
      </c>
      <c r="S4" s="53" t="s">
        <v>11</v>
      </c>
    </row>
    <row r="5" spans="2:19">
      <c r="B5" s="108">
        <v>45293</v>
      </c>
      <c r="C5" s="109">
        <v>2473.6</v>
      </c>
      <c r="D5" s="110"/>
      <c r="E5" s="111">
        <v>5364.65</v>
      </c>
      <c r="F5" s="110"/>
      <c r="G5" s="112">
        <v>647.65</v>
      </c>
      <c r="H5" s="110"/>
      <c r="I5" s="111">
        <v>2397.2</v>
      </c>
      <c r="J5" s="110"/>
      <c r="K5" s="132">
        <v>1326.1</v>
      </c>
      <c r="L5" s="110"/>
      <c r="M5" s="109">
        <v>21697.45</v>
      </c>
      <c r="N5" s="133"/>
      <c r="Q5" s="44" t="s">
        <v>1</v>
      </c>
      <c r="R5" s="10">
        <f>AVERAGE(D6:D44)</f>
        <v>-0.00222749434293499</v>
      </c>
      <c r="S5" s="138">
        <f>_xlfn.STDEV.S(D6:D44)</f>
        <v>0.00860055611541853</v>
      </c>
    </row>
    <row r="6" spans="2:19">
      <c r="B6" s="108">
        <v>45324</v>
      </c>
      <c r="C6" s="109">
        <v>2452.6</v>
      </c>
      <c r="D6" s="113">
        <f>(C6-C5)/C5</f>
        <v>-0.00848965071151358</v>
      </c>
      <c r="E6" s="111">
        <v>5485.85</v>
      </c>
      <c r="F6" s="113">
        <f>(E6-E5)/E5</f>
        <v>0.0225923406000393</v>
      </c>
      <c r="G6" s="112">
        <v>649.65</v>
      </c>
      <c r="H6" s="114">
        <f>(G6-G5)/G5</f>
        <v>0.00308808770169073</v>
      </c>
      <c r="I6" s="111">
        <v>2405.5</v>
      </c>
      <c r="J6" s="113">
        <f>(I6-I5)/I5</f>
        <v>0.00346237276822968</v>
      </c>
      <c r="K6" s="132">
        <v>1392.4</v>
      </c>
      <c r="L6" s="113">
        <f>(K6-K5)/K5</f>
        <v>0.0499962295452833</v>
      </c>
      <c r="M6" s="109">
        <v>21853.8</v>
      </c>
      <c r="N6" s="134">
        <f>(M6-M5)/M5</f>
        <v>0.00720591590255991</v>
      </c>
      <c r="Q6" s="45" t="s">
        <v>2</v>
      </c>
      <c r="R6" s="10">
        <f>AVERAGE(F6:F44)</f>
        <v>-0.00205849257061111</v>
      </c>
      <c r="S6" s="138">
        <f>_xlfn.STDEV.S(F6:F44)</f>
        <v>0.0112738836665637</v>
      </c>
    </row>
    <row r="7" spans="2:19">
      <c r="B7" s="108">
        <v>45414</v>
      </c>
      <c r="C7" s="109">
        <v>2419.5</v>
      </c>
      <c r="D7" s="113">
        <f t="shared" ref="D7:D44" si="0">(C7-C6)/C6</f>
        <v>-0.0134958819212264</v>
      </c>
      <c r="E7" s="111">
        <v>5438.45</v>
      </c>
      <c r="F7" s="113">
        <f t="shared" ref="F7:F45" si="1">(E7-E6)/E6</f>
        <v>-0.0086404112398262</v>
      </c>
      <c r="G7" s="112">
        <v>642.95</v>
      </c>
      <c r="H7" s="114">
        <f t="shared" ref="H7:H44" si="2">(G7-G6)/G6</f>
        <v>-0.0103132455937812</v>
      </c>
      <c r="I7" s="111">
        <v>2357.1</v>
      </c>
      <c r="J7" s="113">
        <f t="shared" ref="J7:J44" si="3">(I7-I6)/I6</f>
        <v>-0.020120557056745</v>
      </c>
      <c r="K7" s="132">
        <v>1462</v>
      </c>
      <c r="L7" s="113">
        <f t="shared" ref="L7:L44" si="4">(K7-K6)/K6</f>
        <v>0.0499856363114047</v>
      </c>
      <c r="M7" s="109">
        <v>21771.7</v>
      </c>
      <c r="N7" s="134">
        <f t="shared" ref="N7:N44" si="5">(M7-M6)/M6</f>
        <v>-0.00375678371724819</v>
      </c>
      <c r="Q7" s="45" t="s">
        <v>12</v>
      </c>
      <c r="R7" s="10">
        <f>AVERAGE(H6:H44)</f>
        <v>0.00399075938891214</v>
      </c>
      <c r="S7" s="138">
        <f>AVERAGE(H6:H44)</f>
        <v>0.00399075938891214</v>
      </c>
    </row>
    <row r="8" spans="2:19">
      <c r="B8" s="108">
        <v>45445</v>
      </c>
      <c r="C8" s="109">
        <v>2426.35</v>
      </c>
      <c r="D8" s="113">
        <f t="shared" si="0"/>
        <v>0.00283116346352548</v>
      </c>
      <c r="E8" s="111">
        <v>5470.3</v>
      </c>
      <c r="F8" s="113">
        <f t="shared" si="1"/>
        <v>0.00585644806884321</v>
      </c>
      <c r="G8" s="112">
        <v>650.25</v>
      </c>
      <c r="H8" s="114">
        <f t="shared" si="2"/>
        <v>0.0113539155455322</v>
      </c>
      <c r="I8" s="111">
        <v>2396.45</v>
      </c>
      <c r="J8" s="113">
        <f t="shared" si="3"/>
        <v>0.0166942429256289</v>
      </c>
      <c r="K8" s="132">
        <v>1535.1</v>
      </c>
      <c r="L8" s="113">
        <f t="shared" si="4"/>
        <v>0.0499999999999999</v>
      </c>
      <c r="M8" s="109">
        <v>21929.4</v>
      </c>
      <c r="N8" s="134">
        <f t="shared" si="5"/>
        <v>0.00724334801600246</v>
      </c>
      <c r="Q8" s="45" t="s">
        <v>4</v>
      </c>
      <c r="R8" s="10">
        <f>AVERAGE(J6:J44)</f>
        <v>-0.000206054138549072</v>
      </c>
      <c r="S8" s="138">
        <f>_xlfn.STDEV.S(J6:J44)</f>
        <v>0.0200700089401579</v>
      </c>
    </row>
    <row r="9" spans="2:19">
      <c r="B9" s="108">
        <v>45475</v>
      </c>
      <c r="C9" s="109">
        <v>2425.45</v>
      </c>
      <c r="D9" s="113">
        <f t="shared" si="0"/>
        <v>-0.000370927524883092</v>
      </c>
      <c r="E9" s="111">
        <v>5447.9</v>
      </c>
      <c r="F9" s="113">
        <f t="shared" si="1"/>
        <v>-0.00409483940551716</v>
      </c>
      <c r="G9" s="112">
        <v>675.25</v>
      </c>
      <c r="H9" s="114">
        <f t="shared" si="2"/>
        <v>0.0384467512495194</v>
      </c>
      <c r="I9" s="111">
        <v>2413.65</v>
      </c>
      <c r="J9" s="113">
        <f t="shared" si="3"/>
        <v>0.00717728306453307</v>
      </c>
      <c r="K9" s="132">
        <v>1513.77</v>
      </c>
      <c r="L9" s="113">
        <f t="shared" si="4"/>
        <v>-0.0138948602696892</v>
      </c>
      <c r="M9" s="109">
        <v>21930.5</v>
      </c>
      <c r="N9" s="134">
        <f t="shared" si="5"/>
        <v>5.01609711163344e-5</v>
      </c>
      <c r="Q9" s="47" t="s">
        <v>5</v>
      </c>
      <c r="R9" s="139">
        <f>AVERAGE(L6:L44)</f>
        <v>0.00427750123460194</v>
      </c>
      <c r="S9" s="140">
        <f>_xlfn.STDEV.S(L6:L44)</f>
        <v>0.0385248718120495</v>
      </c>
    </row>
    <row r="10" ht="15.25" spans="2:19">
      <c r="B10" s="108">
        <v>45506</v>
      </c>
      <c r="C10" s="109">
        <v>2417.05</v>
      </c>
      <c r="D10" s="113">
        <f t="shared" si="0"/>
        <v>-0.0034632748562121</v>
      </c>
      <c r="E10" s="111">
        <v>5420.8</v>
      </c>
      <c r="F10" s="113">
        <f t="shared" si="1"/>
        <v>-0.0049743938031167</v>
      </c>
      <c r="G10" s="112">
        <v>699.55</v>
      </c>
      <c r="H10" s="114">
        <f t="shared" si="2"/>
        <v>0.0359866716031099</v>
      </c>
      <c r="I10" s="111">
        <v>2347.95</v>
      </c>
      <c r="J10" s="113">
        <f t="shared" si="3"/>
        <v>-0.0272201851966939</v>
      </c>
      <c r="K10" s="132">
        <v>1438.1</v>
      </c>
      <c r="L10" s="113">
        <f t="shared" si="4"/>
        <v>-0.0499877788567616</v>
      </c>
      <c r="M10" s="109">
        <v>21717.95</v>
      </c>
      <c r="N10" s="134">
        <f t="shared" si="5"/>
        <v>-0.00969198148697017</v>
      </c>
      <c r="Q10" s="50" t="s">
        <v>6</v>
      </c>
      <c r="R10" s="13">
        <f>AVERAGE(N6:N44)</f>
        <v>0.0007543007197563</v>
      </c>
      <c r="S10" s="141">
        <f>_xlfn.STDEV.S(N6:N44)</f>
        <v>0.00652508177780925</v>
      </c>
    </row>
    <row r="11" ht="15.25" spans="2:19">
      <c r="B11" s="108">
        <v>45537</v>
      </c>
      <c r="C11" s="109">
        <v>2424.15</v>
      </c>
      <c r="D11" s="113">
        <f t="shared" si="0"/>
        <v>0.00293746509174403</v>
      </c>
      <c r="E11" s="111">
        <v>5453.3</v>
      </c>
      <c r="F11" s="113">
        <f t="shared" si="1"/>
        <v>0.00599542502951594</v>
      </c>
      <c r="G11" s="112">
        <v>725.25</v>
      </c>
      <c r="H11" s="114">
        <f t="shared" si="2"/>
        <v>0.0367379029376028</v>
      </c>
      <c r="I11" s="111">
        <v>2334.1</v>
      </c>
      <c r="J11" s="113">
        <f t="shared" si="3"/>
        <v>-0.00589876275048443</v>
      </c>
      <c r="K11" s="132">
        <v>1412.37</v>
      </c>
      <c r="L11" s="113">
        <f t="shared" si="4"/>
        <v>-0.0178916626103887</v>
      </c>
      <c r="M11" s="109">
        <v>21782.5</v>
      </c>
      <c r="N11" s="134">
        <f t="shared" si="5"/>
        <v>0.00297219581037802</v>
      </c>
      <c r="Q11" s="1"/>
      <c r="R11" s="1"/>
      <c r="S11" s="1"/>
    </row>
    <row r="12" ht="15.25" spans="2:19">
      <c r="B12" s="108">
        <v>45628</v>
      </c>
      <c r="C12" s="109">
        <v>2385.65</v>
      </c>
      <c r="D12" s="113">
        <f t="shared" si="0"/>
        <v>-0.0158818554957408</v>
      </c>
      <c r="E12" s="111">
        <v>5516.5</v>
      </c>
      <c r="F12" s="113">
        <f t="shared" si="1"/>
        <v>0.0115893128931106</v>
      </c>
      <c r="G12" s="112">
        <v>707.9</v>
      </c>
      <c r="H12" s="114">
        <f t="shared" si="2"/>
        <v>-0.0239227852464668</v>
      </c>
      <c r="I12" s="111">
        <v>2262.25</v>
      </c>
      <c r="J12" s="113">
        <f t="shared" si="3"/>
        <v>-0.0307827428130757</v>
      </c>
      <c r="K12" s="132">
        <v>1341.77</v>
      </c>
      <c r="L12" s="113">
        <f t="shared" si="4"/>
        <v>-0.0499869014493369</v>
      </c>
      <c r="M12" s="109">
        <v>21616.05</v>
      </c>
      <c r="N12" s="134">
        <f t="shared" si="5"/>
        <v>-0.00764145529668315</v>
      </c>
      <c r="Q12" s="142" t="s">
        <v>6</v>
      </c>
      <c r="R12" s="143" t="s">
        <v>13</v>
      </c>
      <c r="S12" s="144">
        <f>_xlfn.VAR.S(N6:N44)</f>
        <v>4.25766922070983e-5</v>
      </c>
    </row>
    <row r="13" spans="2:14">
      <c r="B13" s="115" t="s">
        <v>14</v>
      </c>
      <c r="C13" s="109">
        <v>2394</v>
      </c>
      <c r="D13" s="113">
        <f t="shared" si="0"/>
        <v>0.0035000943139186</v>
      </c>
      <c r="E13" s="111">
        <v>5557.15</v>
      </c>
      <c r="F13" s="113">
        <f t="shared" si="1"/>
        <v>0.00736880268286044</v>
      </c>
      <c r="G13" s="112">
        <v>713.45</v>
      </c>
      <c r="H13" s="114">
        <f t="shared" si="2"/>
        <v>0.00784009040824985</v>
      </c>
      <c r="I13" s="111">
        <v>2330.65</v>
      </c>
      <c r="J13" s="113">
        <f t="shared" si="3"/>
        <v>0.0302353851254283</v>
      </c>
      <c r="K13" s="132">
        <v>1274.7</v>
      </c>
      <c r="L13" s="113">
        <f t="shared" si="4"/>
        <v>-0.0499862122420385</v>
      </c>
      <c r="M13" s="109">
        <v>21743.25</v>
      </c>
      <c r="N13" s="134">
        <f t="shared" si="5"/>
        <v>0.00588451636631118</v>
      </c>
    </row>
    <row r="14" spans="2:14">
      <c r="B14" s="115" t="s">
        <v>15</v>
      </c>
      <c r="C14" s="109">
        <v>2387.95</v>
      </c>
      <c r="D14" s="113">
        <f t="shared" si="0"/>
        <v>-0.00252715121136181</v>
      </c>
      <c r="E14" s="111">
        <v>5505.15</v>
      </c>
      <c r="F14" s="113">
        <f t="shared" si="1"/>
        <v>-0.00935731445075264</v>
      </c>
      <c r="G14" s="112">
        <v>743.4</v>
      </c>
      <c r="H14" s="114">
        <f t="shared" si="2"/>
        <v>0.0419791155652112</v>
      </c>
      <c r="I14" s="111">
        <v>2393.3</v>
      </c>
      <c r="J14" s="113">
        <f t="shared" si="3"/>
        <v>0.0268809130500075</v>
      </c>
      <c r="K14" s="132">
        <v>1338.43</v>
      </c>
      <c r="L14" s="113">
        <f t="shared" si="4"/>
        <v>0.0499960775084334</v>
      </c>
      <c r="M14" s="109">
        <v>21840.05</v>
      </c>
      <c r="N14" s="134">
        <f t="shared" si="5"/>
        <v>0.00445195635427083</v>
      </c>
    </row>
    <row r="15" spans="2:14">
      <c r="B15" s="115" t="s">
        <v>16</v>
      </c>
      <c r="C15" s="109">
        <v>2350.85</v>
      </c>
      <c r="D15" s="113">
        <f t="shared" si="0"/>
        <v>-0.015536338700559</v>
      </c>
      <c r="E15" s="111">
        <v>5522.3</v>
      </c>
      <c r="F15" s="113">
        <f t="shared" si="1"/>
        <v>0.00311526479750789</v>
      </c>
      <c r="G15" s="112">
        <v>761.7</v>
      </c>
      <c r="H15" s="114">
        <f t="shared" si="2"/>
        <v>0.0246166263115417</v>
      </c>
      <c r="I15" s="111">
        <v>2437.6</v>
      </c>
      <c r="J15" s="113">
        <f t="shared" si="3"/>
        <v>0.0185100071031629</v>
      </c>
      <c r="K15" s="132">
        <v>1405.35</v>
      </c>
      <c r="L15" s="113">
        <f t="shared" si="4"/>
        <v>0.049998879283937</v>
      </c>
      <c r="M15" s="109">
        <v>21910.75</v>
      </c>
      <c r="N15" s="134">
        <f t="shared" si="5"/>
        <v>0.00323717207607129</v>
      </c>
    </row>
    <row r="16" spans="2:14">
      <c r="B16" s="115" t="s">
        <v>17</v>
      </c>
      <c r="C16" s="109">
        <v>2375.25</v>
      </c>
      <c r="D16" s="113">
        <f t="shared" si="0"/>
        <v>0.0103792245358062</v>
      </c>
      <c r="E16" s="111">
        <v>5580.4</v>
      </c>
      <c r="F16" s="113">
        <f t="shared" si="1"/>
        <v>0.0105209785777664</v>
      </c>
      <c r="G16" s="112">
        <v>754.7</v>
      </c>
      <c r="H16" s="114">
        <f t="shared" si="2"/>
        <v>-0.00918996980438493</v>
      </c>
      <c r="I16" s="111">
        <v>2449.4</v>
      </c>
      <c r="J16" s="113">
        <f t="shared" si="3"/>
        <v>0.00484082704299318</v>
      </c>
      <c r="K16" s="132">
        <v>1475.6</v>
      </c>
      <c r="L16" s="113">
        <f t="shared" si="4"/>
        <v>0.0499875475860106</v>
      </c>
      <c r="M16" s="109">
        <v>22040.7</v>
      </c>
      <c r="N16" s="134">
        <f t="shared" si="5"/>
        <v>0.0059308786782744</v>
      </c>
    </row>
    <row r="17" spans="2:14">
      <c r="B17" s="115" t="s">
        <v>18</v>
      </c>
      <c r="C17" s="109">
        <v>2387.15</v>
      </c>
      <c r="D17" s="113">
        <f t="shared" si="0"/>
        <v>0.00500999894747925</v>
      </c>
      <c r="E17" s="111">
        <v>5514.05</v>
      </c>
      <c r="F17" s="113">
        <f t="shared" si="1"/>
        <v>-0.0118898286861156</v>
      </c>
      <c r="G17" s="112">
        <v>759.25</v>
      </c>
      <c r="H17" s="114">
        <f t="shared" si="2"/>
        <v>0.00602888564992706</v>
      </c>
      <c r="I17" s="111">
        <v>2439.9</v>
      </c>
      <c r="J17" s="113">
        <f t="shared" si="3"/>
        <v>-0.00387850085735282</v>
      </c>
      <c r="K17" s="132">
        <v>1549.35</v>
      </c>
      <c r="L17" s="113">
        <f t="shared" si="4"/>
        <v>0.0499796692870697</v>
      </c>
      <c r="M17" s="109">
        <v>22122.25</v>
      </c>
      <c r="N17" s="134">
        <f t="shared" si="5"/>
        <v>0.00369997323134017</v>
      </c>
    </row>
    <row r="18" spans="2:14">
      <c r="B18" s="115" t="s">
        <v>19</v>
      </c>
      <c r="C18" s="109">
        <v>2404.1</v>
      </c>
      <c r="D18" s="113">
        <f t="shared" si="0"/>
        <v>0.00710051735332921</v>
      </c>
      <c r="E18" s="111">
        <v>5504.35</v>
      </c>
      <c r="F18" s="113">
        <f t="shared" si="1"/>
        <v>-0.00175914255402106</v>
      </c>
      <c r="G18" s="112">
        <v>760.1</v>
      </c>
      <c r="H18" s="114">
        <f t="shared" si="2"/>
        <v>0.00111952584787622</v>
      </c>
      <c r="I18" s="111">
        <v>2416.65</v>
      </c>
      <c r="J18" s="113">
        <f t="shared" si="3"/>
        <v>-0.00952907906061724</v>
      </c>
      <c r="K18" s="132">
        <v>1559.8</v>
      </c>
      <c r="L18" s="113">
        <f t="shared" si="4"/>
        <v>0.00674476393326237</v>
      </c>
      <c r="M18" s="109">
        <v>22196.95</v>
      </c>
      <c r="N18" s="134">
        <f t="shared" si="5"/>
        <v>0.00337669088813302</v>
      </c>
    </row>
    <row r="19" spans="2:14">
      <c r="B19" s="115" t="s">
        <v>20</v>
      </c>
      <c r="C19" s="109">
        <v>2407.1</v>
      </c>
      <c r="D19" s="113">
        <f t="shared" si="0"/>
        <v>0.00124786822511543</v>
      </c>
      <c r="E19" s="111">
        <v>5420.1</v>
      </c>
      <c r="F19" s="113">
        <f t="shared" si="1"/>
        <v>-0.0153060761034455</v>
      </c>
      <c r="G19" s="112">
        <v>771.5</v>
      </c>
      <c r="H19" s="114">
        <f t="shared" si="2"/>
        <v>0.0149980265754506</v>
      </c>
      <c r="I19" s="111">
        <v>2355.95</v>
      </c>
      <c r="J19" s="113">
        <f t="shared" si="3"/>
        <v>-0.0251174146028594</v>
      </c>
      <c r="K19" s="132">
        <v>1637.75</v>
      </c>
      <c r="L19" s="113">
        <f t="shared" si="4"/>
        <v>0.0499743556866265</v>
      </c>
      <c r="M19" s="109">
        <v>22055.05</v>
      </c>
      <c r="N19" s="134">
        <f t="shared" si="5"/>
        <v>-0.00639277017788486</v>
      </c>
    </row>
    <row r="20" spans="2:14">
      <c r="B20" s="115" t="s">
        <v>21</v>
      </c>
      <c r="C20" s="109">
        <v>2388.1</v>
      </c>
      <c r="D20" s="113">
        <f t="shared" si="0"/>
        <v>-0.00789331560799302</v>
      </c>
      <c r="E20" s="111">
        <v>5486.75</v>
      </c>
      <c r="F20" s="113">
        <f t="shared" si="1"/>
        <v>0.0122968210918617</v>
      </c>
      <c r="G20" s="112">
        <v>765.9</v>
      </c>
      <c r="H20" s="114">
        <f t="shared" si="2"/>
        <v>-0.00725858716785486</v>
      </c>
      <c r="I20" s="111">
        <v>2395.2</v>
      </c>
      <c r="J20" s="113">
        <f t="shared" si="3"/>
        <v>0.0166599460939324</v>
      </c>
      <c r="K20" s="132">
        <v>1719.6</v>
      </c>
      <c r="L20" s="113">
        <f t="shared" si="4"/>
        <v>0.0499771027324072</v>
      </c>
      <c r="M20" s="109">
        <v>22217.45</v>
      </c>
      <c r="N20" s="134">
        <f t="shared" si="5"/>
        <v>0.00736339296442318</v>
      </c>
    </row>
    <row r="21" spans="2:14">
      <c r="B21" s="115" t="s">
        <v>22</v>
      </c>
      <c r="C21" s="109">
        <v>2394.1</v>
      </c>
      <c r="D21" s="113">
        <f t="shared" si="0"/>
        <v>0.00251245760227796</v>
      </c>
      <c r="E21" s="111">
        <v>5542.65</v>
      </c>
      <c r="F21" s="113">
        <f t="shared" si="1"/>
        <v>0.0101881806169407</v>
      </c>
      <c r="G21" s="112">
        <v>759.05</v>
      </c>
      <c r="H21" s="114">
        <f t="shared" si="2"/>
        <v>-0.00894372633503071</v>
      </c>
      <c r="I21" s="111">
        <v>2445.45</v>
      </c>
      <c r="J21" s="113">
        <f t="shared" si="3"/>
        <v>0.0209794589178357</v>
      </c>
      <c r="K21" s="132">
        <v>1805.55</v>
      </c>
      <c r="L21" s="113">
        <f t="shared" si="4"/>
        <v>0.0499825540823448</v>
      </c>
      <c r="M21" s="109">
        <v>22212.7</v>
      </c>
      <c r="N21" s="134">
        <f t="shared" si="5"/>
        <v>-0.000213795912672246</v>
      </c>
    </row>
    <row r="22" spans="2:14">
      <c r="B22" s="115" t="s">
        <v>23</v>
      </c>
      <c r="C22" s="109">
        <v>2404.25</v>
      </c>
      <c r="D22" s="113">
        <f t="shared" si="0"/>
        <v>0.00423958898959947</v>
      </c>
      <c r="E22" s="111">
        <v>5466.15</v>
      </c>
      <c r="F22" s="113">
        <f t="shared" si="1"/>
        <v>-0.0138020621904685</v>
      </c>
      <c r="G22" s="112">
        <v>758.9</v>
      </c>
      <c r="H22" s="114">
        <f t="shared" si="2"/>
        <v>-0.000197615440353043</v>
      </c>
      <c r="I22" s="111">
        <v>2485.15</v>
      </c>
      <c r="J22" s="113">
        <f t="shared" si="3"/>
        <v>0.0162342309186449</v>
      </c>
      <c r="K22" s="132">
        <v>1775.45</v>
      </c>
      <c r="L22" s="113">
        <f t="shared" si="4"/>
        <v>-0.0166708205256016</v>
      </c>
      <c r="M22" s="109">
        <v>22122.05</v>
      </c>
      <c r="N22" s="134">
        <f t="shared" si="5"/>
        <v>-0.00408099870794642</v>
      </c>
    </row>
    <row r="23" spans="2:14">
      <c r="B23" s="115" t="s">
        <v>24</v>
      </c>
      <c r="C23" s="109">
        <v>2405.3</v>
      </c>
      <c r="D23" s="113">
        <f t="shared" si="0"/>
        <v>0.000436726629926248</v>
      </c>
      <c r="E23" s="111">
        <v>5442.7</v>
      </c>
      <c r="F23" s="113">
        <f t="shared" si="1"/>
        <v>-0.00429003960740189</v>
      </c>
      <c r="G23" s="112">
        <v>749.85</v>
      </c>
      <c r="H23" s="114">
        <f t="shared" si="2"/>
        <v>-0.0119251548293582</v>
      </c>
      <c r="I23" s="111">
        <v>2372.4</v>
      </c>
      <c r="J23" s="113">
        <f t="shared" si="3"/>
        <v>-0.0453694947991067</v>
      </c>
      <c r="K23" s="132">
        <v>1744.5</v>
      </c>
      <c r="L23" s="113">
        <f t="shared" si="4"/>
        <v>-0.0174322002872511</v>
      </c>
      <c r="M23" s="109">
        <v>22198.35</v>
      </c>
      <c r="N23" s="134">
        <f t="shared" si="5"/>
        <v>0.00344904744361392</v>
      </c>
    </row>
    <row r="24" spans="2:14">
      <c r="B24" s="115" t="s">
        <v>25</v>
      </c>
      <c r="C24" s="109">
        <v>2421.55</v>
      </c>
      <c r="D24" s="113">
        <f t="shared" si="0"/>
        <v>0.00675591402319877</v>
      </c>
      <c r="E24" s="111">
        <v>5409.95</v>
      </c>
      <c r="F24" s="113">
        <f t="shared" si="1"/>
        <v>-0.00601723409337277</v>
      </c>
      <c r="G24" s="112">
        <v>742.5</v>
      </c>
      <c r="H24" s="114">
        <f t="shared" si="2"/>
        <v>-0.00980196039207845</v>
      </c>
      <c r="I24" s="111">
        <v>2348.8</v>
      </c>
      <c r="J24" s="113">
        <f t="shared" si="3"/>
        <v>-0.00994773225425725</v>
      </c>
      <c r="K24" s="132">
        <v>1657.3</v>
      </c>
      <c r="L24" s="113">
        <f t="shared" si="4"/>
        <v>-0.0499856692462024</v>
      </c>
      <c r="M24" s="109">
        <v>21951.15</v>
      </c>
      <c r="N24" s="134">
        <f t="shared" si="5"/>
        <v>-0.0111359628080464</v>
      </c>
    </row>
    <row r="25" spans="2:14">
      <c r="B25" s="115" t="s">
        <v>26</v>
      </c>
      <c r="C25" s="109">
        <v>2412.3</v>
      </c>
      <c r="D25" s="113">
        <f t="shared" si="0"/>
        <v>-0.00381986744027586</v>
      </c>
      <c r="E25" s="111">
        <v>5300.85</v>
      </c>
      <c r="F25" s="113">
        <f t="shared" si="1"/>
        <v>-0.0201665449773102</v>
      </c>
      <c r="G25" s="112">
        <v>748.1</v>
      </c>
      <c r="H25" s="114">
        <f t="shared" si="2"/>
        <v>0.00754208754208757</v>
      </c>
      <c r="I25" s="111">
        <v>2438.6</v>
      </c>
      <c r="J25" s="113">
        <f t="shared" si="3"/>
        <v>0.0382322888283378</v>
      </c>
      <c r="K25" s="132">
        <v>1740.15</v>
      </c>
      <c r="L25" s="113">
        <f t="shared" si="4"/>
        <v>0.0499909491341339</v>
      </c>
      <c r="M25" s="109">
        <v>21982.8</v>
      </c>
      <c r="N25" s="134">
        <f t="shared" si="5"/>
        <v>0.00144183789915325</v>
      </c>
    </row>
    <row r="26" spans="2:14">
      <c r="B26" s="108">
        <v>45294</v>
      </c>
      <c r="C26" s="109">
        <v>2409.7</v>
      </c>
      <c r="D26" s="113">
        <f t="shared" si="0"/>
        <v>-0.00107780955934186</v>
      </c>
      <c r="E26" s="111">
        <v>5273.55</v>
      </c>
      <c r="F26" s="113">
        <f t="shared" si="1"/>
        <v>-0.00515011743399647</v>
      </c>
      <c r="G26" s="112">
        <v>769.15</v>
      </c>
      <c r="H26" s="114">
        <f t="shared" si="2"/>
        <v>0.0281379494719957</v>
      </c>
      <c r="I26" s="111">
        <v>2450.45</v>
      </c>
      <c r="J26" s="113">
        <f t="shared" si="3"/>
        <v>0.00485934552612151</v>
      </c>
      <c r="K26" s="132">
        <v>1740.75</v>
      </c>
      <c r="L26" s="113">
        <f t="shared" si="4"/>
        <v>0.000344797862253202</v>
      </c>
      <c r="M26" s="109">
        <v>22338.75</v>
      </c>
      <c r="N26" s="134">
        <f t="shared" si="5"/>
        <v>0.0161922048146733</v>
      </c>
    </row>
    <row r="27" spans="2:14">
      <c r="B27" s="108">
        <v>45325</v>
      </c>
      <c r="C27" s="109">
        <v>2416.2</v>
      </c>
      <c r="D27" s="113">
        <f t="shared" si="0"/>
        <v>0.002697431215504</v>
      </c>
      <c r="E27" s="111">
        <v>5295.25</v>
      </c>
      <c r="F27" s="113">
        <f t="shared" si="1"/>
        <v>0.00411487517895911</v>
      </c>
      <c r="G27" s="112">
        <v>773.3</v>
      </c>
      <c r="H27" s="114">
        <f t="shared" si="2"/>
        <v>0.00539556653448609</v>
      </c>
      <c r="I27" s="111">
        <v>2457.15</v>
      </c>
      <c r="J27" s="113">
        <f t="shared" si="3"/>
        <v>0.00273419167907946</v>
      </c>
      <c r="K27" s="132">
        <v>1757</v>
      </c>
      <c r="L27" s="113">
        <f t="shared" si="4"/>
        <v>0.00933505672842166</v>
      </c>
      <c r="M27" s="109">
        <v>22378.4</v>
      </c>
      <c r="N27" s="134">
        <f t="shared" si="5"/>
        <v>0.00177494264450793</v>
      </c>
    </row>
    <row r="28" spans="2:14">
      <c r="B28" s="108">
        <v>45385</v>
      </c>
      <c r="C28" s="109">
        <v>2422</v>
      </c>
      <c r="D28" s="113">
        <f t="shared" si="0"/>
        <v>0.00240046353778668</v>
      </c>
      <c r="E28" s="111">
        <v>5216.85</v>
      </c>
      <c r="F28" s="113">
        <f t="shared" si="1"/>
        <v>-0.0148057221094376</v>
      </c>
      <c r="G28" s="112">
        <v>772.05</v>
      </c>
      <c r="H28" s="114">
        <f t="shared" si="2"/>
        <v>-0.00161644898487004</v>
      </c>
      <c r="I28" s="111">
        <v>2446.5</v>
      </c>
      <c r="J28" s="113">
        <f t="shared" si="3"/>
        <v>-0.004334289725902</v>
      </c>
      <c r="K28" s="132">
        <v>1735.85</v>
      </c>
      <c r="L28" s="113">
        <f t="shared" si="4"/>
        <v>-0.012037564029596</v>
      </c>
      <c r="M28" s="109">
        <v>22405.6</v>
      </c>
      <c r="N28" s="134">
        <f t="shared" si="5"/>
        <v>0.00121545776284261</v>
      </c>
    </row>
    <row r="29" spans="2:14">
      <c r="B29" s="108">
        <v>45415</v>
      </c>
      <c r="C29" s="109">
        <v>2399.85</v>
      </c>
      <c r="D29" s="113">
        <f t="shared" si="0"/>
        <v>-0.00914533443435181</v>
      </c>
      <c r="E29" s="111">
        <v>5131.55</v>
      </c>
      <c r="F29" s="113">
        <f t="shared" si="1"/>
        <v>-0.0163508630687101</v>
      </c>
      <c r="G29" s="112">
        <v>783.95</v>
      </c>
      <c r="H29" s="114">
        <f t="shared" si="2"/>
        <v>0.0154135094877276</v>
      </c>
      <c r="I29" s="111">
        <v>2431.5</v>
      </c>
      <c r="J29" s="113">
        <f t="shared" si="3"/>
        <v>-0.00613120784794605</v>
      </c>
      <c r="K29" s="132">
        <v>1650.55</v>
      </c>
      <c r="L29" s="113">
        <f t="shared" si="4"/>
        <v>-0.049140190684679</v>
      </c>
      <c r="M29" s="109">
        <v>22356.3</v>
      </c>
      <c r="N29" s="134">
        <f t="shared" si="5"/>
        <v>-0.00220034277144996</v>
      </c>
    </row>
    <row r="30" spans="2:14">
      <c r="B30" s="108">
        <v>45446</v>
      </c>
      <c r="C30" s="109">
        <v>2400.8</v>
      </c>
      <c r="D30" s="113">
        <f t="shared" si="0"/>
        <v>0.000395858074463101</v>
      </c>
      <c r="E30" s="111">
        <v>5164.2</v>
      </c>
      <c r="F30" s="113">
        <f t="shared" si="1"/>
        <v>0.00636259999415374</v>
      </c>
      <c r="G30" s="112">
        <v>783.9</v>
      </c>
      <c r="H30" s="114">
        <f t="shared" si="2"/>
        <v>-6.37795777792821e-5</v>
      </c>
      <c r="I30" s="111">
        <v>2374.6</v>
      </c>
      <c r="J30" s="113">
        <f t="shared" si="3"/>
        <v>-0.023401192679416</v>
      </c>
      <c r="K30" s="132">
        <v>1696.05</v>
      </c>
      <c r="L30" s="113">
        <f t="shared" si="4"/>
        <v>0.0275665687195177</v>
      </c>
      <c r="M30" s="109">
        <v>22474.05</v>
      </c>
      <c r="N30" s="134">
        <f t="shared" si="5"/>
        <v>0.00526697172609063</v>
      </c>
    </row>
    <row r="31" spans="2:14">
      <c r="B31" s="108">
        <v>45476</v>
      </c>
      <c r="C31" s="109">
        <v>2419.55</v>
      </c>
      <c r="D31" s="113">
        <f t="shared" si="0"/>
        <v>0.00780989670109963</v>
      </c>
      <c r="E31" s="111">
        <v>5122.7</v>
      </c>
      <c r="F31" s="113">
        <f t="shared" si="1"/>
        <v>-0.00803609465164014</v>
      </c>
      <c r="G31" s="112">
        <v>788.05</v>
      </c>
      <c r="H31" s="114">
        <f t="shared" si="2"/>
        <v>0.00529404260747541</v>
      </c>
      <c r="I31" s="111">
        <v>2449.55</v>
      </c>
      <c r="J31" s="113">
        <f t="shared" si="3"/>
        <v>0.0315632106460037</v>
      </c>
      <c r="K31" s="132">
        <v>1725.85</v>
      </c>
      <c r="L31" s="113">
        <f t="shared" si="4"/>
        <v>0.0175702367265116</v>
      </c>
      <c r="M31" s="109">
        <v>22493.55</v>
      </c>
      <c r="N31" s="134">
        <f t="shared" si="5"/>
        <v>0.000867667376374085</v>
      </c>
    </row>
    <row r="32" spans="2:14">
      <c r="B32" s="108">
        <v>45599</v>
      </c>
      <c r="C32" s="109">
        <v>2389.85</v>
      </c>
      <c r="D32" s="113">
        <f t="shared" si="0"/>
        <v>-0.012275009815875</v>
      </c>
      <c r="E32" s="111">
        <v>5123</v>
      </c>
      <c r="F32" s="113">
        <f t="shared" si="1"/>
        <v>5.85628672380155e-5</v>
      </c>
      <c r="G32" s="112">
        <v>773.7</v>
      </c>
      <c r="H32" s="114">
        <f t="shared" si="2"/>
        <v>-0.0182095044730663</v>
      </c>
      <c r="I32" s="111">
        <v>2480.95</v>
      </c>
      <c r="J32" s="113">
        <f t="shared" si="3"/>
        <v>0.0128186809822211</v>
      </c>
      <c r="K32" s="132">
        <v>1718.7</v>
      </c>
      <c r="L32" s="113">
        <f t="shared" si="4"/>
        <v>-0.00414288611408863</v>
      </c>
      <c r="M32" s="109">
        <v>22332.65</v>
      </c>
      <c r="N32" s="134">
        <f t="shared" si="5"/>
        <v>-0.00715316168412713</v>
      </c>
    </row>
    <row r="33" spans="2:14">
      <c r="B33" s="108">
        <v>45629</v>
      </c>
      <c r="C33" s="109">
        <v>2378.15</v>
      </c>
      <c r="D33" s="113">
        <f t="shared" si="0"/>
        <v>-0.00489570475134415</v>
      </c>
      <c r="E33" s="111">
        <v>5209.2</v>
      </c>
      <c r="F33" s="113">
        <f t="shared" si="1"/>
        <v>0.0168260784696467</v>
      </c>
      <c r="G33" s="112">
        <v>759.7</v>
      </c>
      <c r="H33" s="114">
        <f t="shared" si="2"/>
        <v>-0.0180948688122011</v>
      </c>
      <c r="I33" s="111">
        <v>2421.75</v>
      </c>
      <c r="J33" s="113">
        <f t="shared" si="3"/>
        <v>-0.0238618271226747</v>
      </c>
      <c r="K33" s="132">
        <v>1632.8</v>
      </c>
      <c r="L33" s="113">
        <f t="shared" si="4"/>
        <v>-0.0499796357712225</v>
      </c>
      <c r="M33" s="109">
        <v>22335.7</v>
      </c>
      <c r="N33" s="134">
        <f t="shared" si="5"/>
        <v>0.000136571342854488</v>
      </c>
    </row>
    <row r="34" spans="2:14">
      <c r="B34" s="115" t="s">
        <v>27</v>
      </c>
      <c r="C34" s="109">
        <v>2312.6</v>
      </c>
      <c r="D34" s="113">
        <f t="shared" si="0"/>
        <v>-0.0275634421714359</v>
      </c>
      <c r="E34" s="111">
        <v>5195</v>
      </c>
      <c r="F34" s="113">
        <f t="shared" si="1"/>
        <v>-0.00272594640251859</v>
      </c>
      <c r="G34" s="112">
        <v>747.25</v>
      </c>
      <c r="H34" s="114">
        <f t="shared" si="2"/>
        <v>-0.0163880479136502</v>
      </c>
      <c r="I34" s="111">
        <v>2321.4</v>
      </c>
      <c r="J34" s="113">
        <f t="shared" si="3"/>
        <v>-0.0414369773923815</v>
      </c>
      <c r="K34" s="132">
        <v>1551.2</v>
      </c>
      <c r="L34" s="113">
        <f t="shared" si="4"/>
        <v>-0.0499755022048015</v>
      </c>
      <c r="M34" s="109">
        <v>21997.7</v>
      </c>
      <c r="N34" s="134">
        <f t="shared" si="5"/>
        <v>-0.0151327247411095</v>
      </c>
    </row>
    <row r="35" spans="2:14">
      <c r="B35" s="115" t="s">
        <v>28</v>
      </c>
      <c r="C35" s="109">
        <v>2334.6</v>
      </c>
      <c r="D35" s="113">
        <f t="shared" si="0"/>
        <v>0.00951310213612384</v>
      </c>
      <c r="E35" s="111">
        <v>5264.2</v>
      </c>
      <c r="F35" s="113">
        <f t="shared" si="1"/>
        <v>0.0133205004812319</v>
      </c>
      <c r="G35" s="112">
        <v>741.05</v>
      </c>
      <c r="H35" s="114">
        <f t="shared" si="2"/>
        <v>-0.00829708932753435</v>
      </c>
      <c r="I35" s="111">
        <v>2291.5</v>
      </c>
      <c r="J35" s="113">
        <f t="shared" si="3"/>
        <v>-0.012880158525028</v>
      </c>
      <c r="K35" s="132">
        <v>1489</v>
      </c>
      <c r="L35" s="113">
        <f t="shared" si="4"/>
        <v>-0.0400979886539454</v>
      </c>
      <c r="M35" s="109">
        <v>22146.65</v>
      </c>
      <c r="N35" s="134">
        <f t="shared" si="5"/>
        <v>0.00677116243970964</v>
      </c>
    </row>
    <row r="36" spans="2:14">
      <c r="B36" s="115" t="s">
        <v>29</v>
      </c>
      <c r="C36" s="109">
        <v>2327.7</v>
      </c>
      <c r="D36" s="113">
        <f t="shared" si="0"/>
        <v>-0.00295553842199952</v>
      </c>
      <c r="E36" s="111">
        <v>5194.35</v>
      </c>
      <c r="F36" s="113">
        <f t="shared" si="1"/>
        <v>-0.0132688727631928</v>
      </c>
      <c r="G36" s="112">
        <v>731.9</v>
      </c>
      <c r="H36" s="114">
        <f t="shared" si="2"/>
        <v>-0.0123473449834694</v>
      </c>
      <c r="I36" s="111">
        <v>2266.8</v>
      </c>
      <c r="J36" s="113">
        <f t="shared" si="3"/>
        <v>-0.010778965742963</v>
      </c>
      <c r="K36" s="132">
        <v>1452.75</v>
      </c>
      <c r="L36" s="113">
        <f t="shared" si="4"/>
        <v>-0.0243451981195433</v>
      </c>
      <c r="M36" s="109">
        <v>22023.35</v>
      </c>
      <c r="N36" s="134">
        <f t="shared" si="5"/>
        <v>-0.00556743344930285</v>
      </c>
    </row>
    <row r="37" spans="2:14">
      <c r="B37" s="115" t="s">
        <v>30</v>
      </c>
      <c r="C37" s="109">
        <v>2299.95</v>
      </c>
      <c r="D37" s="113">
        <f t="shared" si="0"/>
        <v>-0.0119216393865189</v>
      </c>
      <c r="E37" s="111">
        <v>5167.45</v>
      </c>
      <c r="F37" s="113">
        <f t="shared" si="1"/>
        <v>-0.00517870378391917</v>
      </c>
      <c r="G37" s="112">
        <v>730.95</v>
      </c>
      <c r="H37" s="114">
        <f t="shared" si="2"/>
        <v>-0.0012979915288973</v>
      </c>
      <c r="I37" s="111">
        <v>2308.95</v>
      </c>
      <c r="J37" s="113">
        <f t="shared" si="3"/>
        <v>0.0185944944415033</v>
      </c>
      <c r="K37" s="132">
        <v>1525.35</v>
      </c>
      <c r="L37" s="113">
        <f t="shared" si="4"/>
        <v>0.0499741868869385</v>
      </c>
      <c r="M37" s="109">
        <v>22055.7</v>
      </c>
      <c r="N37" s="134">
        <f t="shared" si="5"/>
        <v>0.00146889551317135</v>
      </c>
    </row>
    <row r="38" spans="2:14">
      <c r="B38" s="115" t="s">
        <v>31</v>
      </c>
      <c r="C38" s="109">
        <v>2266.95</v>
      </c>
      <c r="D38" s="113">
        <f t="shared" si="0"/>
        <v>-0.0143481380030001</v>
      </c>
      <c r="E38" s="111">
        <v>5105.7</v>
      </c>
      <c r="F38" s="113">
        <f t="shared" si="1"/>
        <v>-0.0119498011591791</v>
      </c>
      <c r="G38" s="112">
        <v>723.8</v>
      </c>
      <c r="H38" s="114">
        <f t="shared" si="2"/>
        <v>-0.00978179082016566</v>
      </c>
      <c r="I38" s="111">
        <v>2287</v>
      </c>
      <c r="J38" s="113">
        <f t="shared" si="3"/>
        <v>-0.00950648563199715</v>
      </c>
      <c r="K38" s="132">
        <v>1550.55</v>
      </c>
      <c r="L38" s="113">
        <f t="shared" si="4"/>
        <v>0.0165207985052611</v>
      </c>
      <c r="M38" s="109">
        <v>21817.45</v>
      </c>
      <c r="N38" s="134">
        <f t="shared" si="5"/>
        <v>-0.0108021962576568</v>
      </c>
    </row>
    <row r="39" spans="2:14">
      <c r="B39" s="115" t="s">
        <v>32</v>
      </c>
      <c r="C39" s="109">
        <v>2241.95</v>
      </c>
      <c r="D39" s="113">
        <f t="shared" si="0"/>
        <v>-0.0110280332605483</v>
      </c>
      <c r="E39" s="111">
        <v>5101.05</v>
      </c>
      <c r="F39" s="113">
        <f t="shared" si="1"/>
        <v>-0.000910746812386085</v>
      </c>
      <c r="G39" s="112">
        <v>736.25</v>
      </c>
      <c r="H39" s="114">
        <f t="shared" si="2"/>
        <v>0.0172008842221609</v>
      </c>
      <c r="I39" s="111">
        <v>2314.2</v>
      </c>
      <c r="J39" s="113">
        <f t="shared" si="3"/>
        <v>0.0118933100131175</v>
      </c>
      <c r="K39" s="132">
        <v>1488.05</v>
      </c>
      <c r="L39" s="113">
        <f t="shared" si="4"/>
        <v>-0.0403082777079101</v>
      </c>
      <c r="M39" s="109">
        <v>21839.1</v>
      </c>
      <c r="N39" s="134">
        <f t="shared" si="5"/>
        <v>0.000992324950899295</v>
      </c>
    </row>
    <row r="40" spans="2:14">
      <c r="B40" s="115" t="s">
        <v>33</v>
      </c>
      <c r="C40" s="109">
        <v>2242.35</v>
      </c>
      <c r="D40" s="113">
        <f t="shared" si="0"/>
        <v>0.000178416110974862</v>
      </c>
      <c r="E40" s="111">
        <v>5159.9</v>
      </c>
      <c r="F40" s="113">
        <f t="shared" si="1"/>
        <v>0.0115368404544161</v>
      </c>
      <c r="G40" s="112">
        <v>744.3</v>
      </c>
      <c r="H40" s="114">
        <f t="shared" si="2"/>
        <v>0.0109337860780984</v>
      </c>
      <c r="I40" s="111">
        <v>2310.8</v>
      </c>
      <c r="J40" s="113">
        <f t="shared" si="3"/>
        <v>-0.00146919021692146</v>
      </c>
      <c r="K40" s="132">
        <v>1562.45</v>
      </c>
      <c r="L40" s="113">
        <f t="shared" si="4"/>
        <v>0.0499983199489265</v>
      </c>
      <c r="M40" s="109">
        <v>22011.95</v>
      </c>
      <c r="N40" s="134">
        <f t="shared" si="5"/>
        <v>0.00791470344473912</v>
      </c>
    </row>
    <row r="41" spans="2:14">
      <c r="B41" s="115" t="s">
        <v>34</v>
      </c>
      <c r="C41" s="109">
        <v>2256.55</v>
      </c>
      <c r="D41" s="113">
        <f t="shared" si="0"/>
        <v>0.00633264209423162</v>
      </c>
      <c r="E41" s="111">
        <v>5005</v>
      </c>
      <c r="F41" s="113">
        <f t="shared" si="1"/>
        <v>-0.0300199616271632</v>
      </c>
      <c r="G41" s="112">
        <v>746.7</v>
      </c>
      <c r="H41" s="114">
        <f t="shared" si="2"/>
        <v>0.00322450624748098</v>
      </c>
      <c r="I41" s="111">
        <v>2330.7</v>
      </c>
      <c r="J41" s="113">
        <f t="shared" si="3"/>
        <v>0.0086117361952569</v>
      </c>
      <c r="K41" s="132">
        <v>1536.1</v>
      </c>
      <c r="L41" s="113">
        <f t="shared" si="4"/>
        <v>-0.0168645396652694</v>
      </c>
      <c r="M41" s="109">
        <v>22096.75</v>
      </c>
      <c r="N41" s="134">
        <f t="shared" si="5"/>
        <v>0.00385245287218985</v>
      </c>
    </row>
    <row r="42" spans="2:14">
      <c r="B42" s="115" t="s">
        <v>35</v>
      </c>
      <c r="C42" s="109">
        <v>2240</v>
      </c>
      <c r="D42" s="113">
        <f t="shared" si="0"/>
        <v>-0.00733420487026664</v>
      </c>
      <c r="E42" s="111">
        <v>4975.2</v>
      </c>
      <c r="F42" s="113">
        <f t="shared" si="1"/>
        <v>-0.00595404595404599</v>
      </c>
      <c r="G42" s="112">
        <v>740.05</v>
      </c>
      <c r="H42" s="114">
        <f t="shared" si="2"/>
        <v>-0.00890585241730292</v>
      </c>
      <c r="I42" s="111">
        <v>2372.55</v>
      </c>
      <c r="J42" s="113">
        <f t="shared" si="3"/>
        <v>0.0179559788904622</v>
      </c>
      <c r="K42" s="132">
        <v>1514.1</v>
      </c>
      <c r="L42" s="113">
        <f t="shared" si="4"/>
        <v>-0.0143219842458173</v>
      </c>
      <c r="M42" s="109">
        <v>22004.7</v>
      </c>
      <c r="N42" s="134">
        <f t="shared" si="5"/>
        <v>-0.00416577098442075</v>
      </c>
    </row>
    <row r="43" spans="2:14">
      <c r="B43" s="115" t="s">
        <v>36</v>
      </c>
      <c r="C43" s="109">
        <v>2239.7</v>
      </c>
      <c r="D43" s="113">
        <f t="shared" si="0"/>
        <v>-0.000133928571428653</v>
      </c>
      <c r="E43" s="111">
        <v>4927.5</v>
      </c>
      <c r="F43" s="113">
        <f t="shared" si="1"/>
        <v>-0.00958755426917507</v>
      </c>
      <c r="G43" s="112">
        <v>733.3</v>
      </c>
      <c r="H43" s="114">
        <f t="shared" si="2"/>
        <v>-0.0091210053374772</v>
      </c>
      <c r="I43" s="111">
        <v>2386.35</v>
      </c>
      <c r="J43" s="113">
        <f t="shared" si="3"/>
        <v>0.00581652652209636</v>
      </c>
      <c r="K43" s="132">
        <v>1532.1</v>
      </c>
      <c r="L43" s="113">
        <f t="shared" si="4"/>
        <v>0.0118882504458094</v>
      </c>
      <c r="M43" s="109">
        <v>22123.65</v>
      </c>
      <c r="N43" s="134">
        <f t="shared" si="5"/>
        <v>0.00540566333556016</v>
      </c>
    </row>
    <row r="44" ht="15.25" spans="2:14">
      <c r="B44" s="116" t="s">
        <v>37</v>
      </c>
      <c r="C44" s="117">
        <v>2264.35</v>
      </c>
      <c r="D44" s="118">
        <f t="shared" si="0"/>
        <v>0.0110059382953074</v>
      </c>
      <c r="E44" s="119">
        <v>4938.4</v>
      </c>
      <c r="F44" s="118">
        <f t="shared" si="1"/>
        <v>0.00221207508878734</v>
      </c>
      <c r="G44" s="120">
        <v>752.35</v>
      </c>
      <c r="H44" s="121">
        <f t="shared" si="2"/>
        <v>0.0259784535660713</v>
      </c>
      <c r="I44" s="119">
        <v>2359.8</v>
      </c>
      <c r="J44" s="118">
        <f t="shared" si="3"/>
        <v>-0.0111257778615877</v>
      </c>
      <c r="K44" s="135">
        <v>1523</v>
      </c>
      <c r="L44" s="118">
        <f t="shared" si="4"/>
        <v>-0.00593956008093461</v>
      </c>
      <c r="M44" s="117">
        <v>22326.9</v>
      </c>
      <c r="N44" s="136">
        <f t="shared" si="5"/>
        <v>0.00918700124075367</v>
      </c>
    </row>
    <row r="45" spans="6:6">
      <c r="F45" s="122"/>
    </row>
  </sheetData>
  <mergeCells count="7">
    <mergeCell ref="C3:D3"/>
    <mergeCell ref="E3:F3"/>
    <mergeCell ref="G3:H3"/>
    <mergeCell ref="I3:J3"/>
    <mergeCell ref="K3:L3"/>
    <mergeCell ref="M3:N3"/>
    <mergeCell ref="B3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45"/>
  <sheetViews>
    <sheetView zoomScale="85" zoomScaleNormal="85" workbookViewId="0">
      <selection activeCell="F52" sqref="F52"/>
    </sheetView>
  </sheetViews>
  <sheetFormatPr defaultColWidth="8.72727272727273" defaultRowHeight="14.5"/>
  <cols>
    <col min="3" max="3" width="25.0909090909091" customWidth="1"/>
    <col min="4" max="4" width="22" customWidth="1"/>
    <col min="5" max="5" width="21.3636363636364" customWidth="1"/>
    <col min="6" max="6" width="18.3636363636364" customWidth="1"/>
    <col min="7" max="7" width="21.3636363636364" customWidth="1"/>
    <col min="8" max="9" width="21.6363636363636" customWidth="1"/>
    <col min="10" max="10" width="16.2727272727273" customWidth="1"/>
  </cols>
  <sheetData>
    <row r="2" ht="15.25"/>
    <row r="3" ht="15.25" spans="3:12">
      <c r="C3" s="41" t="s">
        <v>38</v>
      </c>
      <c r="D3" s="42"/>
      <c r="E3" s="42"/>
      <c r="F3" s="42"/>
      <c r="G3" s="42"/>
      <c r="H3" s="42"/>
      <c r="I3" s="53"/>
      <c r="J3" s="1"/>
      <c r="K3" s="1"/>
      <c r="L3" s="1"/>
    </row>
    <row r="4" ht="15.25" spans="3:12">
      <c r="C4" s="43" t="s">
        <v>9</v>
      </c>
      <c r="D4" s="44" t="s">
        <v>1</v>
      </c>
      <c r="E4" s="45" t="s">
        <v>2</v>
      </c>
      <c r="F4" s="46" t="s">
        <v>12</v>
      </c>
      <c r="G4" s="45" t="s">
        <v>4</v>
      </c>
      <c r="H4" s="47" t="s">
        <v>5</v>
      </c>
      <c r="I4" s="50" t="s">
        <v>6</v>
      </c>
      <c r="J4" s="1"/>
      <c r="K4" s="1"/>
      <c r="L4" s="1"/>
    </row>
    <row r="5" spans="3:12">
      <c r="C5" s="44" t="s">
        <v>1</v>
      </c>
      <c r="D5" s="48">
        <f>_xlfn.COVARIANCE.S('RETURN &amp; RISK'!D6:D44,'RETURN &amp; RISK'!D6:D44)</f>
        <v>7.3969565494463e-5</v>
      </c>
      <c r="E5" s="28">
        <f>_xlfn.COVARIANCE.S('RETURN &amp; RISK'!D6:D44,'RETURN &amp; RISK'!F6:F44)</f>
        <v>-2.8594893848466e-6</v>
      </c>
      <c r="F5" s="48">
        <f>_xlfn.COVARIANCE.S('RETURN &amp; RISK'!D6:D44,'RETURN &amp; RISK'!H6:H44)</f>
        <v>3.20511094409445e-5</v>
      </c>
      <c r="G5" s="28">
        <f>_xlfn.COVARIANCE.S('RETURN &amp; RISK'!D6:D44,'RETURN &amp; RISK'!J6:J44)</f>
        <v>3.03338408886339e-5</v>
      </c>
      <c r="H5" s="48">
        <f>_xlfn.COVARIANCE.S('RETURN &amp; RISK'!D6:D44,'RETURN &amp; RISK'!L6:L44)</f>
        <v>2.02137413920524e-5</v>
      </c>
      <c r="I5" s="28">
        <f>_xlfn.COVARIANCE.S('RETURN &amp; RISK'!D6:D44,'RETURN &amp; RISK'!N6:N44)</f>
        <v>2.70207229111642e-5</v>
      </c>
      <c r="J5" s="1"/>
      <c r="K5" s="1"/>
      <c r="L5" s="1"/>
    </row>
    <row r="6" spans="3:12">
      <c r="C6" s="45" t="s">
        <v>2</v>
      </c>
      <c r="D6" s="49">
        <f>_xlfn.COVARIANCE.S('RETURN &amp; RISK'!F6:F44,'RETURN &amp; RISK'!D6:D44)</f>
        <v>-2.8594893848466e-6</v>
      </c>
      <c r="E6" s="31">
        <f>_xlfn.COVARIANCE.S('RETURN &amp; RISK'!F6:F44,'RETURN &amp; RISK'!F6:F44)</f>
        <v>0.000127100452927211</v>
      </c>
      <c r="F6" s="49">
        <f>_xlfn.COVARIANCE.S('RETURN &amp; RISK'!F6:F44,'RETURN &amp; RISK'!H6:H44)</f>
        <v>-2.6094987980519e-5</v>
      </c>
      <c r="G6" s="31">
        <f>_xlfn.COVARIANCE.S('RETURN &amp; RISK'!F6:F44,'RETURN &amp; RISK'!J6:J44)</f>
        <v>-2.03187640032416e-5</v>
      </c>
      <c r="H6" s="49">
        <f>_xlfn.COVARIANCE.S('RETURN &amp; RISK'!F6:F44,'RETURN &amp; RISK'!L6:L44)</f>
        <v>2.38641333843916e-5</v>
      </c>
      <c r="I6" s="31">
        <f>_xlfn.COVARIANCE.S('RETURN &amp; RISK'!F6:F44,'RETURN &amp; RISK'!N6:N44)</f>
        <v>2.18578111266501e-5</v>
      </c>
      <c r="J6" s="1"/>
      <c r="K6" s="1"/>
      <c r="L6" s="1"/>
    </row>
    <row r="7" spans="3:12">
      <c r="C7" s="45" t="s">
        <v>12</v>
      </c>
      <c r="D7" s="49">
        <f>_xlfn.COVARIANCE.S('RETURN &amp; RISK'!H6:H44,'RETURN &amp; RISK'!D6:D44)</f>
        <v>3.20511094409445e-5</v>
      </c>
      <c r="E7" s="31">
        <f>_xlfn.COVARIANCE.S('RETURN &amp; RISK'!H6:H44,'RETURN &amp; RISK'!F6:F44)</f>
        <v>-2.6094987980519e-5</v>
      </c>
      <c r="F7" s="49">
        <f>_xlfn.COVARIANCE.S('RETURN &amp; RISK'!H6:H44,'RETURN &amp; RISK'!H6:H44)</f>
        <v>0.000292683077218004</v>
      </c>
      <c r="G7" s="31">
        <f>_xlfn.COVARIANCE.S('RETURN &amp; RISK'!H6:H44,'RETURN &amp; RISK'!J6:J44)</f>
        <v>8.86845361644802e-5</v>
      </c>
      <c r="H7" s="49">
        <f>_xlfn.COVARIANCE.S('RETURN &amp; RISK'!H6:H44,'RETURN &amp; RISK'!L6:L44)</f>
        <v>7.45815553967149e-5</v>
      </c>
      <c r="I7" s="31">
        <f>_xlfn.COVARIANCE.S('RETURN &amp; RISK'!H6:H44,'RETURN &amp; RISK'!N6:N44)</f>
        <v>3.83085548662221e-5</v>
      </c>
      <c r="J7" s="1"/>
      <c r="K7" s="1"/>
      <c r="L7" s="1"/>
    </row>
    <row r="8" spans="3:12">
      <c r="C8" s="45" t="s">
        <v>4</v>
      </c>
      <c r="D8" s="49">
        <f>_xlfn.COVARIANCE.S('RETURN &amp; RISK'!J6:J44,'RETURN &amp; RISK'!D6:D44)</f>
        <v>3.03338408886339e-5</v>
      </c>
      <c r="E8" s="31">
        <f>_xlfn.COVARIANCE.S('RETURN &amp; RISK'!J6:J44,'RETURN &amp; RISK'!F6:F44)</f>
        <v>-2.03187640032416e-5</v>
      </c>
      <c r="F8" s="49">
        <f>_xlfn.COVARIANCE.S('RETURN &amp; RISK'!J6:J44,'RETURN &amp; RISK'!H6:H44)</f>
        <v>8.86845361644802e-5</v>
      </c>
      <c r="G8" s="31">
        <f>_xlfn.COVARIANCE.S('RETURN &amp; RISK'!J6:J44,'RETURN &amp; RISK'!J6:J44)</f>
        <v>0.00040280525885802</v>
      </c>
      <c r="H8" s="49">
        <f>_xlfn.COVARIANCE.S('RETURN &amp; RISK'!J6:J44,'RETURN &amp; RISK'!L6:L44)</f>
        <v>0.000301839357889445</v>
      </c>
      <c r="I8" s="31">
        <f>_xlfn.COVARIANCE.S('RETURN &amp; RISK'!J6:J44,'RETURN &amp; RISK'!N6:N44)</f>
        <v>4.70944914367921e-5</v>
      </c>
      <c r="J8" s="1"/>
      <c r="K8" s="1"/>
      <c r="L8" s="1"/>
    </row>
    <row r="9" spans="3:12">
      <c r="C9" s="47" t="s">
        <v>5</v>
      </c>
      <c r="D9" s="49">
        <f>_xlfn.COVARIANCE.S('RETURN &amp; RISK'!L6:L44,'RETURN &amp; RISK'!D6:D44)</f>
        <v>2.02137413920524e-5</v>
      </c>
      <c r="E9" s="31">
        <f>_xlfn.COVARIANCE.S('RETURN &amp; RISK'!L6:L44,'RETURN &amp; RISK'!F6:F44)</f>
        <v>2.38641333843916e-5</v>
      </c>
      <c r="F9" s="49">
        <f>_xlfn.COVARIANCE.S('RETURN &amp; RISK'!L6:L44,'RETURN &amp; RISK'!H6:H44)</f>
        <v>7.45815553967149e-5</v>
      </c>
      <c r="G9" s="31">
        <f>_xlfn.COVARIANCE.S('RETURN &amp; RISK'!L6:L44,'RETURN &amp; RISK'!J6:J44)</f>
        <v>0.000301839357889445</v>
      </c>
      <c r="H9" s="49">
        <f>_xlfn.COVARIANCE.S('RETURN &amp; RISK'!L6:L44,'RETURN &amp; RISK'!L6:L44)</f>
        <v>0.00148416574813484</v>
      </c>
      <c r="I9" s="31">
        <f>_xlfn.COVARIANCE.S('RETURN &amp; RISK'!L6:L44,'RETURN &amp; RISK'!N6:N44)</f>
        <v>9.64360040160175e-5</v>
      </c>
      <c r="J9" s="1"/>
      <c r="K9" s="1"/>
      <c r="L9" s="1"/>
    </row>
    <row r="10" ht="15.25" spans="3:12">
      <c r="C10" s="50" t="s">
        <v>6</v>
      </c>
      <c r="D10" s="49">
        <f>_xlfn.COVARIANCE.S('RETURN &amp; RISK'!N6:N44,'RETURN &amp; RISK'!D6:D44)</f>
        <v>2.70207229111642e-5</v>
      </c>
      <c r="E10" s="31">
        <f>_xlfn.COVARIANCE.S('RETURN &amp; RISK'!N6:N44,'RETURN &amp; RISK'!F6:F44)</f>
        <v>2.18578111266501e-5</v>
      </c>
      <c r="F10" s="49">
        <f>_xlfn.COVARIANCE.S('RETURN &amp; RISK'!N6:N44,'RETURN &amp; RISK'!H6:H44)</f>
        <v>3.83085548662221e-5</v>
      </c>
      <c r="G10" s="31">
        <f>_xlfn.COVARIANCE.S('RETURN &amp; RISK'!N6:N44,'RETURN &amp; RISK'!J6:J44)</f>
        <v>4.70944914367921e-5</v>
      </c>
      <c r="H10" s="49">
        <f>_xlfn.COVARIANCE.S('RETURN &amp; RISK'!N6:N44,'RETURN &amp; RISK'!L6:L44)</f>
        <v>9.64360040160175e-5</v>
      </c>
      <c r="I10" s="88">
        <f>_xlfn.COVARIANCE.S('RETURN &amp; RISK'!N6:N44,'RETURN &amp; RISK'!N6:N44)</f>
        <v>4.25766922070983e-5</v>
      </c>
      <c r="J10" s="1"/>
      <c r="K10" s="1"/>
      <c r="L10" s="1"/>
    </row>
    <row r="11" ht="15.25" spans="3:12">
      <c r="C11" s="50" t="s">
        <v>39</v>
      </c>
      <c r="D11" s="51">
        <f>I5/('RETURN &amp; RISK'!S10*'RETURN &amp; RISK'!S10)</f>
        <v>0.634636499701106</v>
      </c>
      <c r="E11" s="35">
        <f>I6/('RETURN &amp; RISK'!S10*'RETURN &amp; RISK'!S10)</f>
        <v>0.513375041450637</v>
      </c>
      <c r="F11" s="51">
        <f>I7/('RETURN &amp; RISK'!S10*'RETURN &amp; RISK'!S10)</f>
        <v>0.899754134959207</v>
      </c>
      <c r="G11" s="35">
        <f>I8/('RETURN &amp; RISK'!S10*'RETURN &amp; RISK'!S10)</f>
        <v>1.10610968103672</v>
      </c>
      <c r="H11" s="51">
        <f>I9/('RETURN &amp; RISK'!S10*'RETURN &amp; RISK'!S10)</f>
        <v>2.26499521256703</v>
      </c>
      <c r="I11" s="35">
        <f>I10/('RETURN &amp; RISK'!S10*'RETURN &amp; RISK'!S10)</f>
        <v>1</v>
      </c>
      <c r="J11" s="1"/>
      <c r="K11" s="1"/>
      <c r="L11" s="1"/>
    </row>
    <row r="12" spans="3:12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5.25" spans="3:12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5.25" spans="3:14">
      <c r="C14" s="41" t="s">
        <v>9</v>
      </c>
      <c r="D14" s="52" t="s">
        <v>40</v>
      </c>
      <c r="E14" s="42" t="s">
        <v>41</v>
      </c>
      <c r="F14" s="52" t="s">
        <v>42</v>
      </c>
      <c r="G14" s="53" t="s">
        <v>43</v>
      </c>
      <c r="H14" s="1"/>
      <c r="I14" s="89"/>
      <c r="J14" s="89"/>
      <c r="K14" s="90"/>
      <c r="L14" s="90"/>
      <c r="M14" s="91"/>
      <c r="N14" s="92"/>
    </row>
    <row r="15" spans="3:14">
      <c r="C15" s="44" t="s">
        <v>1</v>
      </c>
      <c r="D15" s="54">
        <v>0.2</v>
      </c>
      <c r="E15" s="55">
        <v>0.25</v>
      </c>
      <c r="F15" s="54">
        <v>0.25</v>
      </c>
      <c r="G15" s="56">
        <v>0.0500000000160846</v>
      </c>
      <c r="H15" s="1"/>
      <c r="I15" s="93"/>
      <c r="J15" s="94"/>
      <c r="K15" s="90"/>
      <c r="L15" s="90"/>
      <c r="M15" s="91"/>
      <c r="N15" s="92"/>
    </row>
    <row r="16" spans="3:14">
      <c r="C16" s="45" t="s">
        <v>2</v>
      </c>
      <c r="D16" s="57">
        <v>0.2</v>
      </c>
      <c r="E16" s="58">
        <v>0.3</v>
      </c>
      <c r="F16" s="57">
        <v>0.1</v>
      </c>
      <c r="G16" s="56">
        <v>0.0500000000187588</v>
      </c>
      <c r="H16" s="1"/>
      <c r="I16" s="93"/>
      <c r="J16" s="94"/>
      <c r="K16" s="90"/>
      <c r="L16" s="90"/>
      <c r="M16" s="91"/>
      <c r="N16" s="92"/>
    </row>
    <row r="17" spans="3:14">
      <c r="C17" s="59" t="s">
        <v>12</v>
      </c>
      <c r="D17" s="57">
        <v>0.2</v>
      </c>
      <c r="E17" s="58">
        <v>0.2</v>
      </c>
      <c r="F17" s="57">
        <v>0.2</v>
      </c>
      <c r="G17" s="56">
        <v>0.3999999999946</v>
      </c>
      <c r="H17" s="1"/>
      <c r="I17" s="93"/>
      <c r="J17" s="94"/>
      <c r="K17" s="90"/>
      <c r="L17" s="90"/>
      <c r="M17" s="91"/>
      <c r="N17" s="92"/>
    </row>
    <row r="18" spans="3:14">
      <c r="C18" s="45" t="s">
        <v>4</v>
      </c>
      <c r="D18" s="57">
        <v>0.2</v>
      </c>
      <c r="E18" s="58">
        <v>0.15</v>
      </c>
      <c r="F18" s="57">
        <v>0.15</v>
      </c>
      <c r="G18" s="56">
        <v>0.0999999999864975</v>
      </c>
      <c r="H18" s="1"/>
      <c r="I18" s="93"/>
      <c r="J18" s="94"/>
      <c r="K18" s="90"/>
      <c r="L18" s="90"/>
      <c r="M18" s="91"/>
      <c r="N18" s="92"/>
    </row>
    <row r="19" spans="3:14">
      <c r="C19" s="47" t="s">
        <v>5</v>
      </c>
      <c r="D19" s="57">
        <v>0.2</v>
      </c>
      <c r="E19" s="58">
        <v>0.1</v>
      </c>
      <c r="F19" s="57">
        <v>0.3</v>
      </c>
      <c r="G19" s="56">
        <v>0.399999999984059</v>
      </c>
      <c r="H19" s="1"/>
      <c r="I19" s="93"/>
      <c r="J19" s="94"/>
      <c r="K19" s="90"/>
      <c r="L19" s="90"/>
      <c r="M19" s="95"/>
      <c r="N19" s="92"/>
    </row>
    <row r="20" ht="15.25" spans="3:14">
      <c r="C20" s="60" t="s">
        <v>44</v>
      </c>
      <c r="D20" s="61">
        <f t="shared" ref="D20:G20" si="0">SUM(D15:D19)</f>
        <v>1</v>
      </c>
      <c r="E20" s="62">
        <f t="shared" si="0"/>
        <v>1</v>
      </c>
      <c r="F20" s="61">
        <f t="shared" si="0"/>
        <v>1</v>
      </c>
      <c r="G20" s="63">
        <f t="shared" si="0"/>
        <v>1</v>
      </c>
      <c r="H20" s="1"/>
      <c r="I20" s="93"/>
      <c r="J20" s="96"/>
      <c r="K20" s="90"/>
      <c r="L20" s="90"/>
      <c r="M20" s="92"/>
      <c r="N20" s="92"/>
    </row>
    <row r="21" spans="3:12">
      <c r="C21" s="1"/>
      <c r="D21" s="1"/>
      <c r="E21" s="1"/>
      <c r="F21" s="1"/>
      <c r="G21" s="1"/>
      <c r="H21" s="1"/>
      <c r="I21" s="97"/>
      <c r="J21" s="97"/>
      <c r="K21" s="1"/>
      <c r="L21" s="1"/>
    </row>
    <row r="22" ht="15.25" spans="3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5.25" spans="3:12">
      <c r="C23" s="64" t="s">
        <v>45</v>
      </c>
      <c r="D23" s="65"/>
      <c r="E23" s="66" t="s">
        <v>46</v>
      </c>
      <c r="F23" s="67"/>
      <c r="G23" s="68" t="s">
        <v>47</v>
      </c>
      <c r="H23" s="65"/>
      <c r="I23" s="66" t="s">
        <v>48</v>
      </c>
      <c r="J23" s="67"/>
      <c r="K23" s="1"/>
      <c r="L23" s="1"/>
    </row>
    <row r="24" spans="3:12">
      <c r="C24" s="69" t="s">
        <v>49</v>
      </c>
      <c r="D24" s="70">
        <f t="array" ref="D24">MMULT(TRANSPOSE(D15:D19),'RETURN &amp; RISK'!R5:R9)</f>
        <v>0.000755243914283782</v>
      </c>
      <c r="E24" s="69" t="s">
        <v>49</v>
      </c>
      <c r="F24" s="70">
        <f t="array" ref="F24">MMULT(TRANSPOSE(E15:E19),'RETURN &amp; RISK'!R5:R9)</f>
        <v>2.05725235431814e-5</v>
      </c>
      <c r="G24" s="69" t="s">
        <v>49</v>
      </c>
      <c r="H24" s="70">
        <f t="array" ref="H24">MMULT(TRANSPOSE(F15:F19),'RETURN &amp; RISK'!R5:R9)</f>
        <v>0.00128777128458579</v>
      </c>
      <c r="I24" s="69" t="s">
        <v>49</v>
      </c>
      <c r="J24" s="98">
        <f t="array" ref="J24">MMULT(TRANSPOSE(G15:G19),'RETURN &amp; RISK'!R5:R9)</f>
        <v>0.00307239948971202</v>
      </c>
      <c r="K24" s="1"/>
      <c r="L24" s="1"/>
    </row>
    <row r="25" spans="3:12">
      <c r="C25" s="71" t="s">
        <v>50</v>
      </c>
      <c r="D25" s="72">
        <f t="array" ref="D25">MMULT(MMULT(TRANSPOSE(D15:D19),D5:H9),D15:D19)</f>
        <v>0.000137012566760346</v>
      </c>
      <c r="E25" s="31" t="s">
        <v>50</v>
      </c>
      <c r="F25" s="72">
        <f t="array" ref="F25">MMULT(MMULT(TRANSPOSE(E15:E19),D5:H9),E15:E19)</f>
        <v>7.15674259813748e-5</v>
      </c>
      <c r="G25" s="31" t="s">
        <v>50</v>
      </c>
      <c r="H25" s="72">
        <f t="array" ref="H25">MMULT(MMULT(TRANSPOSE(F15:F19),D5:H9),F15:F19)</f>
        <v>0.000209823583459415</v>
      </c>
      <c r="I25" s="31" t="s">
        <v>50</v>
      </c>
      <c r="J25" s="99">
        <f t="array" ref="J25">MMULT(MMULT(TRANSPOSE(G15:G19),D5:H9),G15:G19)</f>
        <v>0.000346021762086849</v>
      </c>
      <c r="K25" s="1"/>
      <c r="L25" s="1"/>
    </row>
    <row r="26" spans="3:12">
      <c r="C26" s="71" t="s">
        <v>51</v>
      </c>
      <c r="D26" s="72">
        <f>SQRT(D25)</f>
        <v>0.0117052367238064</v>
      </c>
      <c r="E26" s="31" t="s">
        <v>51</v>
      </c>
      <c r="F26" s="72">
        <f>SQRT(F25)</f>
        <v>0.00845975330499506</v>
      </c>
      <c r="G26" s="31" t="s">
        <v>51</v>
      </c>
      <c r="H26" s="72">
        <f>SQRT(H25)</f>
        <v>0.0144852885183353</v>
      </c>
      <c r="I26" s="31" t="s">
        <v>51</v>
      </c>
      <c r="J26" s="99">
        <f>SQRT(J25)</f>
        <v>0.018601660197059</v>
      </c>
      <c r="K26" s="1"/>
      <c r="L26" s="1"/>
    </row>
    <row r="27" spans="3:12">
      <c r="C27" s="71" t="s">
        <v>52</v>
      </c>
      <c r="D27" s="73">
        <f t="shared" ref="D27:H27" si="1">7.072/100/(365)</f>
        <v>0.000193753424657534</v>
      </c>
      <c r="E27" s="71" t="s">
        <v>52</v>
      </c>
      <c r="F27" s="73">
        <f t="shared" si="1"/>
        <v>0.000193753424657534</v>
      </c>
      <c r="G27" s="71" t="s">
        <v>52</v>
      </c>
      <c r="H27" s="73">
        <f t="shared" si="1"/>
        <v>0.000193753424657534</v>
      </c>
      <c r="I27" s="71" t="s">
        <v>52</v>
      </c>
      <c r="J27" s="100">
        <f>7.072/100/(365)</f>
        <v>0.000193753424657534</v>
      </c>
      <c r="K27" s="1"/>
      <c r="L27" s="1"/>
    </row>
    <row r="28" spans="3:12">
      <c r="C28" s="71" t="s">
        <v>53</v>
      </c>
      <c r="D28" s="72">
        <f>(D24-D27)/D26</f>
        <v>0.0479691699429089</v>
      </c>
      <c r="E28" s="71" t="s">
        <v>53</v>
      </c>
      <c r="F28" s="72">
        <f>(F24-F27)/F26</f>
        <v>-0.020471152629486</v>
      </c>
      <c r="G28" s="71" t="s">
        <v>53</v>
      </c>
      <c r="H28" s="72">
        <f>(H24-H27)/H26</f>
        <v>0.0755261352608521</v>
      </c>
      <c r="I28" s="71" t="s">
        <v>53</v>
      </c>
      <c r="J28" s="99">
        <f>(J24-J27)/J26</f>
        <v>0.154752104627178</v>
      </c>
      <c r="K28" s="1"/>
      <c r="L28" s="1"/>
    </row>
    <row r="29" ht="15.25" spans="3:12">
      <c r="C29" s="74" t="s">
        <v>54</v>
      </c>
      <c r="D29" s="75">
        <f t="array" ref="D29">SUMPRODUCT(TRANSPOSE(D15:D19),D11:H11)</f>
        <v>1.08377411394294</v>
      </c>
      <c r="E29" s="35" t="s">
        <v>54</v>
      </c>
      <c r="F29" s="75">
        <f t="array" ref="F29">SUMPRODUCT(TRANSPOSE(E15:E19),D11:H11)</f>
        <v>0.88503843776452</v>
      </c>
      <c r="G29" s="35" t="s">
        <v>54</v>
      </c>
      <c r="H29" s="75">
        <f t="array" ref="H29">SUMPRODUCT(TRANSPOSE(F15:F19),D11:H11)</f>
        <v>1.2353624719878</v>
      </c>
      <c r="I29" s="35" t="s">
        <v>54</v>
      </c>
      <c r="J29" s="101">
        <f t="array" ref="J29">SUMPRODUCT(TRANSPOSE(G15:G19),D11:H11)</f>
        <v>1.43391128413569</v>
      </c>
      <c r="K29" s="1"/>
      <c r="L29" s="1"/>
    </row>
    <row r="30" spans="3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5.25" spans="3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3:12">
      <c r="C32" s="76" t="s">
        <v>55</v>
      </c>
      <c r="D32" s="77"/>
      <c r="E32" s="15"/>
      <c r="F32" s="15"/>
      <c r="G32" s="1"/>
      <c r="J32" s="1"/>
      <c r="K32" s="1"/>
      <c r="L32" s="1"/>
    </row>
    <row r="33" spans="3:12">
      <c r="C33" s="78" t="s">
        <v>56</v>
      </c>
      <c r="D33" s="79"/>
      <c r="G33" s="1"/>
      <c r="J33" s="1"/>
      <c r="K33" s="1"/>
      <c r="L33" s="1"/>
    </row>
    <row r="34" spans="3:12">
      <c r="C34" s="80" t="s">
        <v>57</v>
      </c>
      <c r="D34" s="81">
        <f>J24</f>
        <v>0.00307239948971202</v>
      </c>
      <c r="G34" s="1"/>
      <c r="J34" s="1"/>
      <c r="K34" s="1"/>
      <c r="L34" s="1"/>
    </row>
    <row r="35" spans="3:12">
      <c r="C35" s="80" t="s">
        <v>58</v>
      </c>
      <c r="D35" s="82">
        <f>J25</f>
        <v>0.000346021762086849</v>
      </c>
      <c r="G35" s="1"/>
      <c r="J35" s="1"/>
      <c r="K35" s="1"/>
      <c r="L35" s="1"/>
    </row>
    <row r="36" spans="3:12">
      <c r="C36" s="80" t="s">
        <v>59</v>
      </c>
      <c r="D36" s="82">
        <f>(D38*D34)+(E40*D40)</f>
        <v>0.00307239948971202</v>
      </c>
      <c r="G36" s="1"/>
      <c r="H36" s="1"/>
      <c r="I36" s="1"/>
      <c r="J36" s="1"/>
      <c r="K36" s="1"/>
      <c r="L36" s="1"/>
    </row>
    <row r="37" spans="3:12">
      <c r="C37" s="80" t="s">
        <v>60</v>
      </c>
      <c r="D37" s="82">
        <f>1*D35</f>
        <v>0.000346021762086849</v>
      </c>
      <c r="G37" s="1"/>
      <c r="H37" s="1"/>
      <c r="I37" s="1"/>
      <c r="J37" s="1"/>
      <c r="K37" s="1"/>
      <c r="L37" s="1"/>
    </row>
    <row r="38" spans="3:12">
      <c r="C38" s="80" t="s">
        <v>61</v>
      </c>
      <c r="D38" s="83">
        <v>1</v>
      </c>
      <c r="G38" s="1"/>
      <c r="H38" s="1"/>
      <c r="I38" s="1"/>
      <c r="J38" s="1"/>
      <c r="K38" s="1"/>
      <c r="L38" s="1"/>
    </row>
    <row r="39" spans="3:12">
      <c r="C39" s="84" t="s">
        <v>62</v>
      </c>
      <c r="D39" s="85"/>
      <c r="E39" s="1"/>
      <c r="F39" s="1"/>
      <c r="G39" s="1"/>
      <c r="H39" s="1"/>
      <c r="I39" s="1"/>
      <c r="J39" s="1"/>
      <c r="K39" s="1"/>
      <c r="L39" s="1"/>
    </row>
    <row r="40" spans="3:12">
      <c r="C40" s="80" t="s">
        <v>63</v>
      </c>
      <c r="D40" s="81">
        <v>0.000193753424657534</v>
      </c>
      <c r="E40" s="1"/>
      <c r="F40" s="1"/>
      <c r="G40" s="1"/>
      <c r="H40" s="1"/>
      <c r="I40" s="1"/>
      <c r="J40" s="1"/>
      <c r="K40" s="1"/>
      <c r="L40" s="1"/>
    </row>
    <row r="41" spans="3:4">
      <c r="C41" s="80" t="s">
        <v>64</v>
      </c>
      <c r="D41" s="83">
        <v>0</v>
      </c>
    </row>
    <row r="42" spans="3:4">
      <c r="C42" s="78" t="s">
        <v>65</v>
      </c>
      <c r="D42" s="79"/>
    </row>
    <row r="43" spans="3:4">
      <c r="C43" s="80" t="s">
        <v>65</v>
      </c>
      <c r="D43" s="82">
        <f>D36-(0.5*D45*(D37)^2)</f>
        <v>0.00307227975865218</v>
      </c>
    </row>
    <row r="44" spans="3:4">
      <c r="C44" s="80"/>
      <c r="D44" s="83"/>
    </row>
    <row r="45" ht="15.25" spans="3:4">
      <c r="C45" s="86" t="s">
        <v>66</v>
      </c>
      <c r="D45" s="87">
        <v>2</v>
      </c>
    </row>
  </sheetData>
  <mergeCells count="9">
    <mergeCell ref="C3:I3"/>
    <mergeCell ref="C23:D23"/>
    <mergeCell ref="E23:F23"/>
    <mergeCell ref="G23:H23"/>
    <mergeCell ref="I23:J23"/>
    <mergeCell ref="C32:D32"/>
    <mergeCell ref="C33:D33"/>
    <mergeCell ref="C39:D39"/>
    <mergeCell ref="C42:D4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zoomScale="70" zoomScaleNormal="70" workbookViewId="0">
      <selection activeCell="J21" sqref="J21:O25"/>
    </sheetView>
  </sheetViews>
  <sheetFormatPr defaultColWidth="8.72727272727273" defaultRowHeight="14.5"/>
  <cols>
    <col min="2" max="2" width="10.6363636363636" customWidth="1"/>
    <col min="4" max="4" width="14.2727272727273" customWidth="1"/>
    <col min="5" max="5" width="18.3636363636364" customWidth="1"/>
    <col min="6" max="6" width="20.5454545454545" customWidth="1"/>
    <col min="7" max="7" width="21.0909090909091" customWidth="1"/>
    <col min="8" max="8" width="18" customWidth="1"/>
    <col min="9" max="9" width="13.4727272727273" customWidth="1"/>
    <col min="10" max="10" width="15.3272727272727" customWidth="1"/>
    <col min="11" max="11" width="9.34545454545455" customWidth="1"/>
    <col min="12" max="12" width="8.43636363636364" customWidth="1"/>
    <col min="13" max="13" width="10.5454545454545" customWidth="1"/>
    <col min="15" max="15" width="16.9090909090909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25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5.25" spans="1:16">
      <c r="A3" s="1"/>
      <c r="B3" s="1"/>
      <c r="C3" s="1"/>
      <c r="D3" s="2" t="s">
        <v>67</v>
      </c>
      <c r="E3" s="3"/>
      <c r="F3" s="3"/>
      <c r="G3" s="3"/>
      <c r="H3" s="3"/>
      <c r="I3" s="37"/>
      <c r="J3" s="1"/>
      <c r="K3" s="1"/>
      <c r="L3" s="1"/>
      <c r="M3" s="1"/>
      <c r="N3" s="1"/>
      <c r="O3" s="1"/>
      <c r="P3" s="1"/>
    </row>
    <row r="4" ht="15.25" spans="1:16">
      <c r="A4" s="1"/>
      <c r="B4" s="1"/>
      <c r="C4" s="1"/>
      <c r="D4" s="4" t="s">
        <v>68</v>
      </c>
      <c r="E4" s="5" t="s">
        <v>69</v>
      </c>
      <c r="F4" s="6" t="s">
        <v>41</v>
      </c>
      <c r="G4" s="5" t="s">
        <v>42</v>
      </c>
      <c r="H4" s="6" t="s">
        <v>70</v>
      </c>
      <c r="I4" s="5" t="s">
        <v>71</v>
      </c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7" t="s">
        <v>72</v>
      </c>
      <c r="E5" s="8">
        <f>'PORTFOLIO CONSTRUCTION'!D24</f>
        <v>0.000755243914283782</v>
      </c>
      <c r="F5" s="9">
        <f>'PORTFOLIO CONSTRUCTION'!F24</f>
        <v>2.05725235431814e-5</v>
      </c>
      <c r="G5" s="8">
        <f>'PORTFOLIO CONSTRUCTION'!H24</f>
        <v>0.00128777128458579</v>
      </c>
      <c r="H5" s="9">
        <f>'PORTFOLIO CONSTRUCTION'!J24</f>
        <v>0.00307239948971202</v>
      </c>
      <c r="I5" s="10">
        <f>'RETURN &amp; RISK'!R10</f>
        <v>0.0007543007197563</v>
      </c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7" t="s">
        <v>73</v>
      </c>
      <c r="E6" s="10">
        <f>'PORTFOLIO CONSTRUCTION'!D26</f>
        <v>0.0117052367238064</v>
      </c>
      <c r="F6" s="11">
        <f>'PORTFOLIO CONSTRUCTION'!F26</f>
        <v>0.00845975330499506</v>
      </c>
      <c r="G6" s="10">
        <f>'PORTFOLIO CONSTRUCTION'!H26</f>
        <v>0.0144852885183353</v>
      </c>
      <c r="H6" s="11">
        <f>'PORTFOLIO CONSTRUCTION'!J26</f>
        <v>0.018601660197059</v>
      </c>
      <c r="I6" s="10">
        <f>'RETURN &amp; RISK'!S10</f>
        <v>0.00652508177780925</v>
      </c>
      <c r="J6" s="1"/>
      <c r="K6" s="1"/>
      <c r="L6" s="1"/>
      <c r="M6" s="1"/>
      <c r="N6" s="1"/>
      <c r="O6" s="1"/>
      <c r="P6" s="1"/>
    </row>
    <row r="7" ht="15.25" spans="1:16">
      <c r="A7" s="1"/>
      <c r="B7" s="1"/>
      <c r="C7" s="1"/>
      <c r="D7" s="12" t="s">
        <v>74</v>
      </c>
      <c r="E7" s="13">
        <f>'PORTFOLIO CONSTRUCTION'!D29</f>
        <v>1.08377411394294</v>
      </c>
      <c r="F7" s="14">
        <f>'PORTFOLIO CONSTRUCTION'!F29</f>
        <v>0.88503843776452</v>
      </c>
      <c r="G7" s="13">
        <f>'PORTFOLIO CONSTRUCTION'!H29</f>
        <v>1.2353624719878</v>
      </c>
      <c r="H7" s="14">
        <f>'PORTFOLIO CONSTRUCTION'!J29</f>
        <v>1.43391128413569</v>
      </c>
      <c r="I7" s="13">
        <f>'PORTFOLIO CONSTRUCTION'!I11</f>
        <v>1</v>
      </c>
      <c r="J7" s="1"/>
      <c r="K7" s="1"/>
      <c r="L7" s="1"/>
      <c r="M7" s="1"/>
      <c r="N7" s="1"/>
      <c r="O7" s="1"/>
      <c r="P7" s="1"/>
    </row>
    <row r="8" ht="15.25" spans="1:16">
      <c r="A8" s="1"/>
      <c r="B8" s="1"/>
      <c r="C8" s="1"/>
      <c r="D8" s="15"/>
      <c r="E8" s="15"/>
      <c r="F8" s="15"/>
      <c r="G8" s="15"/>
      <c r="H8" s="15"/>
      <c r="I8" s="15"/>
      <c r="J8" s="1"/>
      <c r="K8" s="1"/>
      <c r="L8" s="1"/>
      <c r="M8" s="1"/>
      <c r="N8" s="1"/>
      <c r="O8" s="1"/>
      <c r="P8" s="1"/>
    </row>
    <row r="9" ht="15.25" spans="1:10">
      <c r="A9" s="1"/>
      <c r="B9" s="1"/>
      <c r="C9" s="1"/>
      <c r="D9" s="2" t="s">
        <v>75</v>
      </c>
      <c r="E9" s="3"/>
      <c r="F9" s="3"/>
      <c r="G9" s="3"/>
      <c r="H9" s="3"/>
      <c r="I9" s="37"/>
      <c r="J9" s="1"/>
    </row>
    <row r="10" ht="15.25" spans="1:10">
      <c r="A10" s="1"/>
      <c r="B10" s="1"/>
      <c r="C10" s="1"/>
      <c r="D10" s="4" t="s">
        <v>76</v>
      </c>
      <c r="E10" s="5" t="s">
        <v>77</v>
      </c>
      <c r="F10" s="6" t="s">
        <v>78</v>
      </c>
      <c r="G10" s="5" t="s">
        <v>79</v>
      </c>
      <c r="H10" s="6" t="s">
        <v>80</v>
      </c>
      <c r="I10" s="5" t="s">
        <v>71</v>
      </c>
      <c r="J10" s="1"/>
    </row>
    <row r="11" ht="15.25" spans="1:10">
      <c r="A11" s="16" t="s">
        <v>81</v>
      </c>
      <c r="B11" s="17">
        <v>0.000193753424657534</v>
      </c>
      <c r="C11" s="1"/>
      <c r="D11" s="7" t="s">
        <v>82</v>
      </c>
      <c r="E11" s="10">
        <f>(E5-$B11)/E6</f>
        <v>0.0479691699429089</v>
      </c>
      <c r="F11" s="10">
        <f>(F5-$B11)/F6</f>
        <v>-0.020471152629486</v>
      </c>
      <c r="G11" s="10">
        <f>(G5-$B11)/G6</f>
        <v>0.0755261352608521</v>
      </c>
      <c r="H11" s="10">
        <f>(H5-$B11)/H6</f>
        <v>0.154752104627178</v>
      </c>
      <c r="I11" s="10">
        <f>(I5-$B11)/I6</f>
        <v>0.0859065547661175</v>
      </c>
      <c r="J11" s="1"/>
    </row>
    <row r="12" spans="1:10">
      <c r="A12" s="1"/>
      <c r="B12" s="1"/>
      <c r="C12" s="1"/>
      <c r="D12" s="7" t="s">
        <v>83</v>
      </c>
      <c r="E12" s="10">
        <f>(E5-$B11)/E7</f>
        <v>0.000518088116704926</v>
      </c>
      <c r="F12" s="10">
        <f>(F5-$B11)/F7</f>
        <v>-0.000195676135323323</v>
      </c>
      <c r="G12" s="10">
        <f>(G5-$B11)/G7</f>
        <v>0.000885584502310398</v>
      </c>
      <c r="H12" s="10">
        <f>(H5-$B11)/H7</f>
        <v>0.00200754823321558</v>
      </c>
      <c r="I12" s="10">
        <f>(I5-$B11)/I7</f>
        <v>0.000560547295098765</v>
      </c>
      <c r="J12" s="1"/>
    </row>
    <row r="13" spans="1:10">
      <c r="A13" s="1"/>
      <c r="B13" s="1"/>
      <c r="C13" s="1"/>
      <c r="D13" s="7" t="s">
        <v>84</v>
      </c>
      <c r="E13" s="10">
        <f>E5-($B11+E7*($I5-$B11))</f>
        <v>-4.6016158442528e-5</v>
      </c>
      <c r="F13" s="10">
        <f>F5-($B11+F7*($I5-$B11))</f>
        <v>-0.000669286803461691</v>
      </c>
      <c r="G13" s="10">
        <f>G5-($B11+G7*($I5-$B11))</f>
        <v>0.000401538767788972</v>
      </c>
      <c r="H13" s="10">
        <f>H5-($B11+H7*($I5-$B11))</f>
        <v>0.00207487097332063</v>
      </c>
      <c r="I13" s="38" t="s">
        <v>85</v>
      </c>
      <c r="J13" s="1"/>
    </row>
    <row r="14" ht="15.25" spans="1:10">
      <c r="A14" s="1"/>
      <c r="B14" s="1"/>
      <c r="C14" s="1"/>
      <c r="D14" s="12" t="s">
        <v>86</v>
      </c>
      <c r="E14" s="13">
        <f>(F20*E5)+(G20*B11)</f>
        <v>0.000506756181348644</v>
      </c>
      <c r="F14" s="14">
        <f>(F21*F5)+(G21*B11)</f>
        <v>6.0177479664123e-5</v>
      </c>
      <c r="G14" s="13">
        <f>(F22*G5)+(G22*B11)</f>
        <v>0.000686567633596477</v>
      </c>
      <c r="H14" s="14">
        <f>(F23*H5)+(G23*B11)</f>
        <v>0.00120352356263796</v>
      </c>
      <c r="I14" s="39" t="s">
        <v>85</v>
      </c>
      <c r="J14" s="1"/>
    </row>
    <row r="15" ht="15.25" spans="1:16">
      <c r="A15" s="1"/>
      <c r="B15" s="1"/>
      <c r="C15" s="1"/>
      <c r="D15" s="15"/>
      <c r="E15" s="15"/>
      <c r="F15" s="15"/>
      <c r="G15" s="15"/>
      <c r="H15" s="15"/>
      <c r="I15" s="15"/>
      <c r="J15" s="1"/>
      <c r="K15" s="1"/>
      <c r="L15" s="1"/>
      <c r="M15" s="1"/>
      <c r="N15" s="1"/>
      <c r="O15" s="1"/>
      <c r="P15" s="1"/>
    </row>
    <row r="16" ht="15.25" spans="1:16">
      <c r="A16" s="1"/>
      <c r="B16" s="1"/>
      <c r="C16" s="1"/>
      <c r="D16" s="4" t="s">
        <v>87</v>
      </c>
      <c r="E16" s="18">
        <f>B11+(I5-B11)*E7</f>
        <v>0.00080126007272631</v>
      </c>
      <c r="F16" s="19">
        <f>B11+(I5-B11)*F7</f>
        <v>0.000689859327004873</v>
      </c>
      <c r="G16" s="18">
        <f>B11+(I5-B11)*G7</f>
        <v>0.000886232516796819</v>
      </c>
      <c r="H16" s="20">
        <f>B11+(I5-B11)*H7</f>
        <v>0.000997528516391393</v>
      </c>
      <c r="I16" s="15"/>
      <c r="J16" s="1"/>
      <c r="K16" s="1"/>
      <c r="L16" s="1"/>
      <c r="M16" s="1"/>
      <c r="N16" s="1"/>
      <c r="O16" s="1"/>
      <c r="P16" s="1"/>
    </row>
    <row r="17" ht="15.25" spans="1:16">
      <c r="A17" s="1"/>
      <c r="B17" s="1"/>
      <c r="C17" s="1"/>
      <c r="D17" s="15"/>
      <c r="E17" s="15"/>
      <c r="F17" s="15"/>
      <c r="G17" s="15"/>
      <c r="H17" s="15"/>
      <c r="I17" s="15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5"/>
      <c r="E18" s="21"/>
      <c r="F18" s="22" t="s">
        <v>88</v>
      </c>
      <c r="G18" s="23" t="s">
        <v>88</v>
      </c>
      <c r="H18" s="15"/>
      <c r="I18" s="15"/>
      <c r="J18" s="1"/>
      <c r="K18" s="1"/>
      <c r="L18" s="1"/>
      <c r="M18" s="1"/>
      <c r="N18" s="1"/>
      <c r="O18" s="1"/>
      <c r="P18" s="1"/>
    </row>
    <row r="19" ht="15.25" spans="1:16">
      <c r="A19" s="1"/>
      <c r="B19" s="1"/>
      <c r="C19" s="1"/>
      <c r="D19" s="15"/>
      <c r="E19" s="24"/>
      <c r="F19" s="25" t="s">
        <v>89</v>
      </c>
      <c r="G19" s="26" t="s">
        <v>90</v>
      </c>
      <c r="H19" s="15"/>
      <c r="I19" s="15"/>
      <c r="J19" s="1"/>
      <c r="K19" s="1"/>
      <c r="L19" s="1"/>
      <c r="M19" s="1"/>
      <c r="N19" s="1"/>
      <c r="O19" s="1"/>
      <c r="P19" s="1"/>
    </row>
    <row r="20" ht="15.25" spans="1:16">
      <c r="A20" s="1"/>
      <c r="B20" s="1"/>
      <c r="C20" s="1"/>
      <c r="D20" s="15"/>
      <c r="E20" s="27" t="s">
        <v>91</v>
      </c>
      <c r="F20" s="28">
        <f>I6/E6</f>
        <v>0.557449792069422</v>
      </c>
      <c r="G20" s="29">
        <f>1-F20</f>
        <v>0.442550207930578</v>
      </c>
      <c r="H20" s="15"/>
      <c r="I20" s="15"/>
      <c r="J20" s="2" t="s">
        <v>92</v>
      </c>
      <c r="K20" s="3"/>
      <c r="L20" s="3"/>
      <c r="M20" s="3"/>
      <c r="N20" s="3"/>
      <c r="O20" s="37"/>
      <c r="P20" s="1"/>
    </row>
    <row r="21" ht="15.25" spans="1:16">
      <c r="A21" s="1"/>
      <c r="B21" s="1"/>
      <c r="C21" s="1"/>
      <c r="D21" s="15"/>
      <c r="E21" s="30" t="s">
        <v>41</v>
      </c>
      <c r="F21" s="31">
        <f>I6/F6</f>
        <v>0.77130875364374</v>
      </c>
      <c r="G21" s="32">
        <f t="shared" ref="G20:G23" si="0">1-F21</f>
        <v>0.22869124635626</v>
      </c>
      <c r="H21" s="15"/>
      <c r="I21" s="15"/>
      <c r="J21" s="4" t="s">
        <v>76</v>
      </c>
      <c r="K21" s="5" t="s">
        <v>77</v>
      </c>
      <c r="L21" s="6" t="s">
        <v>78</v>
      </c>
      <c r="M21" s="5" t="s">
        <v>79</v>
      </c>
      <c r="N21" s="5" t="s">
        <v>80</v>
      </c>
      <c r="O21" s="5" t="s">
        <v>71</v>
      </c>
      <c r="P21" s="1"/>
    </row>
    <row r="22" spans="1:16">
      <c r="A22" s="1"/>
      <c r="B22" s="1"/>
      <c r="C22" s="1"/>
      <c r="D22" s="15"/>
      <c r="E22" s="33" t="s">
        <v>42</v>
      </c>
      <c r="F22" s="31">
        <f>I6/G6</f>
        <v>0.450462672493537</v>
      </c>
      <c r="G22" s="32">
        <f t="shared" si="0"/>
        <v>0.549537327506463</v>
      </c>
      <c r="H22" s="15"/>
      <c r="I22" s="15"/>
      <c r="J22" s="7" t="s">
        <v>82</v>
      </c>
      <c r="K22" s="40">
        <v>4</v>
      </c>
      <c r="L22" s="40">
        <v>5</v>
      </c>
      <c r="M22" s="40">
        <v>3</v>
      </c>
      <c r="N22" s="38">
        <v>1</v>
      </c>
      <c r="O22" s="40">
        <v>2</v>
      </c>
      <c r="P22" s="1"/>
    </row>
    <row r="23" ht="15.25" spans="1:16">
      <c r="A23" s="1"/>
      <c r="B23" s="1"/>
      <c r="C23" s="1"/>
      <c r="D23" s="15"/>
      <c r="E23" s="34" t="s">
        <v>70</v>
      </c>
      <c r="F23" s="35">
        <f>I6/H6</f>
        <v>0.350779538422108</v>
      </c>
      <c r="G23" s="36">
        <f t="shared" si="0"/>
        <v>0.649220461577892</v>
      </c>
      <c r="H23" s="15"/>
      <c r="I23" s="15"/>
      <c r="J23" s="7" t="s">
        <v>83</v>
      </c>
      <c r="K23" s="38">
        <v>4</v>
      </c>
      <c r="L23" s="38">
        <v>5</v>
      </c>
      <c r="M23" s="38">
        <v>2</v>
      </c>
      <c r="N23" s="38">
        <v>1</v>
      </c>
      <c r="O23" s="38">
        <v>3</v>
      </c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7" t="s">
        <v>84</v>
      </c>
      <c r="K24" s="38">
        <v>4</v>
      </c>
      <c r="L24" s="38">
        <v>3</v>
      </c>
      <c r="M24" s="38">
        <v>2</v>
      </c>
      <c r="N24" s="38">
        <v>1</v>
      </c>
      <c r="O24" s="38" t="s">
        <v>85</v>
      </c>
      <c r="P24" s="1"/>
    </row>
    <row r="25" ht="15.25" spans="1:16">
      <c r="A25" s="1"/>
      <c r="B25" s="1"/>
      <c r="C25" s="1"/>
      <c r="D25" s="1"/>
      <c r="E25" s="1"/>
      <c r="F25" s="1"/>
      <c r="G25" s="1"/>
      <c r="H25" s="1"/>
      <c r="I25" s="1"/>
      <c r="J25" s="12" t="s">
        <v>86</v>
      </c>
      <c r="K25" s="39">
        <v>3</v>
      </c>
      <c r="L25" s="39">
        <v>4</v>
      </c>
      <c r="M25" s="39">
        <v>2</v>
      </c>
      <c r="N25" s="39">
        <v>1</v>
      </c>
      <c r="O25" s="39" t="s">
        <v>85</v>
      </c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mergeCells count="4">
    <mergeCell ref="D3:I3"/>
    <mergeCell ref="D9:I9"/>
    <mergeCell ref="J20:O20"/>
    <mergeCell ref="E18:E1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RETURN &amp; RISK</vt:lpstr>
      <vt:lpstr>PORTFOLIO CONSTRUCTION</vt:lpstr>
      <vt:lpstr>PORTFOLIO SUMMARY &amp; 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2024-04-02T17:21:08Z</dcterms:created>
  <dcterms:modified xsi:type="dcterms:W3CDTF">2024-04-03T18:09:39Z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F1D7836F1DAF43AE9CB9C7EBFCB94577_13</vt:lpwstr>
  </property>
  <property fmtid="{D5CDD505-2E9C-101B-9397-08002B2CF9AE}" pid="3" name="KSOProductBuildVer">
    <vt:lpwstr>1033-12.2.0.13472</vt:lpwstr>
  </property>
</Properties>
</file>