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4d322ec1a5629e5/Desktop/"/>
    </mc:Choice>
  </mc:AlternateContent>
  <xr:revisionPtr revIDLastSave="0" documentId="8_{6EBFE318-C53E-467B-9403-ED47BAFBEF60}" xr6:coauthVersionLast="47" xr6:coauthVersionMax="47" xr10:uidLastSave="{00000000-0000-0000-0000-000000000000}"/>
  <bookViews>
    <workbookView xWindow="-108" yWindow="-108" windowWidth="23256" windowHeight="13896" firstSheet="2" activeTab="5" xr2:uid="{00000000-000D-0000-FFFF-FFFF00000000}"/>
  </bookViews>
  <sheets>
    <sheet name="Group_12_Details" sheetId="1" r:id="rId1"/>
    <sheet name="Balance Sheet" sheetId="2" r:id="rId2"/>
    <sheet name="Profit and Loss Statement" sheetId="3" r:id="rId3"/>
    <sheet name="Cash Flow Statement" sheetId="4" r:id="rId4"/>
    <sheet name="Ratio Analysis" sheetId="7" r:id="rId5"/>
    <sheet name="Assumption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7" l="1"/>
  <c r="H22" i="7" s="1"/>
  <c r="G21" i="7"/>
  <c r="G22" i="7" s="1"/>
  <c r="F21" i="7"/>
  <c r="F22" i="7" s="1"/>
  <c r="E21" i="7"/>
  <c r="E22" i="7" s="1"/>
  <c r="D21" i="7"/>
  <c r="D22" i="7" s="1"/>
  <c r="H18" i="7"/>
  <c r="G18" i="7"/>
  <c r="F18" i="7"/>
  <c r="E18" i="7"/>
  <c r="D18" i="7"/>
  <c r="H14" i="7"/>
  <c r="G14" i="7"/>
  <c r="F14" i="7"/>
  <c r="E14" i="7"/>
  <c r="D14" i="7"/>
  <c r="H4" i="7"/>
  <c r="G4" i="7"/>
  <c r="F4" i="7"/>
  <c r="E4" i="7"/>
  <c r="B10" i="4"/>
  <c r="F17" i="3"/>
  <c r="F19" i="3" s="1"/>
  <c r="G16" i="3"/>
  <c r="H16" i="3" s="1"/>
  <c r="I16" i="3" s="1"/>
  <c r="J16" i="3" s="1"/>
  <c r="G15" i="3"/>
  <c r="H15" i="3" s="1"/>
  <c r="I15" i="3" s="1"/>
  <c r="J15" i="3" s="1"/>
  <c r="G14" i="3"/>
  <c r="C13" i="3"/>
  <c r="G12" i="3"/>
  <c r="B4" i="4" s="1"/>
  <c r="F10" i="3"/>
  <c r="F11" i="3" s="1"/>
  <c r="F13" i="3" s="1"/>
  <c r="H6" i="7" s="1"/>
  <c r="E10" i="3"/>
  <c r="E11" i="3" s="1"/>
  <c r="E13" i="3" s="1"/>
  <c r="D10" i="3"/>
  <c r="D11" i="3" s="1"/>
  <c r="D13" i="3" s="1"/>
  <c r="C10" i="3"/>
  <c r="C11" i="3" s="1"/>
  <c r="B10" i="3"/>
  <c r="B11" i="3" s="1"/>
  <c r="B13" i="3" s="1"/>
  <c r="B17" i="3" s="1"/>
  <c r="B19" i="3" s="1"/>
  <c r="G3" i="3"/>
  <c r="G6" i="3" s="1"/>
  <c r="D57" i="2"/>
  <c r="C57" i="2"/>
  <c r="E51" i="2"/>
  <c r="E57" i="2" s="1"/>
  <c r="D51" i="2"/>
  <c r="C51" i="2"/>
  <c r="B51" i="2"/>
  <c r="B57" i="2" s="1"/>
  <c r="G49" i="2"/>
  <c r="H49" i="2" s="1"/>
  <c r="I49" i="2" s="1"/>
  <c r="J49" i="2" s="1"/>
  <c r="G48" i="2"/>
  <c r="H48" i="2" s="1"/>
  <c r="I48" i="2" s="1"/>
  <c r="J48" i="2" s="1"/>
  <c r="G47" i="2"/>
  <c r="H47" i="2" s="1"/>
  <c r="I47" i="2" s="1"/>
  <c r="J47" i="2" s="1"/>
  <c r="G46" i="2"/>
  <c r="F46" i="2"/>
  <c r="F51" i="2" s="1"/>
  <c r="G45" i="2"/>
  <c r="F43" i="2"/>
  <c r="H17" i="7" s="1"/>
  <c r="E43" i="2"/>
  <c r="D43" i="2"/>
  <c r="C43" i="2"/>
  <c r="E17" i="7" s="1"/>
  <c r="B43" i="2"/>
  <c r="G42" i="2"/>
  <c r="H42" i="2" s="1"/>
  <c r="I42" i="2" s="1"/>
  <c r="J42" i="2" s="1"/>
  <c r="G41" i="2"/>
  <c r="H41" i="2" s="1"/>
  <c r="I41" i="2" s="1"/>
  <c r="J41" i="2" s="1"/>
  <c r="G40" i="2"/>
  <c r="H40" i="2" s="1"/>
  <c r="I40" i="2" s="1"/>
  <c r="J40" i="2" s="1"/>
  <c r="G39" i="2"/>
  <c r="H39" i="2" s="1"/>
  <c r="I39" i="2" s="1"/>
  <c r="J39" i="2" s="1"/>
  <c r="F36" i="2"/>
  <c r="E36" i="2"/>
  <c r="E52" i="2" s="1"/>
  <c r="G35" i="2"/>
  <c r="H35" i="2" s="1"/>
  <c r="I35" i="2" s="1"/>
  <c r="J35" i="2" s="1"/>
  <c r="F34" i="2"/>
  <c r="E34" i="2"/>
  <c r="D34" i="2"/>
  <c r="D36" i="2" s="1"/>
  <c r="D52" i="2" s="1"/>
  <c r="C34" i="2"/>
  <c r="C36" i="2" s="1"/>
  <c r="B34" i="2"/>
  <c r="D17" i="7" s="1"/>
  <c r="G32" i="2"/>
  <c r="H32" i="2" s="1"/>
  <c r="F29" i="2"/>
  <c r="F56" i="2" s="1"/>
  <c r="E29" i="2"/>
  <c r="D29" i="2"/>
  <c r="C29" i="2"/>
  <c r="C56" i="2" s="1"/>
  <c r="B29" i="2"/>
  <c r="B56" i="2" s="1"/>
  <c r="G27" i="2"/>
  <c r="H27" i="2" s="1"/>
  <c r="I27" i="2" s="1"/>
  <c r="J27" i="2" s="1"/>
  <c r="G26" i="2"/>
  <c r="H26" i="2" s="1"/>
  <c r="I26" i="2" s="1"/>
  <c r="J26" i="2" s="1"/>
  <c r="G25" i="2"/>
  <c r="H25" i="2" s="1"/>
  <c r="I25" i="2" s="1"/>
  <c r="J25" i="2" s="1"/>
  <c r="G22" i="2"/>
  <c r="H22" i="2" s="1"/>
  <c r="I22" i="2" s="1"/>
  <c r="J22" i="2" s="1"/>
  <c r="F18" i="2"/>
  <c r="E18" i="2"/>
  <c r="D18" i="2"/>
  <c r="C18" i="2"/>
  <c r="B18" i="2"/>
  <c r="G17" i="2"/>
  <c r="H17" i="2" s="1"/>
  <c r="I17" i="2" s="1"/>
  <c r="J17" i="2" s="1"/>
  <c r="G16" i="2"/>
  <c r="H16" i="2" s="1"/>
  <c r="I16" i="2" s="1"/>
  <c r="J16" i="2" s="1"/>
  <c r="G15" i="2"/>
  <c r="H15" i="2" s="1"/>
  <c r="I15" i="2" s="1"/>
  <c r="J15" i="2" s="1"/>
  <c r="G14" i="2"/>
  <c r="H14" i="2" s="1"/>
  <c r="I14" i="2" s="1"/>
  <c r="J14" i="2" s="1"/>
  <c r="G13" i="2"/>
  <c r="H13" i="2" s="1"/>
  <c r="I13" i="2" s="1"/>
  <c r="J13" i="2" s="1"/>
  <c r="G12" i="2"/>
  <c r="H12" i="2" s="1"/>
  <c r="I12" i="2" s="1"/>
  <c r="J12" i="2" s="1"/>
  <c r="G10" i="2"/>
  <c r="H10" i="2" s="1"/>
  <c r="I10" i="2" s="1"/>
  <c r="J10" i="2" s="1"/>
  <c r="G9" i="2"/>
  <c r="H9" i="2" s="1"/>
  <c r="I9" i="2" s="1"/>
  <c r="J9" i="2" s="1"/>
  <c r="G7" i="2"/>
  <c r="H7" i="2" s="1"/>
  <c r="I7" i="2" s="1"/>
  <c r="J7" i="2" s="1"/>
  <c r="G6" i="2"/>
  <c r="H6" i="2" s="1"/>
  <c r="I6" i="2" s="1"/>
  <c r="J6" i="2" s="1"/>
  <c r="G5" i="2"/>
  <c r="H5" i="2" s="1"/>
  <c r="I5" i="2" s="1"/>
  <c r="J5" i="2" s="1"/>
  <c r="G4" i="2"/>
  <c r="F52" i="2" l="1"/>
  <c r="G50" i="2"/>
  <c r="G51" i="2" s="1"/>
  <c r="G57" i="2" s="1"/>
  <c r="D6" i="7"/>
  <c r="F30" i="2"/>
  <c r="H7" i="7" s="1"/>
  <c r="D12" i="7"/>
  <c r="D13" i="7"/>
  <c r="B30" i="2"/>
  <c r="D7" i="7" s="1"/>
  <c r="F17" i="7"/>
  <c r="B58" i="2"/>
  <c r="G17" i="7"/>
  <c r="F13" i="7"/>
  <c r="F12" i="7"/>
  <c r="D56" i="2"/>
  <c r="D58" i="2" s="1"/>
  <c r="I32" i="2"/>
  <c r="C58" i="2"/>
  <c r="E6" i="7"/>
  <c r="C17" i="3"/>
  <c r="C19" i="3" s="1"/>
  <c r="D5" i="7"/>
  <c r="B6" i="4"/>
  <c r="G18" i="2"/>
  <c r="H12" i="3"/>
  <c r="C4" i="4" s="1"/>
  <c r="H4" i="2"/>
  <c r="E30" i="2"/>
  <c r="G7" i="7" s="1"/>
  <c r="E56" i="2"/>
  <c r="E58" i="2" s="1"/>
  <c r="G13" i="7"/>
  <c r="G12" i="7"/>
  <c r="D30" i="2"/>
  <c r="F7" i="7" s="1"/>
  <c r="F6" i="7"/>
  <c r="D17" i="3"/>
  <c r="D19" i="3" s="1"/>
  <c r="I18" i="7"/>
  <c r="D8" i="7"/>
  <c r="C52" i="2"/>
  <c r="I14" i="7"/>
  <c r="I4" i="7"/>
  <c r="H3" i="3"/>
  <c r="G28" i="2"/>
  <c r="G23" i="2"/>
  <c r="G8" i="3"/>
  <c r="G5" i="3"/>
  <c r="H9" i="7"/>
  <c r="H8" i="7"/>
  <c r="H5" i="7"/>
  <c r="H13" i="7"/>
  <c r="H12" i="7"/>
  <c r="F57" i="2"/>
  <c r="F58" i="2" s="1"/>
  <c r="G9" i="3"/>
  <c r="E17" i="3"/>
  <c r="E19" i="3" s="1"/>
  <c r="G6" i="7"/>
  <c r="B36" i="2"/>
  <c r="B52" i="2" s="1"/>
  <c r="E13" i="7"/>
  <c r="E12" i="7"/>
  <c r="C30" i="2"/>
  <c r="E7" i="7" s="1"/>
  <c r="G9" i="7" l="1"/>
  <c r="G8" i="7"/>
  <c r="G5" i="7"/>
  <c r="G10" i="3"/>
  <c r="G11" i="3" s="1"/>
  <c r="G13" i="3" s="1"/>
  <c r="G20" i="2"/>
  <c r="J4" i="7"/>
  <c r="I3" i="3"/>
  <c r="H9" i="3"/>
  <c r="H8" i="3"/>
  <c r="H6" i="3"/>
  <c r="H5" i="3"/>
  <c r="H28" i="2"/>
  <c r="H46" i="2"/>
  <c r="H23" i="2"/>
  <c r="J14" i="7" s="1"/>
  <c r="H45" i="2"/>
  <c r="H50" i="2"/>
  <c r="C6" i="4"/>
  <c r="I12" i="3"/>
  <c r="D4" i="4" s="1"/>
  <c r="H18" i="2"/>
  <c r="I4" i="2"/>
  <c r="F9" i="7"/>
  <c r="F8" i="7"/>
  <c r="F5" i="7"/>
  <c r="E9" i="7"/>
  <c r="E8" i="7"/>
  <c r="E5" i="7"/>
  <c r="J32" i="2"/>
  <c r="D9" i="7"/>
  <c r="I6" i="7" l="1"/>
  <c r="G17" i="3"/>
  <c r="H10" i="3"/>
  <c r="H11" i="3" s="1"/>
  <c r="H13" i="3" s="1"/>
  <c r="H20" i="2"/>
  <c r="I9" i="3"/>
  <c r="I8" i="3"/>
  <c r="I6" i="3"/>
  <c r="I5" i="3"/>
  <c r="I50" i="2"/>
  <c r="I46" i="2"/>
  <c r="K4" i="7"/>
  <c r="I45" i="2"/>
  <c r="I23" i="2"/>
  <c r="K14" i="7" s="1"/>
  <c r="J3" i="3"/>
  <c r="I28" i="2"/>
  <c r="J12" i="3"/>
  <c r="E4" i="4" s="1"/>
  <c r="I18" i="2"/>
  <c r="J4" i="2"/>
  <c r="D6" i="4"/>
  <c r="H51" i="2"/>
  <c r="H57" i="2" s="1"/>
  <c r="G56" i="2"/>
  <c r="G58" i="2" s="1"/>
  <c r="B5" i="4" s="1"/>
  <c r="I21" i="7"/>
  <c r="I22" i="7" s="1"/>
  <c r="I51" i="2" l="1"/>
  <c r="I57" i="2" s="1"/>
  <c r="J45" i="2"/>
  <c r="J8" i="3"/>
  <c r="J5" i="3"/>
  <c r="J23" i="2"/>
  <c r="J50" i="2"/>
  <c r="J46" i="2"/>
  <c r="J9" i="3"/>
  <c r="J6" i="3"/>
  <c r="J28" i="2"/>
  <c r="I10" i="3"/>
  <c r="I11" i="3" s="1"/>
  <c r="I13" i="3" s="1"/>
  <c r="I20" i="2"/>
  <c r="G18" i="3"/>
  <c r="G19" i="3" s="1"/>
  <c r="J6" i="7"/>
  <c r="E6" i="4"/>
  <c r="J18" i="2"/>
  <c r="H56" i="2"/>
  <c r="H58" i="2" s="1"/>
  <c r="C5" i="4" s="1"/>
  <c r="J21" i="7"/>
  <c r="J22" i="7" s="1"/>
  <c r="I5" i="7" l="1"/>
  <c r="B3" i="4"/>
  <c r="G33" i="2"/>
  <c r="K6" i="7"/>
  <c r="J51" i="2"/>
  <c r="J57" i="2" s="1"/>
  <c r="I56" i="2"/>
  <c r="I58" i="2" s="1"/>
  <c r="D5" i="4" s="1"/>
  <c r="K21" i="7"/>
  <c r="K22" i="7" s="1"/>
  <c r="J10" i="3"/>
  <c r="J11" i="3" s="1"/>
  <c r="J13" i="3" s="1"/>
  <c r="J20" i="2"/>
  <c r="J56" i="2" l="1"/>
  <c r="J58" i="2" s="1"/>
  <c r="E5" i="4" s="1"/>
  <c r="G34" i="2"/>
  <c r="G36" i="2" s="1"/>
  <c r="G38" i="2" l="1"/>
  <c r="I9" i="7"/>
  <c r="B7" i="4" l="1"/>
  <c r="B9" i="4" s="1"/>
  <c r="B11" i="4" s="1"/>
  <c r="G24" i="2" s="1"/>
  <c r="H14" i="3"/>
  <c r="G43" i="2"/>
  <c r="I17" i="7" l="1"/>
  <c r="G52" i="2"/>
  <c r="J18" i="7"/>
  <c r="H17" i="3"/>
  <c r="C10" i="4"/>
  <c r="G29" i="2"/>
  <c r="H18" i="3" l="1"/>
  <c r="H19" i="3" s="1"/>
  <c r="I13" i="7"/>
  <c r="I12" i="7"/>
  <c r="G30" i="2"/>
  <c r="J5" i="7" l="1"/>
  <c r="C3" i="4"/>
  <c r="H33" i="2"/>
  <c r="G53" i="2"/>
  <c r="I7" i="7"/>
  <c r="I8" i="7"/>
  <c r="H34" i="2" l="1"/>
  <c r="H36" i="2" s="1"/>
  <c r="H38" i="2" l="1"/>
  <c r="J9" i="7"/>
  <c r="C7" i="4" l="1"/>
  <c r="C9" i="4" s="1"/>
  <c r="C11" i="4" s="1"/>
  <c r="H24" i="2" s="1"/>
  <c r="I14" i="3"/>
  <c r="H43" i="2"/>
  <c r="J17" i="7" l="1"/>
  <c r="H52" i="2"/>
  <c r="K18" i="7"/>
  <c r="I17" i="3"/>
  <c r="D10" i="4"/>
  <c r="H29" i="2"/>
  <c r="J13" i="7" l="1"/>
  <c r="J12" i="7"/>
  <c r="H30" i="2"/>
  <c r="I18" i="3"/>
  <c r="I19" i="3" s="1"/>
  <c r="K5" i="7" l="1"/>
  <c r="D3" i="4"/>
  <c r="I33" i="2"/>
  <c r="H53" i="2"/>
  <c r="J7" i="7"/>
  <c r="J8" i="7"/>
  <c r="I34" i="2" l="1"/>
  <c r="I36" i="2" s="1"/>
  <c r="I38" i="2" l="1"/>
  <c r="K9" i="7"/>
  <c r="J14" i="3" l="1"/>
  <c r="J17" i="3" s="1"/>
  <c r="I43" i="2"/>
  <c r="D7" i="4"/>
  <c r="D9" i="4" s="1"/>
  <c r="D11" i="4" s="1"/>
  <c r="I24" i="2" s="1"/>
  <c r="E10" i="4" l="1"/>
  <c r="I29" i="2"/>
  <c r="K17" i="7"/>
  <c r="I52" i="2"/>
  <c r="J18" i="3"/>
  <c r="J19" i="3" s="1"/>
  <c r="E3" i="4" l="1"/>
  <c r="J33" i="2"/>
  <c r="J34" i="2" s="1"/>
  <c r="J36" i="2" s="1"/>
  <c r="I30" i="2"/>
  <c r="K13" i="7"/>
  <c r="K12" i="7"/>
  <c r="J38" i="2" l="1"/>
  <c r="I53" i="2"/>
  <c r="K7" i="7"/>
  <c r="K8" i="7"/>
  <c r="J43" i="2" l="1"/>
  <c r="J52" i="2" s="1"/>
  <c r="E7" i="4"/>
  <c r="E9" i="4" s="1"/>
  <c r="E11" i="4" s="1"/>
  <c r="J24" i="2" s="1"/>
  <c r="J29" i="2" s="1"/>
  <c r="J30" i="2" s="1"/>
  <c r="J53" i="2" s="1"/>
</calcChain>
</file>

<file path=xl/sharedStrings.xml><?xml version="1.0" encoding="utf-8"?>
<sst xmlns="http://schemas.openxmlformats.org/spreadsheetml/2006/main" count="173" uniqueCount="158">
  <si>
    <t>Year</t>
  </si>
  <si>
    <t>Non-Current Assets:</t>
  </si>
  <si>
    <t>Property, Plant and Equipment</t>
  </si>
  <si>
    <t>Capital Work in Progress</t>
  </si>
  <si>
    <t>Intangible Assets</t>
  </si>
  <si>
    <t>Intangible Assets under Development</t>
  </si>
  <si>
    <t>Non-current Investments</t>
  </si>
  <si>
    <t>Investment Properties</t>
  </si>
  <si>
    <t>Investments in Subsidiaries, Associates
 and Joint venture</t>
  </si>
  <si>
    <t>Financial Assets :</t>
  </si>
  <si>
    <t>Investments - Long-term</t>
  </si>
  <si>
    <t>Loans - Long - Term</t>
  </si>
  <si>
    <t>Others Financial Assets - Long-term</t>
  </si>
  <si>
    <t>Non Current Tax Assets - Long - Term</t>
  </si>
  <si>
    <t>Other Non-current Assets</t>
  </si>
  <si>
    <t>Deferred Tax Assets (Net)</t>
  </si>
  <si>
    <t>Total  Non-current Assets</t>
  </si>
  <si>
    <t>Current Assets:</t>
  </si>
  <si>
    <t>Inventories</t>
  </si>
  <si>
    <t>Current Investments</t>
  </si>
  <si>
    <t>Trade Receivables</t>
  </si>
  <si>
    <t>Cash and Cash Equivalents</t>
  </si>
  <si>
    <t>Bank Balances Other Than Cash 
and Cash Equivalents</t>
  </si>
  <si>
    <t>Loans - Short-term</t>
  </si>
  <si>
    <t>Others Financial Assets - Short-term</t>
  </si>
  <si>
    <t>Other Current Assets</t>
  </si>
  <si>
    <t>Total Current Assets</t>
  </si>
  <si>
    <t>Total Assets</t>
  </si>
  <si>
    <t>EQUITY AND LIABILITIES</t>
  </si>
  <si>
    <t>Paid Up Capital</t>
  </si>
  <si>
    <t>Other Equity</t>
  </si>
  <si>
    <t>Total Stockholders’ Equity</t>
  </si>
  <si>
    <t>Minority Interest</t>
  </si>
  <si>
    <t>Total Equity</t>
  </si>
  <si>
    <t>Non-Current Liabilities:</t>
  </si>
  <si>
    <t>Long Term Borrowings</t>
  </si>
  <si>
    <t>Others Financial Liabilities - Long-term</t>
  </si>
  <si>
    <t>Long-term Provisions</t>
  </si>
  <si>
    <t>Deferred Tax Liabilities (Net)</t>
  </si>
  <si>
    <t>Other Non-Current Liabilities</t>
  </si>
  <si>
    <t>Total Non-current Liabilities</t>
  </si>
  <si>
    <t>Current Liabilities:</t>
  </si>
  <si>
    <t>Short Term Borrowings</t>
  </si>
  <si>
    <t>Trade Payables</t>
  </si>
  <si>
    <t>Others Financial Liabilities - Short-term</t>
  </si>
  <si>
    <t>Current Tax Liabilities - Short-term</t>
  </si>
  <si>
    <t>Provisions</t>
  </si>
  <si>
    <t>Other Current Liabilities</t>
  </si>
  <si>
    <t>Total Current Liabilities</t>
  </si>
  <si>
    <t>Total Equity and Liabilities</t>
  </si>
  <si>
    <t>Non Cash 
Current Assets</t>
  </si>
  <si>
    <t>Current Labilities</t>
  </si>
  <si>
    <t>Net working capital</t>
  </si>
  <si>
    <t>Revenue From Operations(Net)</t>
  </si>
  <si>
    <t>Expenses</t>
  </si>
  <si>
    <t>Cost of Material Consumed</t>
  </si>
  <si>
    <t>Purchases of Stock-in-Trade</t>
  </si>
  <si>
    <t>Changes in Inventories of Finished Goods, Work-in-Progress and Stock-in-Trade</t>
  </si>
  <si>
    <t>Employee Benefits / Salaries &amp; other Staff Cost</t>
  </si>
  <si>
    <t>Other Expenses</t>
  </si>
  <si>
    <t>Total operating Expense</t>
  </si>
  <si>
    <t>EBITDA</t>
  </si>
  <si>
    <t>Depreciation and Amortization</t>
  </si>
  <si>
    <t>EBIT</t>
  </si>
  <si>
    <t>Finance Cost</t>
  </si>
  <si>
    <t>Share of Profits / Loss of Associated Companies Before Tax</t>
  </si>
  <si>
    <t>Other Income</t>
  </si>
  <si>
    <t>Profit before tax</t>
  </si>
  <si>
    <t>Tax Expenses</t>
  </si>
  <si>
    <t>Profit After Tax</t>
  </si>
  <si>
    <t>Net profit</t>
  </si>
  <si>
    <t>Add:Depreciation</t>
  </si>
  <si>
    <t>Less:Changes in NWC</t>
  </si>
  <si>
    <t>Less: Capex</t>
  </si>
  <si>
    <t>Add:Net debt raised</t>
  </si>
  <si>
    <t>Net cashflow</t>
  </si>
  <si>
    <t>Add:Opening Cash Balance</t>
  </si>
  <si>
    <t>Closing Cash Balance</t>
  </si>
  <si>
    <t>Item</t>
  </si>
  <si>
    <t>Method</t>
  </si>
  <si>
    <t>Revenue growth</t>
  </si>
  <si>
    <t>Horizontal</t>
  </si>
  <si>
    <t>material cost</t>
  </si>
  <si>
    <t>as % of sales</t>
  </si>
  <si>
    <t>Purchase of stock in trade</t>
  </si>
  <si>
    <t>Employee cost</t>
  </si>
  <si>
    <t>other operating exp</t>
  </si>
  <si>
    <t>Depreciation</t>
  </si>
  <si>
    <t>(% of net Fixed Assets @ beg )</t>
  </si>
  <si>
    <t>interest on loan</t>
  </si>
  <si>
    <t>(% of loan at end)</t>
  </si>
  <si>
    <t>Income tax</t>
  </si>
  <si>
    <t>% of pre tax income</t>
  </si>
  <si>
    <t>Investment properties</t>
  </si>
  <si>
    <t>Day's sales outstanding</t>
  </si>
  <si>
    <t>No.of days sales(365D)</t>
  </si>
  <si>
    <t>inventory</t>
  </si>
  <si>
    <t>No.of days of cost of sales</t>
  </si>
  <si>
    <t>OCA</t>
  </si>
  <si>
    <t>Prepayments, accrued income and other deferred current assets</t>
  </si>
  <si>
    <t>as% of sales</t>
  </si>
  <si>
    <t>PPE</t>
  </si>
  <si>
    <t>Asset turn</t>
  </si>
  <si>
    <t>OCLs (as% sales)</t>
  </si>
  <si>
    <t>Accounts Payables</t>
  </si>
  <si>
    <t>no. of days of sales</t>
  </si>
  <si>
    <t>bank loan</t>
  </si>
  <si>
    <t>% equity</t>
  </si>
  <si>
    <t>Paid in Capital</t>
  </si>
  <si>
    <t>Same as previous years</t>
  </si>
  <si>
    <t>Defered tax</t>
  </si>
  <si>
    <t>Deferred revenue, accrued expenses and other deferred NCL</t>
  </si>
  <si>
    <t>Other Non current assets</t>
  </si>
  <si>
    <t>Short term borrowings</t>
  </si>
  <si>
    <t>RATIO ANALYSIS FOR ITC LTD</t>
  </si>
  <si>
    <t>SL. NO</t>
  </si>
  <si>
    <t>RATIO</t>
  </si>
  <si>
    <t>FORMULA</t>
  </si>
  <si>
    <t>Mar '19</t>
  </si>
  <si>
    <t>Mar '20</t>
  </si>
  <si>
    <t>Mar '21</t>
  </si>
  <si>
    <t>Mar '22</t>
  </si>
  <si>
    <t>Mar '23</t>
  </si>
  <si>
    <t>PROFITABILITY RATIOS</t>
  </si>
  <si>
    <t>Current year/ p year-1</t>
  </si>
  <si>
    <t>Profit margin</t>
  </si>
  <si>
    <t>(Profit After Tax / 
Revenue from operations) * 100</t>
  </si>
  <si>
    <t>Operating Profit Margin</t>
  </si>
  <si>
    <t>EBIT/Revenue from operations *100</t>
  </si>
  <si>
    <t>Asset turnover Ratio</t>
  </si>
  <si>
    <t>Net revenue from Operations /
 Total Assets</t>
  </si>
  <si>
    <t>Return on Asset</t>
  </si>
  <si>
    <t>Net Profit / Total Asset</t>
  </si>
  <si>
    <t>Return on Equity</t>
  </si>
  <si>
    <t>Net Profit / Total Equity</t>
  </si>
  <si>
    <t>LIQUIDITY RATIOS</t>
  </si>
  <si>
    <t xml:space="preserve">Current Ratio </t>
  </si>
  <si>
    <t>Current Assets / Current Liabilities</t>
  </si>
  <si>
    <t>Quick Ratio</t>
  </si>
  <si>
    <t>Quick Assets / Current Liabilities</t>
  </si>
  <si>
    <t>Receivables Turnover Ratio</t>
  </si>
  <si>
    <t>Sales / Receivables</t>
  </si>
  <si>
    <t>SOLVENCY RATIOS</t>
  </si>
  <si>
    <t>Debt Equity Ratio</t>
  </si>
  <si>
    <t>Total Debt / Shareholder's equity</t>
  </si>
  <si>
    <t>Interest Coverage Ratio</t>
  </si>
  <si>
    <t>EBIT/Interest Expense</t>
  </si>
  <si>
    <t>EFFICIENCY RATIOS</t>
  </si>
  <si>
    <t>Inventory Turnover Ratio</t>
  </si>
  <si>
    <t>Revenue from operations /
 Inventory</t>
  </si>
  <si>
    <t>Inventory Conversion period</t>
  </si>
  <si>
    <t>365 / Inventory Turnover ratio</t>
  </si>
  <si>
    <t xml:space="preserve">  Balance Sheet  (Consolidated) ITC Ltd                                               (Curr. in Crores)</t>
  </si>
  <si>
    <t>Profit &amp; Loss Statement  (Consolidated)     ITC Ltd                                 (Curr. in Crores)</t>
  </si>
  <si>
    <t>Particulars</t>
  </si>
  <si>
    <t>PROJECTION</t>
  </si>
  <si>
    <t>CASH FLOW STATEMENT PROJECTION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</si>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</sst>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-d"/>
    <numFmt numFmtId="166" formatCode="0.0%"/>
  </numFmts>
  <fonts count="10" x14ac:knownFonts="1">
    <font>
      <sz val="10"/>
      <color rgb="FF000000"/>
      <name val="Arial"/>
      <scheme val="minor"/>
    </font>
    <font>
      <b/>
      <sz val="13"/>
      <color theme="1"/>
      <name val="Times New Roman"/>
      <family val="1"/>
    </font>
    <font>
      <b/>
      <sz val="13"/>
      <color rgb="FF1F1F1F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u/>
      <sz val="13"/>
      <color rgb="FF0000FF"/>
      <name val="Times New Roman"/>
      <family val="1"/>
    </font>
    <font>
      <b/>
      <sz val="13"/>
      <color rgb="FF000000"/>
      <name val="Times New Roman"/>
      <family val="1"/>
    </font>
    <font>
      <b/>
      <sz val="13"/>
      <color rgb="FF000080"/>
      <name val="Times New Roman"/>
      <family val="1"/>
    </font>
    <font>
      <sz val="10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rgb="FFF6B26B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rgb="FFF6B26B"/>
      </patternFill>
    </fill>
    <fill>
      <patternFill patternType="solid">
        <fgColor theme="5"/>
        <bgColor rgb="FFFCE5CD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rgb="FFC9DAF8"/>
      </patternFill>
    </fill>
    <fill>
      <patternFill patternType="solid">
        <fgColor theme="9" tint="-0.249977111117893"/>
        <bgColor rgb="FFFCE5C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5"/>
        <bgColor rgb="FFFFFF00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" xfId="0" applyNumberFormat="1" applyFont="1" applyFill="1" applyBorder="1" applyAlignment="1">
      <alignment horizontal="center"/>
    </xf>
    <xf numFmtId="0" fontId="1" fillId="8" borderId="2" xfId="0" applyFont="1" applyFill="1" applyBorder="1"/>
    <xf numFmtId="3" fontId="5" fillId="8" borderId="2" xfId="0" applyNumberFormat="1" applyFont="1" applyFill="1" applyBorder="1"/>
    <xf numFmtId="3" fontId="5" fillId="0" borderId="3" xfId="0" applyNumberFormat="1" applyFont="1" applyBorder="1"/>
    <xf numFmtId="3" fontId="5" fillId="0" borderId="2" xfId="0" applyNumberFormat="1" applyFont="1" applyBorder="1"/>
    <xf numFmtId="0" fontId="5" fillId="8" borderId="2" xfId="0" applyFont="1" applyFill="1" applyBorder="1"/>
    <xf numFmtId="3" fontId="5" fillId="8" borderId="2" xfId="0" applyNumberFormat="1" applyFont="1" applyFill="1" applyBorder="1" applyAlignment="1">
      <alignment horizontal="right" vertical="top"/>
    </xf>
    <xf numFmtId="3" fontId="5" fillId="8" borderId="2" xfId="0" applyNumberFormat="1" applyFont="1" applyFill="1" applyBorder="1" applyAlignment="1">
      <alignment horizontal="right"/>
    </xf>
    <xf numFmtId="0" fontId="1" fillId="5" borderId="2" xfId="0" applyFont="1" applyFill="1" applyBorder="1"/>
    <xf numFmtId="3" fontId="1" fillId="5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5" fillId="13" borderId="3" xfId="0" applyNumberFormat="1" applyFont="1" applyFill="1" applyBorder="1"/>
    <xf numFmtId="3" fontId="5" fillId="13" borderId="2" xfId="0" applyNumberFormat="1" applyFont="1" applyFill="1" applyBorder="1"/>
    <xf numFmtId="3" fontId="5" fillId="9" borderId="2" xfId="0" applyNumberFormat="1" applyFont="1" applyFill="1" applyBorder="1"/>
    <xf numFmtId="3" fontId="1" fillId="9" borderId="2" xfId="0" applyNumberFormat="1" applyFont="1" applyFill="1" applyBorder="1"/>
    <xf numFmtId="3" fontId="1" fillId="13" borderId="3" xfId="0" applyNumberFormat="1" applyFont="1" applyFill="1" applyBorder="1"/>
    <xf numFmtId="3" fontId="1" fillId="13" borderId="2" xfId="0" applyNumberFormat="1" applyFont="1" applyFill="1" applyBorder="1"/>
    <xf numFmtId="3" fontId="1" fillId="6" borderId="2" xfId="0" applyNumberFormat="1" applyFont="1" applyFill="1" applyBorder="1"/>
    <xf numFmtId="3" fontId="1" fillId="11" borderId="3" xfId="0" applyNumberFormat="1" applyFont="1" applyFill="1" applyBorder="1"/>
    <xf numFmtId="3" fontId="1" fillId="11" borderId="2" xfId="0" applyNumberFormat="1" applyFont="1" applyFill="1" applyBorder="1"/>
    <xf numFmtId="3" fontId="1" fillId="6" borderId="2" xfId="0" applyNumberFormat="1" applyFont="1" applyFill="1" applyBorder="1" applyAlignment="1">
      <alignment horizontal="right"/>
    </xf>
    <xf numFmtId="3" fontId="1" fillId="8" borderId="2" xfId="0" applyNumberFormat="1" applyFont="1" applyFill="1" applyBorder="1" applyAlignment="1">
      <alignment horizontal="right"/>
    </xf>
    <xf numFmtId="3" fontId="1" fillId="14" borderId="3" xfId="0" applyNumberFormat="1" applyFont="1" applyFill="1" applyBorder="1" applyAlignment="1">
      <alignment horizontal="right"/>
    </xf>
    <xf numFmtId="3" fontId="1" fillId="14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/>
    <xf numFmtId="3" fontId="1" fillId="12" borderId="3" xfId="0" applyNumberFormat="1" applyFont="1" applyFill="1" applyBorder="1"/>
    <xf numFmtId="3" fontId="1" fillId="12" borderId="2" xfId="0" applyNumberFormat="1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9" borderId="2" xfId="0" applyFont="1" applyFill="1" applyBorder="1"/>
    <xf numFmtId="1" fontId="5" fillId="13" borderId="3" xfId="0" applyNumberFormat="1" applyFont="1" applyFill="1" applyBorder="1"/>
    <xf numFmtId="1" fontId="5" fillId="13" borderId="2" xfId="0" applyNumberFormat="1" applyFont="1" applyFill="1" applyBorder="1"/>
    <xf numFmtId="0" fontId="4" fillId="13" borderId="2" xfId="0" applyFont="1" applyFill="1" applyBorder="1"/>
    <xf numFmtId="0" fontId="6" fillId="0" borderId="0" xfId="0" applyFont="1"/>
    <xf numFmtId="0" fontId="5" fillId="0" borderId="0" xfId="0" applyFont="1"/>
    <xf numFmtId="0" fontId="5" fillId="0" borderId="2" xfId="0" applyFont="1" applyBorder="1"/>
    <xf numFmtId="1" fontId="1" fillId="9" borderId="2" xfId="0" applyNumberFormat="1" applyFont="1" applyFill="1" applyBorder="1"/>
    <xf numFmtId="1" fontId="5" fillId="8" borderId="2" xfId="0" applyNumberFormat="1" applyFont="1" applyFill="1" applyBorder="1"/>
    <xf numFmtId="1" fontId="5" fillId="8" borderId="2" xfId="0" applyNumberFormat="1" applyFont="1" applyFill="1" applyBorder="1" applyAlignment="1">
      <alignment horizontal="right"/>
    </xf>
    <xf numFmtId="0" fontId="1" fillId="9" borderId="2" xfId="0" applyFont="1" applyFill="1" applyBorder="1"/>
    <xf numFmtId="1" fontId="1" fillId="13" borderId="2" xfId="0" applyNumberFormat="1" applyFont="1" applyFill="1" applyBorder="1"/>
    <xf numFmtId="0" fontId="5" fillId="9" borderId="2" xfId="0" applyFont="1" applyFill="1" applyBorder="1"/>
    <xf numFmtId="1" fontId="5" fillId="9" borderId="2" xfId="0" applyNumberFormat="1" applyFont="1" applyFill="1" applyBorder="1"/>
    <xf numFmtId="1" fontId="5" fillId="7" borderId="2" xfId="0" applyNumberFormat="1" applyFont="1" applyFill="1" applyBorder="1"/>
    <xf numFmtId="1" fontId="5" fillId="12" borderId="2" xfId="0" applyNumberFormat="1" applyFont="1" applyFill="1" applyBorder="1"/>
    <xf numFmtId="0" fontId="7" fillId="12" borderId="2" xfId="0" applyFont="1" applyFill="1" applyBorder="1"/>
    <xf numFmtId="0" fontId="7" fillId="13" borderId="2" xfId="0" applyFont="1" applyFill="1" applyBorder="1"/>
    <xf numFmtId="10" fontId="1" fillId="4" borderId="2" xfId="0" applyNumberFormat="1" applyFont="1" applyFill="1" applyBorder="1" applyAlignment="1">
      <alignment horizontal="center"/>
    </xf>
    <xf numFmtId="0" fontId="2" fillId="8" borderId="2" xfId="0" applyFont="1" applyFill="1" applyBorder="1"/>
    <xf numFmtId="10" fontId="5" fillId="8" borderId="2" xfId="0" applyNumberFormat="1" applyFont="1" applyFill="1" applyBorder="1"/>
    <xf numFmtId="10" fontId="1" fillId="8" borderId="2" xfId="0" applyNumberFormat="1" applyFont="1" applyFill="1" applyBorder="1" applyAlignment="1">
      <alignment horizontal="right"/>
    </xf>
    <xf numFmtId="10" fontId="1" fillId="14" borderId="2" xfId="0" applyNumberFormat="1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2" fontId="1" fillId="8" borderId="2" xfId="0" applyNumberFormat="1" applyFont="1" applyFill="1" applyBorder="1" applyAlignment="1">
      <alignment horizontal="right"/>
    </xf>
    <xf numFmtId="2" fontId="1" fillId="14" borderId="2" xfId="0" applyNumberFormat="1" applyFont="1" applyFill="1" applyBorder="1" applyAlignment="1">
      <alignment horizontal="right"/>
    </xf>
    <xf numFmtId="0" fontId="5" fillId="2" borderId="2" xfId="0" applyFont="1" applyFill="1" applyBorder="1"/>
    <xf numFmtId="2" fontId="5" fillId="2" borderId="2" xfId="0" applyNumberFormat="1" applyFont="1" applyFill="1" applyBorder="1"/>
    <xf numFmtId="0" fontId="5" fillId="0" borderId="1" xfId="0" applyFont="1" applyBorder="1"/>
    <xf numFmtId="0" fontId="7" fillId="15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7" fillId="9" borderId="2" xfId="0" applyFont="1" applyFill="1" applyBorder="1"/>
    <xf numFmtId="9" fontId="4" fillId="13" borderId="2" xfId="0" applyNumberFormat="1" applyFont="1" applyFill="1" applyBorder="1" applyAlignment="1">
      <alignment horizontal="right"/>
    </xf>
    <xf numFmtId="0" fontId="4" fillId="13" borderId="2" xfId="0" applyFont="1" applyFill="1" applyBorder="1" applyAlignment="1">
      <alignment horizontal="right"/>
    </xf>
    <xf numFmtId="166" fontId="4" fillId="13" borderId="2" xfId="0" applyNumberFormat="1" applyFont="1" applyFill="1" applyBorder="1" applyAlignment="1">
      <alignment horizontal="right"/>
    </xf>
    <xf numFmtId="0" fontId="9" fillId="0" borderId="0" xfId="0" applyFont="1"/>
    <xf numFmtId="0" fontId="7" fillId="0" borderId="0" xfId="0" applyFont="1"/>
    <xf numFmtId="0" fontId="4" fillId="13" borderId="2" xfId="0" applyFont="1" applyFill="1" applyBorder="1"/>
    <xf numFmtId="0" fontId="1" fillId="17" borderId="2" xfId="0" applyFont="1" applyFill="1" applyBorder="1"/>
    <xf numFmtId="0" fontId="3" fillId="17" borderId="2" xfId="0" applyFont="1" applyFill="1" applyBorder="1"/>
    <xf numFmtId="0" fontId="7" fillId="17" borderId="7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7" fillId="17" borderId="2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7" borderId="2" xfId="0" applyFont="1" applyFill="1" applyBorder="1"/>
    <xf numFmtId="0" fontId="4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30480</xdr:rowOff>
    </xdr:from>
    <xdr:to>
      <xdr:col>8</xdr:col>
      <xdr:colOff>594360</xdr:colOff>
      <xdr:row>20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98C841-301F-E2E2-F6C6-01E0FDA8701A}"/>
            </a:ext>
          </a:extLst>
        </xdr:cNvPr>
        <xdr:cNvSpPr txBox="1"/>
      </xdr:nvSpPr>
      <xdr:spPr>
        <a:xfrm>
          <a:off x="6050280" y="640080"/>
          <a:ext cx="7162800" cy="358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FINANCIAL REPORTING &amp; ANALYSIS </a:t>
          </a:r>
        </a:p>
        <a:p>
          <a:endParaRPr lang="en-IN" sz="2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2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2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PROFORMA FINANCIAL STATEMENTS &amp; EARNINGS CALL</a:t>
          </a:r>
          <a:r>
            <a:rPr lang="en-IN" sz="2400"/>
            <a:t> </a:t>
          </a:r>
          <a:endParaRPr lang="en-IN" sz="24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106680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DEA03CC5-EB74-370B-EDDE-F58F4BA78641}"/>
            </a:ext>
          </a:extLst>
        </xdr:cNvPr>
        <xdr:cNvSpPr>
          <a:spLocks noChangeAspect="1" noChangeArrowheads="1"/>
        </xdr:cNvSpPr>
      </xdr:nvSpPr>
      <xdr:spPr bwMode="auto">
        <a:xfrm>
          <a:off x="1030224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106680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E7AE96D6-3B85-EE10-EE17-7403FB8DF30A}"/>
            </a:ext>
          </a:extLst>
        </xdr:cNvPr>
        <xdr:cNvSpPr>
          <a:spLocks noChangeAspect="1" noChangeArrowheads="1"/>
        </xdr:cNvSpPr>
      </xdr:nvSpPr>
      <xdr:spPr bwMode="auto">
        <a:xfrm>
          <a:off x="1030224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-1</xdr:colOff>
      <xdr:row>0</xdr:row>
      <xdr:rowOff>1</xdr:rowOff>
    </xdr:from>
    <xdr:to>
      <xdr:col>17</xdr:col>
      <xdr:colOff>233526</xdr:colOff>
      <xdr:row>18</xdr:row>
      <xdr:rowOff>174625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4DEC20-A130-1C76-4E54-BB77EC21C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9062" y="1"/>
          <a:ext cx="6901027" cy="37464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659720</xdr:colOff>
      <xdr:row>19</xdr:row>
      <xdr:rowOff>78468</xdr:rowOff>
    </xdr:from>
    <xdr:to>
      <xdr:col>17</xdr:col>
      <xdr:colOff>241370</xdr:colOff>
      <xdr:row>38</xdr:row>
      <xdr:rowOff>71437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42A951-7B4C-063D-8DFE-0C1E04EB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2033" y="3848781"/>
          <a:ext cx="6915900" cy="376328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17</xdr:col>
      <xdr:colOff>339901</xdr:colOff>
      <xdr:row>19</xdr:row>
      <xdr:rowOff>61658</xdr:rowOff>
    </xdr:from>
    <xdr:to>
      <xdr:col>27</xdr:col>
      <xdr:colOff>571574</xdr:colOff>
      <xdr:row>38</xdr:row>
      <xdr:rowOff>39688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A997C7-6B1A-8CB3-42BC-DC1D45457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86464" y="3831971"/>
          <a:ext cx="6899173" cy="374834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17</xdr:col>
      <xdr:colOff>310303</xdr:colOff>
      <xdr:row>0</xdr:row>
      <xdr:rowOff>0</xdr:rowOff>
    </xdr:from>
    <xdr:to>
      <xdr:col>27</xdr:col>
      <xdr:colOff>524812</xdr:colOff>
      <xdr:row>18</xdr:row>
      <xdr:rowOff>166687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6AB4A3-473F-D296-D2DC-AD0226F4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6866" y="0"/>
          <a:ext cx="6882009" cy="37385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17</xdr:col>
      <xdr:colOff>305352</xdr:colOff>
      <xdr:row>38</xdr:row>
      <xdr:rowOff>142877</xdr:rowOff>
    </xdr:from>
    <xdr:to>
      <xdr:col>27</xdr:col>
      <xdr:colOff>571599</xdr:colOff>
      <xdr:row>57</xdr:row>
      <xdr:rowOff>134937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18DA88-BB3F-D9FD-A01F-D3018AA4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1915" y="7683502"/>
          <a:ext cx="6933747" cy="376237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650873</xdr:colOff>
      <xdr:row>38</xdr:row>
      <xdr:rowOff>170118</xdr:rowOff>
    </xdr:from>
    <xdr:to>
      <xdr:col>17</xdr:col>
      <xdr:colOff>215716</xdr:colOff>
      <xdr:row>57</xdr:row>
      <xdr:rowOff>111125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0EBF29-DB67-AC4E-E0D8-95465150C2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22" b="4597"/>
        <a:stretch/>
      </xdr:blipFill>
      <xdr:spPr>
        <a:xfrm>
          <a:off x="10263186" y="7710743"/>
          <a:ext cx="6899093" cy="371132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18"/>
  <sheetViews>
    <sheetView workbookViewId="0">
      <selection activeCell="G3" sqref="G3"/>
    </sheetView>
  </sheetViews>
  <sheetFormatPr defaultColWidth="12.6640625" defaultRowHeight="15.75" customHeight="1" x14ac:dyDescent="0.3"/>
  <cols>
    <col min="1" max="16384" width="12.6640625" style="1"/>
  </cols>
  <sheetData>
    <row r="2" spans="1:3" ht="16.8" x14ac:dyDescent="0.3"/>
    <row r="4" spans="1:3" ht="16.8" x14ac:dyDescent="0.3"/>
    <row r="7" spans="1:3" ht="16.8" x14ac:dyDescent="0.3"/>
    <row r="9" spans="1:3" ht="15.75" customHeight="1" x14ac:dyDescent="0.3">
      <c r="A9" s="39"/>
      <c r="B9" s="40"/>
      <c r="C9" s="40"/>
    </row>
    <row r="10" spans="1:3" ht="15.75" customHeight="1" x14ac:dyDescent="0.3">
      <c r="A10" s="40"/>
      <c r="B10" s="40"/>
      <c r="C10" s="40"/>
    </row>
    <row r="11" spans="1:3" ht="15.75" customHeight="1" x14ac:dyDescent="0.3">
      <c r="A11" s="40"/>
      <c r="B11" s="40"/>
      <c r="C11" s="40"/>
    </row>
    <row r="12" spans="1:3" ht="15.75" customHeight="1" x14ac:dyDescent="0.3">
      <c r="A12" s="40"/>
      <c r="B12" s="40"/>
      <c r="C12" s="40"/>
    </row>
    <row r="13" spans="1:3" ht="16.8" x14ac:dyDescent="0.3"/>
    <row r="14" spans="1:3" ht="16.8" x14ac:dyDescent="0.3"/>
    <row r="18" ht="16.8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8"/>
  <sheetViews>
    <sheetView topLeftCell="A10" zoomScale="49" workbookViewId="0">
      <selection activeCell="G1" sqref="G1:J1"/>
    </sheetView>
  </sheetViews>
  <sheetFormatPr defaultColWidth="12.6640625" defaultRowHeight="15.75" customHeight="1" x14ac:dyDescent="0.3"/>
  <cols>
    <col min="1" max="1" width="60" style="1" bestFit="1" customWidth="1"/>
    <col min="2" max="16384" width="12.6640625" style="1"/>
  </cols>
  <sheetData>
    <row r="1" spans="1:10" ht="15.75" customHeight="1" x14ac:dyDescent="0.3">
      <c r="A1" s="74" t="s">
        <v>152</v>
      </c>
      <c r="B1" s="75"/>
      <c r="C1" s="75"/>
      <c r="D1" s="75"/>
      <c r="E1" s="75"/>
      <c r="F1" s="75"/>
      <c r="G1" s="76" t="s">
        <v>155</v>
      </c>
      <c r="H1" s="77"/>
      <c r="I1" s="77"/>
      <c r="J1" s="77"/>
    </row>
    <row r="2" spans="1:10" ht="15.75" customHeight="1" x14ac:dyDescent="0.3">
      <c r="A2" s="2" t="s">
        <v>0</v>
      </c>
      <c r="B2" s="3">
        <v>45370</v>
      </c>
      <c r="C2" s="3">
        <v>45371</v>
      </c>
      <c r="D2" s="3">
        <v>45372</v>
      </c>
      <c r="E2" s="3">
        <v>45373</v>
      </c>
      <c r="F2" s="3">
        <v>45374</v>
      </c>
      <c r="G2" s="4">
        <v>45375</v>
      </c>
      <c r="H2" s="5">
        <v>45376</v>
      </c>
      <c r="I2" s="5">
        <v>45377</v>
      </c>
      <c r="J2" s="5">
        <v>45378</v>
      </c>
    </row>
    <row r="3" spans="1:10" ht="15.75" customHeight="1" x14ac:dyDescent="0.3">
      <c r="A3" s="6" t="s">
        <v>1</v>
      </c>
      <c r="B3" s="7"/>
      <c r="C3" s="7"/>
      <c r="D3" s="7"/>
      <c r="E3" s="7"/>
      <c r="F3" s="7"/>
      <c r="G3" s="17"/>
      <c r="H3" s="18"/>
      <c r="I3" s="18"/>
      <c r="J3" s="18"/>
    </row>
    <row r="4" spans="1:10" ht="16.8" x14ac:dyDescent="0.3">
      <c r="A4" s="10" t="s">
        <v>2</v>
      </c>
      <c r="B4" s="11">
        <v>18625.740000000002</v>
      </c>
      <c r="C4" s="11">
        <v>19632.919999999998</v>
      </c>
      <c r="D4" s="11">
        <v>19153.939999999999</v>
      </c>
      <c r="E4" s="11">
        <v>20207.43</v>
      </c>
      <c r="F4" s="11">
        <v>21117.08</v>
      </c>
      <c r="G4" s="17">
        <f>F4/Assumptions!C15</f>
        <v>26396.350000000002</v>
      </c>
      <c r="H4" s="18">
        <f>G4/Assumptions!D15</f>
        <v>32995.4375</v>
      </c>
      <c r="I4" s="18">
        <f>H4/Assumptions!E15</f>
        <v>41244.296875</v>
      </c>
      <c r="J4" s="18">
        <f>I4/Assumptions!F15</f>
        <v>51555.37109375</v>
      </c>
    </row>
    <row r="5" spans="1:10" ht="16.8" x14ac:dyDescent="0.3">
      <c r="A5" s="10" t="s">
        <v>3</v>
      </c>
      <c r="B5" s="12">
        <v>4126.18</v>
      </c>
      <c r="C5" s="12">
        <v>3251.61</v>
      </c>
      <c r="D5" s="12">
        <v>4004.45</v>
      </c>
      <c r="E5" s="12">
        <v>3198.45</v>
      </c>
      <c r="F5" s="12">
        <v>2984.71</v>
      </c>
      <c r="G5" s="17">
        <f t="shared" ref="G5:J5" si="0">F5</f>
        <v>2984.71</v>
      </c>
      <c r="H5" s="18">
        <f t="shared" si="0"/>
        <v>2984.71</v>
      </c>
      <c r="I5" s="18">
        <f t="shared" si="0"/>
        <v>2984.71</v>
      </c>
      <c r="J5" s="18">
        <f t="shared" si="0"/>
        <v>2984.71</v>
      </c>
    </row>
    <row r="6" spans="1:10" ht="16.8" x14ac:dyDescent="0.3">
      <c r="A6" s="10" t="s">
        <v>4</v>
      </c>
      <c r="B6" s="12">
        <v>545.91999999999996</v>
      </c>
      <c r="C6" s="12">
        <v>525.37</v>
      </c>
      <c r="D6" s="12">
        <v>2588.2600000000002</v>
      </c>
      <c r="E6" s="12">
        <v>2792.83</v>
      </c>
      <c r="F6" s="12">
        <v>1235</v>
      </c>
      <c r="G6" s="36">
        <f t="shared" ref="G6:J6" si="1">F6</f>
        <v>1235</v>
      </c>
      <c r="H6" s="37">
        <f t="shared" si="1"/>
        <v>1235</v>
      </c>
      <c r="I6" s="37">
        <f t="shared" si="1"/>
        <v>1235</v>
      </c>
      <c r="J6" s="37">
        <f t="shared" si="1"/>
        <v>1235</v>
      </c>
    </row>
    <row r="7" spans="1:10" ht="16.8" x14ac:dyDescent="0.3">
      <c r="A7" s="10" t="s">
        <v>5</v>
      </c>
      <c r="B7" s="12">
        <v>10.24</v>
      </c>
      <c r="C7" s="12">
        <v>4.8499999999999996</v>
      </c>
      <c r="D7" s="12">
        <v>6.84</v>
      </c>
      <c r="E7" s="12">
        <v>27.09</v>
      </c>
      <c r="F7" s="12">
        <v>35</v>
      </c>
      <c r="G7" s="36">
        <f t="shared" ref="G7:J7" si="2">F7</f>
        <v>35</v>
      </c>
      <c r="H7" s="37">
        <f t="shared" si="2"/>
        <v>35</v>
      </c>
      <c r="I7" s="37">
        <f t="shared" si="2"/>
        <v>35</v>
      </c>
      <c r="J7" s="37">
        <f t="shared" si="2"/>
        <v>35</v>
      </c>
    </row>
    <row r="8" spans="1:10" ht="15.75" customHeight="1" x14ac:dyDescent="0.3">
      <c r="A8" s="6" t="s">
        <v>6</v>
      </c>
      <c r="B8" s="7"/>
      <c r="C8" s="7"/>
      <c r="D8" s="7"/>
      <c r="E8" s="7"/>
      <c r="F8" s="7"/>
      <c r="G8" s="17"/>
      <c r="H8" s="18"/>
      <c r="I8" s="18"/>
      <c r="J8" s="18"/>
    </row>
    <row r="9" spans="1:10" ht="16.8" x14ac:dyDescent="0.3">
      <c r="A9" s="10" t="s">
        <v>7</v>
      </c>
      <c r="B9" s="12">
        <v>0</v>
      </c>
      <c r="C9" s="12">
        <v>385.36</v>
      </c>
      <c r="D9" s="12">
        <v>376.56</v>
      </c>
      <c r="E9" s="12">
        <v>364.2</v>
      </c>
      <c r="F9" s="12">
        <v>352.26</v>
      </c>
      <c r="G9" s="17">
        <f t="shared" ref="G9:J9" si="3">F9</f>
        <v>352.26</v>
      </c>
      <c r="H9" s="18">
        <f t="shared" si="3"/>
        <v>352.26</v>
      </c>
      <c r="I9" s="18">
        <f t="shared" si="3"/>
        <v>352.26</v>
      </c>
      <c r="J9" s="18">
        <f t="shared" si="3"/>
        <v>352.26</v>
      </c>
    </row>
    <row r="10" spans="1:10" ht="16.8" x14ac:dyDescent="0.3">
      <c r="A10" s="10" t="s">
        <v>8</v>
      </c>
      <c r="B10" s="12">
        <v>279.12</v>
      </c>
      <c r="C10" s="12">
        <v>188.27</v>
      </c>
      <c r="D10" s="12">
        <v>262.55</v>
      </c>
      <c r="E10" s="12">
        <v>269.24</v>
      </c>
      <c r="F10" s="12">
        <v>337.59</v>
      </c>
      <c r="G10" s="17">
        <f t="shared" ref="G10:J10" si="4">F10</f>
        <v>337.59</v>
      </c>
      <c r="H10" s="18">
        <f t="shared" si="4"/>
        <v>337.59</v>
      </c>
      <c r="I10" s="18">
        <f t="shared" si="4"/>
        <v>337.59</v>
      </c>
      <c r="J10" s="18">
        <f t="shared" si="4"/>
        <v>337.59</v>
      </c>
    </row>
    <row r="11" spans="1:10" ht="16.8" x14ac:dyDescent="0.3">
      <c r="A11" s="10" t="s">
        <v>9</v>
      </c>
      <c r="B11" s="7"/>
      <c r="C11" s="7"/>
      <c r="D11" s="7"/>
      <c r="E11" s="7"/>
      <c r="F11" s="7"/>
      <c r="G11" s="17"/>
      <c r="H11" s="18"/>
      <c r="I11" s="18"/>
      <c r="J11" s="18"/>
    </row>
    <row r="12" spans="1:10" ht="16.8" x14ac:dyDescent="0.3">
      <c r="A12" s="10" t="s">
        <v>10</v>
      </c>
      <c r="B12" s="12">
        <v>11416.87</v>
      </c>
      <c r="C12" s="12">
        <v>10526.75</v>
      </c>
      <c r="D12" s="12">
        <v>9761.99</v>
      </c>
      <c r="E12" s="12">
        <v>12307.49</v>
      </c>
      <c r="F12" s="12">
        <v>13845</v>
      </c>
      <c r="G12" s="17">
        <f t="shared" ref="G12:J12" si="5">F12</f>
        <v>13845</v>
      </c>
      <c r="H12" s="18">
        <f t="shared" si="5"/>
        <v>13845</v>
      </c>
      <c r="I12" s="18">
        <f t="shared" si="5"/>
        <v>13845</v>
      </c>
      <c r="J12" s="18">
        <f t="shared" si="5"/>
        <v>13845</v>
      </c>
    </row>
    <row r="13" spans="1:10" ht="16.8" x14ac:dyDescent="0.3">
      <c r="A13" s="10" t="s">
        <v>11</v>
      </c>
      <c r="B13" s="12">
        <v>8.34</v>
      </c>
      <c r="C13" s="12">
        <v>5.27</v>
      </c>
      <c r="D13" s="12">
        <v>4.07</v>
      </c>
      <c r="E13" s="12">
        <v>6.61</v>
      </c>
      <c r="F13" s="12">
        <v>5.48</v>
      </c>
      <c r="G13" s="17">
        <f t="shared" ref="G13:J13" si="6">F13</f>
        <v>5.48</v>
      </c>
      <c r="H13" s="18">
        <f t="shared" si="6"/>
        <v>5.48</v>
      </c>
      <c r="I13" s="18">
        <f t="shared" si="6"/>
        <v>5.48</v>
      </c>
      <c r="J13" s="18">
        <f t="shared" si="6"/>
        <v>5.48</v>
      </c>
    </row>
    <row r="14" spans="1:10" ht="16.8" x14ac:dyDescent="0.3">
      <c r="A14" s="10" t="s">
        <v>12</v>
      </c>
      <c r="B14" s="12">
        <v>2385.17</v>
      </c>
      <c r="C14" s="12">
        <v>615.65</v>
      </c>
      <c r="D14" s="12">
        <v>101.87</v>
      </c>
      <c r="E14" s="12">
        <v>1589.58</v>
      </c>
      <c r="F14" s="12">
        <v>3739.75</v>
      </c>
      <c r="G14" s="17">
        <f t="shared" ref="G14:J14" si="7">F14</f>
        <v>3739.75</v>
      </c>
      <c r="H14" s="18">
        <f t="shared" si="7"/>
        <v>3739.75</v>
      </c>
      <c r="I14" s="18">
        <f t="shared" si="7"/>
        <v>3739.75</v>
      </c>
      <c r="J14" s="18">
        <f t="shared" si="7"/>
        <v>3739.75</v>
      </c>
    </row>
    <row r="15" spans="1:10" ht="16.8" x14ac:dyDescent="0.3">
      <c r="A15" s="10" t="s">
        <v>13</v>
      </c>
      <c r="B15" s="12">
        <v>28.53</v>
      </c>
      <c r="C15" s="12">
        <v>38.42</v>
      </c>
      <c r="D15" s="12">
        <v>33.04</v>
      </c>
      <c r="E15" s="12">
        <v>42.3</v>
      </c>
      <c r="F15" s="12">
        <v>66.16</v>
      </c>
      <c r="G15" s="17">
        <f t="shared" ref="G15:J15" si="8">F15</f>
        <v>66.16</v>
      </c>
      <c r="H15" s="18">
        <f t="shared" si="8"/>
        <v>66.16</v>
      </c>
      <c r="I15" s="18">
        <f t="shared" si="8"/>
        <v>66.16</v>
      </c>
      <c r="J15" s="18">
        <f t="shared" si="8"/>
        <v>66.16</v>
      </c>
    </row>
    <row r="16" spans="1:10" ht="16.8" x14ac:dyDescent="0.3">
      <c r="A16" s="10" t="s">
        <v>14</v>
      </c>
      <c r="B16" s="12">
        <v>2363.13</v>
      </c>
      <c r="C16" s="12">
        <v>1461.24</v>
      </c>
      <c r="D16" s="12">
        <v>1295.48</v>
      </c>
      <c r="E16" s="12">
        <v>1291.22</v>
      </c>
      <c r="F16" s="12">
        <v>1311.95</v>
      </c>
      <c r="G16" s="17">
        <f t="shared" ref="G16:J16" si="9">F16</f>
        <v>1311.95</v>
      </c>
      <c r="H16" s="18">
        <f t="shared" si="9"/>
        <v>1311.95</v>
      </c>
      <c r="I16" s="18">
        <f t="shared" si="9"/>
        <v>1311.95</v>
      </c>
      <c r="J16" s="18">
        <f t="shared" si="9"/>
        <v>1311.95</v>
      </c>
    </row>
    <row r="17" spans="1:10" ht="16.8" x14ac:dyDescent="0.3">
      <c r="A17" s="10" t="s">
        <v>15</v>
      </c>
      <c r="B17" s="12">
        <v>346.31</v>
      </c>
      <c r="C17" s="12">
        <v>1044.31</v>
      </c>
      <c r="D17" s="12">
        <v>1087.3</v>
      </c>
      <c r="E17" s="12">
        <v>796.25</v>
      </c>
      <c r="F17" s="12">
        <v>802.64</v>
      </c>
      <c r="G17" s="17">
        <f t="shared" ref="G17:J17" si="10">F17</f>
        <v>802.64</v>
      </c>
      <c r="H17" s="18">
        <f t="shared" si="10"/>
        <v>802.64</v>
      </c>
      <c r="I17" s="18">
        <f t="shared" si="10"/>
        <v>802.64</v>
      </c>
      <c r="J17" s="18">
        <f t="shared" si="10"/>
        <v>802.64</v>
      </c>
    </row>
    <row r="18" spans="1:10" ht="15.75" customHeight="1" x14ac:dyDescent="0.3">
      <c r="A18" s="13" t="s">
        <v>16</v>
      </c>
      <c r="B18" s="14">
        <f t="shared" ref="B18:J18" si="11">SUM(B4:B17)</f>
        <v>40135.549999999988</v>
      </c>
      <c r="C18" s="14">
        <f t="shared" si="11"/>
        <v>37680.01999999999</v>
      </c>
      <c r="D18" s="14">
        <f t="shared" si="11"/>
        <v>38676.350000000013</v>
      </c>
      <c r="E18" s="14">
        <f t="shared" si="11"/>
        <v>42892.69000000001</v>
      </c>
      <c r="F18" s="14">
        <f t="shared" si="11"/>
        <v>45832.62</v>
      </c>
      <c r="G18" s="15">
        <f t="shared" si="11"/>
        <v>51111.890000000007</v>
      </c>
      <c r="H18" s="16">
        <f t="shared" si="11"/>
        <v>57710.977500000001</v>
      </c>
      <c r="I18" s="16">
        <f t="shared" si="11"/>
        <v>65959.836875000008</v>
      </c>
      <c r="J18" s="16">
        <f t="shared" si="11"/>
        <v>76270.911093749994</v>
      </c>
    </row>
    <row r="19" spans="1:10" ht="15.75" customHeight="1" x14ac:dyDescent="0.3">
      <c r="A19" s="6" t="s">
        <v>17</v>
      </c>
      <c r="B19" s="7"/>
      <c r="C19" s="7"/>
      <c r="D19" s="7"/>
      <c r="E19" s="7"/>
      <c r="F19" s="7"/>
      <c r="G19" s="17"/>
      <c r="H19" s="18"/>
      <c r="I19" s="18"/>
      <c r="J19" s="18"/>
    </row>
    <row r="20" spans="1:10" ht="16.8" x14ac:dyDescent="0.3">
      <c r="A20" s="10" t="s">
        <v>18</v>
      </c>
      <c r="B20" s="12">
        <v>7859.56</v>
      </c>
      <c r="C20" s="12">
        <v>8879.33</v>
      </c>
      <c r="D20" s="12">
        <v>10397.16</v>
      </c>
      <c r="E20" s="12">
        <v>10864.15</v>
      </c>
      <c r="F20" s="12">
        <v>11771.16</v>
      </c>
      <c r="G20" s="17">
        <f>('Profit and Loss Statement'!G5+'Profit and Loss Statement'!F6)/365*Assumptions!C12</f>
        <v>7738.4393994520551</v>
      </c>
      <c r="H20" s="18">
        <f>('Profit and Loss Statement'!H5+'Profit and Loss Statement'!G6)/365*Assumptions!D12</f>
        <v>8135.6054528000022</v>
      </c>
      <c r="I20" s="18">
        <f>('Profit and Loss Statement'!I5+'Profit and Loss Statement'!H6)/365*Assumptions!E12</f>
        <v>9806.1907368749598</v>
      </c>
      <c r="J20" s="18">
        <f>('Profit and Loss Statement'!J5+'Profit and Loss Statement'!I6)/365*Assumptions!F12</f>
        <v>11524.497476496344</v>
      </c>
    </row>
    <row r="21" spans="1:10" ht="16.8" x14ac:dyDescent="0.3">
      <c r="A21" s="10" t="s">
        <v>9</v>
      </c>
      <c r="B21" s="7"/>
      <c r="C21" s="7"/>
      <c r="D21" s="7"/>
      <c r="E21" s="7"/>
      <c r="F21" s="7"/>
      <c r="G21" s="17"/>
      <c r="H21" s="18"/>
      <c r="I21" s="18"/>
      <c r="J21" s="18"/>
    </row>
    <row r="22" spans="1:10" ht="16.8" x14ac:dyDescent="0.3">
      <c r="A22" s="10" t="s">
        <v>19</v>
      </c>
      <c r="B22" s="12">
        <v>13347.5</v>
      </c>
      <c r="C22" s="12">
        <v>17948.330000000002</v>
      </c>
      <c r="D22" s="12">
        <v>14846.33</v>
      </c>
      <c r="E22" s="12">
        <v>12264.28</v>
      </c>
      <c r="F22" s="12">
        <v>20232</v>
      </c>
      <c r="G22" s="17">
        <f t="shared" ref="G22:J22" si="12">F22</f>
        <v>20232</v>
      </c>
      <c r="H22" s="18">
        <f t="shared" si="12"/>
        <v>20232</v>
      </c>
      <c r="I22" s="18">
        <f t="shared" si="12"/>
        <v>20232</v>
      </c>
      <c r="J22" s="18">
        <f t="shared" si="12"/>
        <v>20232</v>
      </c>
    </row>
    <row r="23" spans="1:10" ht="16.8" x14ac:dyDescent="0.3">
      <c r="A23" s="10" t="s">
        <v>20</v>
      </c>
      <c r="B23" s="12">
        <v>4035.28</v>
      </c>
      <c r="C23" s="12">
        <v>2562.48</v>
      </c>
      <c r="D23" s="12">
        <v>2501.6999999999998</v>
      </c>
      <c r="E23" s="12">
        <v>2461.9</v>
      </c>
      <c r="F23" s="12">
        <v>2956.17</v>
      </c>
      <c r="G23" s="17">
        <f>'Profit and Loss Statement'!G3/365*Assumptions!C11</f>
        <v>3265.0385753424662</v>
      </c>
      <c r="H23" s="18">
        <f>'Profit and Loss Statement'!H3/365*Assumptions!D11</f>
        <v>3656.8432043835624</v>
      </c>
      <c r="I23" s="18">
        <f>'Profit and Loss Statement'!I3/365*Assumptions!E11</f>
        <v>4241.9381170849319</v>
      </c>
      <c r="J23" s="18">
        <f>'Profit and Loss Statement'!J3/365*Assumptions!F11</f>
        <v>5005.4869781602201</v>
      </c>
    </row>
    <row r="24" spans="1:10" ht="16.8" x14ac:dyDescent="0.3">
      <c r="A24" s="10" t="s">
        <v>21</v>
      </c>
      <c r="B24" s="12">
        <v>317.81</v>
      </c>
      <c r="C24" s="12">
        <v>650.35</v>
      </c>
      <c r="D24" s="12">
        <v>290.42</v>
      </c>
      <c r="E24" s="12">
        <v>271.37</v>
      </c>
      <c r="F24" s="12">
        <v>463.35</v>
      </c>
      <c r="G24" s="17">
        <f>'Cash Flow Statement'!B11</f>
        <v>14168.354344283915</v>
      </c>
      <c r="H24" s="18">
        <f>'Cash Flow Statement'!C11</f>
        <v>26661.144875836406</v>
      </c>
      <c r="I24" s="18">
        <f>'Cash Flow Statement'!D11</f>
        <v>37433.754174428243</v>
      </c>
      <c r="J24" s="18">
        <f>'Cash Flow Statement'!E11</f>
        <v>49350.570668069544</v>
      </c>
    </row>
    <row r="25" spans="1:10" ht="16.8" x14ac:dyDescent="0.3">
      <c r="A25" s="10" t="s">
        <v>22</v>
      </c>
      <c r="B25" s="12">
        <v>3834.22</v>
      </c>
      <c r="C25" s="12">
        <v>6626.99</v>
      </c>
      <c r="D25" s="12">
        <v>4368.6000000000004</v>
      </c>
      <c r="E25" s="12">
        <v>4383.05</v>
      </c>
      <c r="F25" s="12">
        <v>4416.84</v>
      </c>
      <c r="G25" s="17">
        <f t="shared" ref="G25:J25" si="13">F25</f>
        <v>4416.84</v>
      </c>
      <c r="H25" s="18">
        <f t="shared" si="13"/>
        <v>4416.84</v>
      </c>
      <c r="I25" s="18">
        <f t="shared" si="13"/>
        <v>4416.84</v>
      </c>
      <c r="J25" s="18">
        <f t="shared" si="13"/>
        <v>4416.84</v>
      </c>
    </row>
    <row r="26" spans="1:10" ht="16.8" x14ac:dyDescent="0.3">
      <c r="A26" s="10" t="s">
        <v>23</v>
      </c>
      <c r="B26" s="12">
        <v>6.75</v>
      </c>
      <c r="C26" s="12">
        <v>6.33</v>
      </c>
      <c r="D26" s="12">
        <v>3.47</v>
      </c>
      <c r="E26" s="12">
        <v>6.77</v>
      </c>
      <c r="F26" s="12">
        <v>9</v>
      </c>
      <c r="G26" s="17">
        <f t="shared" ref="G26:J26" si="14">F26</f>
        <v>9</v>
      </c>
      <c r="H26" s="18">
        <f t="shared" si="14"/>
        <v>9</v>
      </c>
      <c r="I26" s="18">
        <f t="shared" si="14"/>
        <v>9</v>
      </c>
      <c r="J26" s="18">
        <f t="shared" si="14"/>
        <v>9</v>
      </c>
    </row>
    <row r="27" spans="1:10" ht="16.8" x14ac:dyDescent="0.3">
      <c r="A27" s="10" t="s">
        <v>24</v>
      </c>
      <c r="B27" s="12">
        <v>1499.68</v>
      </c>
      <c r="C27" s="12">
        <v>1818.54</v>
      </c>
      <c r="D27" s="12">
        <v>1379.02</v>
      </c>
      <c r="E27" s="12">
        <v>2565.41</v>
      </c>
      <c r="F27" s="12">
        <v>2675</v>
      </c>
      <c r="G27" s="17">
        <f t="shared" ref="G27:J27" si="15">F27</f>
        <v>2675</v>
      </c>
      <c r="H27" s="18">
        <f t="shared" si="15"/>
        <v>2675</v>
      </c>
      <c r="I27" s="18">
        <f t="shared" si="15"/>
        <v>2675</v>
      </c>
      <c r="J27" s="18">
        <f t="shared" si="15"/>
        <v>2675</v>
      </c>
    </row>
    <row r="28" spans="1:10" ht="16.8" x14ac:dyDescent="0.3">
      <c r="A28" s="10" t="s">
        <v>25</v>
      </c>
      <c r="B28" s="12">
        <v>762.06</v>
      </c>
      <c r="C28" s="12">
        <v>926.8</v>
      </c>
      <c r="D28" s="12">
        <v>1095.23</v>
      </c>
      <c r="E28" s="12">
        <v>1306.08</v>
      </c>
      <c r="F28" s="12">
        <v>1561.75</v>
      </c>
      <c r="G28" s="17">
        <f>'Profit and Loss Statement'!G3/365*Assumptions!C13</f>
        <v>3265.0385753424662</v>
      </c>
      <c r="H28" s="18">
        <f>'Profit and Loss Statement'!H3/365*Assumptions!D13</f>
        <v>3656.8432043835624</v>
      </c>
      <c r="I28" s="18">
        <f>'Profit and Loss Statement'!I3/365*Assumptions!E13</f>
        <v>4241.9381170849319</v>
      </c>
      <c r="J28" s="18">
        <f>'Profit and Loss Statement'!J3/365*Assumptions!F13</f>
        <v>5005.4869781602201</v>
      </c>
    </row>
    <row r="29" spans="1:10" ht="16.8" x14ac:dyDescent="0.3">
      <c r="A29" s="13" t="s">
        <v>26</v>
      </c>
      <c r="B29" s="14">
        <f t="shared" ref="B29:J29" si="16">SUM(B20:B28)</f>
        <v>31662.860000000004</v>
      </c>
      <c r="C29" s="14">
        <f t="shared" si="16"/>
        <v>39419.150000000009</v>
      </c>
      <c r="D29" s="14">
        <f t="shared" si="16"/>
        <v>34881.93</v>
      </c>
      <c r="E29" s="14">
        <f t="shared" si="16"/>
        <v>34123.01</v>
      </c>
      <c r="F29" s="14">
        <f t="shared" si="16"/>
        <v>44085.270000000004</v>
      </c>
      <c r="G29" s="15">
        <f t="shared" si="16"/>
        <v>55769.710894420903</v>
      </c>
      <c r="H29" s="16">
        <f t="shared" si="16"/>
        <v>69443.276737403532</v>
      </c>
      <c r="I29" s="16">
        <f t="shared" si="16"/>
        <v>83056.661145473074</v>
      </c>
      <c r="J29" s="16">
        <f t="shared" si="16"/>
        <v>98218.882100886316</v>
      </c>
    </row>
    <row r="30" spans="1:10" ht="16.8" x14ac:dyDescent="0.3">
      <c r="A30" s="13" t="s">
        <v>27</v>
      </c>
      <c r="B30" s="14">
        <f t="shared" ref="B30:J30" si="17">B29+B18</f>
        <v>71798.409999999989</v>
      </c>
      <c r="C30" s="14">
        <f t="shared" si="17"/>
        <v>77099.17</v>
      </c>
      <c r="D30" s="14">
        <f t="shared" si="17"/>
        <v>73558.280000000013</v>
      </c>
      <c r="E30" s="14">
        <f t="shared" si="17"/>
        <v>77015.700000000012</v>
      </c>
      <c r="F30" s="14">
        <f t="shared" si="17"/>
        <v>89917.890000000014</v>
      </c>
      <c r="G30" s="15">
        <f t="shared" si="17"/>
        <v>106881.6008944209</v>
      </c>
      <c r="H30" s="16">
        <f t="shared" si="17"/>
        <v>127154.25423740354</v>
      </c>
      <c r="I30" s="16">
        <f t="shared" si="17"/>
        <v>149016.49802047308</v>
      </c>
      <c r="J30" s="16">
        <f t="shared" si="17"/>
        <v>174489.7931946363</v>
      </c>
    </row>
    <row r="31" spans="1:10" ht="16.8" x14ac:dyDescent="0.3">
      <c r="A31" s="6" t="s">
        <v>28</v>
      </c>
      <c r="B31" s="19"/>
      <c r="C31" s="19"/>
      <c r="D31" s="19"/>
      <c r="E31" s="19"/>
      <c r="F31" s="19"/>
      <c r="G31" s="17"/>
      <c r="H31" s="18"/>
      <c r="I31" s="18"/>
      <c r="J31" s="18"/>
    </row>
    <row r="32" spans="1:10" ht="16.8" x14ac:dyDescent="0.3">
      <c r="A32" s="10" t="s">
        <v>29</v>
      </c>
      <c r="B32" s="12">
        <v>1225.8599999999999</v>
      </c>
      <c r="C32" s="12">
        <v>1229.22</v>
      </c>
      <c r="D32" s="12">
        <v>1230.8800000000001</v>
      </c>
      <c r="E32" s="12">
        <v>1232.33</v>
      </c>
      <c r="F32" s="12">
        <v>1242.8</v>
      </c>
      <c r="G32" s="17">
        <f t="shared" ref="G32:J32" si="18">F32</f>
        <v>1242.8</v>
      </c>
      <c r="H32" s="18">
        <f t="shared" si="18"/>
        <v>1242.8</v>
      </c>
      <c r="I32" s="18">
        <f t="shared" si="18"/>
        <v>1242.8</v>
      </c>
      <c r="J32" s="18">
        <f t="shared" si="18"/>
        <v>1242.8</v>
      </c>
    </row>
    <row r="33" spans="1:10" ht="16.8" x14ac:dyDescent="0.3">
      <c r="A33" s="10" t="s">
        <v>30</v>
      </c>
      <c r="B33" s="12">
        <v>57915.01</v>
      </c>
      <c r="C33" s="12">
        <v>64044.04</v>
      </c>
      <c r="D33" s="12">
        <v>59116.46</v>
      </c>
      <c r="E33" s="12">
        <v>61223.24</v>
      </c>
      <c r="F33" s="12">
        <v>67037</v>
      </c>
      <c r="G33" s="17">
        <f>F33+'Profit and Loss Statement'!G19</f>
        <v>86742.223353759997</v>
      </c>
      <c r="H33" s="18">
        <f>G33+'Profit and Loss Statement'!H19</f>
        <v>105872.14523705488</v>
      </c>
      <c r="I33" s="18">
        <f>H33+'Profit and Loss Statement'!I19</f>
        <v>126111.19306219649</v>
      </c>
      <c r="J33" s="18">
        <f>I33+'Profit and Loss Statement'!J19</f>
        <v>149496.48417426128</v>
      </c>
    </row>
    <row r="34" spans="1:10" ht="16.8" x14ac:dyDescent="0.3">
      <c r="A34" s="6" t="s">
        <v>31</v>
      </c>
      <c r="B34" s="20">
        <f t="shared" ref="B34:J34" si="19">SUM(B32:B33)</f>
        <v>59140.87</v>
      </c>
      <c r="C34" s="20">
        <f t="shared" si="19"/>
        <v>65273.26</v>
      </c>
      <c r="D34" s="20">
        <f t="shared" si="19"/>
        <v>60347.34</v>
      </c>
      <c r="E34" s="20">
        <f t="shared" si="19"/>
        <v>62455.57</v>
      </c>
      <c r="F34" s="20">
        <f t="shared" si="19"/>
        <v>68279.8</v>
      </c>
      <c r="G34" s="21">
        <f t="shared" si="19"/>
        <v>87985.02335376</v>
      </c>
      <c r="H34" s="22">
        <f t="shared" si="19"/>
        <v>107114.94523705488</v>
      </c>
      <c r="I34" s="22">
        <f t="shared" si="19"/>
        <v>127353.99306219649</v>
      </c>
      <c r="J34" s="22">
        <f t="shared" si="19"/>
        <v>150739.28417426127</v>
      </c>
    </row>
    <row r="35" spans="1:10" ht="16.8" x14ac:dyDescent="0.3">
      <c r="A35" s="10" t="s">
        <v>32</v>
      </c>
      <c r="B35" s="12">
        <v>343.47</v>
      </c>
      <c r="C35" s="12">
        <v>377.47</v>
      </c>
      <c r="D35" s="12">
        <v>346.81</v>
      </c>
      <c r="E35" s="12">
        <v>366.3</v>
      </c>
      <c r="F35" s="12">
        <v>383.53</v>
      </c>
      <c r="G35" s="17">
        <f t="shared" ref="G35:J35" si="20">F35</f>
        <v>383.53</v>
      </c>
      <c r="H35" s="18">
        <f t="shared" si="20"/>
        <v>383.53</v>
      </c>
      <c r="I35" s="18">
        <f t="shared" si="20"/>
        <v>383.53</v>
      </c>
      <c r="J35" s="18">
        <f t="shared" si="20"/>
        <v>383.53</v>
      </c>
    </row>
    <row r="36" spans="1:10" ht="16.8" x14ac:dyDescent="0.3">
      <c r="A36" s="13" t="s">
        <v>33</v>
      </c>
      <c r="B36" s="23">
        <f t="shared" ref="B36:J36" si="21">B34+B35</f>
        <v>59484.340000000004</v>
      </c>
      <c r="C36" s="23">
        <f t="shared" si="21"/>
        <v>65650.73</v>
      </c>
      <c r="D36" s="23">
        <f t="shared" si="21"/>
        <v>60694.149999999994</v>
      </c>
      <c r="E36" s="23">
        <f t="shared" si="21"/>
        <v>62821.87</v>
      </c>
      <c r="F36" s="23">
        <f t="shared" si="21"/>
        <v>68663.33</v>
      </c>
      <c r="G36" s="24">
        <f t="shared" si="21"/>
        <v>88368.553353759999</v>
      </c>
      <c r="H36" s="25">
        <f t="shared" si="21"/>
        <v>107498.47523705488</v>
      </c>
      <c r="I36" s="25">
        <f t="shared" si="21"/>
        <v>127737.52306219649</v>
      </c>
      <c r="J36" s="25">
        <f t="shared" si="21"/>
        <v>151122.81417426126</v>
      </c>
    </row>
    <row r="37" spans="1:10" ht="16.8" x14ac:dyDescent="0.3">
      <c r="A37" s="6" t="s">
        <v>34</v>
      </c>
      <c r="B37" s="7"/>
      <c r="C37" s="7"/>
      <c r="D37" s="7"/>
      <c r="E37" s="7"/>
      <c r="F37" s="7"/>
      <c r="G37" s="17"/>
      <c r="H37" s="18"/>
      <c r="I37" s="18"/>
      <c r="J37" s="18"/>
    </row>
    <row r="38" spans="1:10" ht="16.8" x14ac:dyDescent="0.3">
      <c r="A38" s="10" t="s">
        <v>35</v>
      </c>
      <c r="B38" s="12">
        <v>8.15</v>
      </c>
      <c r="C38" s="12">
        <v>5.9</v>
      </c>
      <c r="D38" s="12">
        <v>5.58</v>
      </c>
      <c r="E38" s="12">
        <v>4.8499999999999996</v>
      </c>
      <c r="F38" s="12">
        <v>3.49</v>
      </c>
      <c r="G38" s="17">
        <f>G36*Assumptions!C18</f>
        <v>883.68553353760001</v>
      </c>
      <c r="H38" s="18">
        <f>H36*Assumptions!D18</f>
        <v>1074.9847523705489</v>
      </c>
      <c r="I38" s="18">
        <f>I36*Assumptions!E18</f>
        <v>1277.3752306219649</v>
      </c>
      <c r="J38" s="18">
        <f>J36*Assumptions!F18</f>
        <v>1511.2281417426127</v>
      </c>
    </row>
    <row r="39" spans="1:10" ht="16.8" x14ac:dyDescent="0.3">
      <c r="A39" s="10" t="s">
        <v>36</v>
      </c>
      <c r="B39" s="12">
        <v>73.41</v>
      </c>
      <c r="C39" s="12">
        <v>127.87</v>
      </c>
      <c r="D39" s="12">
        <v>283.5</v>
      </c>
      <c r="E39" s="12">
        <v>144.5</v>
      </c>
      <c r="F39" s="12">
        <v>421</v>
      </c>
      <c r="G39" s="17">
        <f t="shared" ref="G39:J39" si="22">F39</f>
        <v>421</v>
      </c>
      <c r="H39" s="18">
        <f t="shared" si="22"/>
        <v>421</v>
      </c>
      <c r="I39" s="18">
        <f t="shared" si="22"/>
        <v>421</v>
      </c>
      <c r="J39" s="18">
        <f t="shared" si="22"/>
        <v>421</v>
      </c>
    </row>
    <row r="40" spans="1:10" ht="16.8" x14ac:dyDescent="0.3">
      <c r="A40" s="10" t="s">
        <v>37</v>
      </c>
      <c r="B40" s="12">
        <v>161.94999999999999</v>
      </c>
      <c r="C40" s="12">
        <v>175.37</v>
      </c>
      <c r="D40" s="12">
        <v>187.5</v>
      </c>
      <c r="E40" s="12">
        <v>221.05</v>
      </c>
      <c r="F40" s="12">
        <v>429</v>
      </c>
      <c r="G40" s="17">
        <f t="shared" ref="G40:J40" si="23">F40</f>
        <v>429</v>
      </c>
      <c r="H40" s="18">
        <f t="shared" si="23"/>
        <v>429</v>
      </c>
      <c r="I40" s="18">
        <f t="shared" si="23"/>
        <v>429</v>
      </c>
      <c r="J40" s="18">
        <f t="shared" si="23"/>
        <v>429</v>
      </c>
    </row>
    <row r="41" spans="1:10" ht="16.8" x14ac:dyDescent="0.3">
      <c r="A41" s="10" t="s">
        <v>38</v>
      </c>
      <c r="B41" s="12">
        <v>2052.06</v>
      </c>
      <c r="C41" s="12">
        <v>1627.2</v>
      </c>
      <c r="D41" s="12">
        <v>1736.39</v>
      </c>
      <c r="E41" s="12">
        <v>1673.47</v>
      </c>
      <c r="F41" s="12">
        <v>1930</v>
      </c>
      <c r="G41" s="17">
        <f t="shared" ref="G41:J41" si="24">F41</f>
        <v>1930</v>
      </c>
      <c r="H41" s="18">
        <f t="shared" si="24"/>
        <v>1930</v>
      </c>
      <c r="I41" s="18">
        <f t="shared" si="24"/>
        <v>1930</v>
      </c>
      <c r="J41" s="18">
        <f t="shared" si="24"/>
        <v>1930</v>
      </c>
    </row>
    <row r="42" spans="1:10" ht="16.8" x14ac:dyDescent="0.3">
      <c r="A42" s="10" t="s">
        <v>39</v>
      </c>
      <c r="B42" s="12">
        <v>6.51</v>
      </c>
      <c r="C42" s="12">
        <v>16.2</v>
      </c>
      <c r="D42" s="12">
        <v>15.54</v>
      </c>
      <c r="E42" s="12">
        <v>36.43</v>
      </c>
      <c r="F42" s="12">
        <v>30</v>
      </c>
      <c r="G42" s="17">
        <f t="shared" ref="G42:J42" si="25">F42</f>
        <v>30</v>
      </c>
      <c r="H42" s="18">
        <f t="shared" si="25"/>
        <v>30</v>
      </c>
      <c r="I42" s="18">
        <f t="shared" si="25"/>
        <v>30</v>
      </c>
      <c r="J42" s="18">
        <f t="shared" si="25"/>
        <v>30</v>
      </c>
    </row>
    <row r="43" spans="1:10" ht="16.8" x14ac:dyDescent="0.3">
      <c r="A43" s="13" t="s">
        <v>40</v>
      </c>
      <c r="B43" s="14">
        <f t="shared" ref="B43:C43" si="26">SUM(B38:B42)</f>
        <v>2302.08</v>
      </c>
      <c r="C43" s="14">
        <f t="shared" si="26"/>
        <v>1952.5400000000002</v>
      </c>
      <c r="D43" s="26">
        <f>SUM(D37:D42)</f>
        <v>2228.5100000000002</v>
      </c>
      <c r="E43" s="14">
        <f t="shared" ref="E43:J43" si="27">SUM(E38:E42)</f>
        <v>2080.2999999999997</v>
      </c>
      <c r="F43" s="14">
        <f t="shared" si="27"/>
        <v>2813.49</v>
      </c>
      <c r="G43" s="15">
        <f t="shared" si="27"/>
        <v>3693.6855335375999</v>
      </c>
      <c r="H43" s="16">
        <f t="shared" si="27"/>
        <v>3884.9847523705489</v>
      </c>
      <c r="I43" s="16">
        <f t="shared" si="27"/>
        <v>4087.3752306219649</v>
      </c>
      <c r="J43" s="16">
        <f t="shared" si="27"/>
        <v>4321.2281417426129</v>
      </c>
    </row>
    <row r="44" spans="1:10" ht="16.8" x14ac:dyDescent="0.3">
      <c r="A44" s="6" t="s">
        <v>41</v>
      </c>
      <c r="B44" s="7"/>
      <c r="C44" s="7"/>
      <c r="D44" s="7"/>
      <c r="E44" s="7"/>
      <c r="F44" s="7"/>
      <c r="G44" s="17"/>
      <c r="H44" s="18"/>
      <c r="I44" s="18"/>
      <c r="J44" s="18"/>
    </row>
    <row r="45" spans="1:10" ht="16.8" x14ac:dyDescent="0.3">
      <c r="A45" s="10" t="s">
        <v>42</v>
      </c>
      <c r="B45" s="12">
        <v>1.86</v>
      </c>
      <c r="C45" s="12">
        <v>1.42</v>
      </c>
      <c r="D45" s="12">
        <v>3.88</v>
      </c>
      <c r="E45" s="12">
        <v>0.74</v>
      </c>
      <c r="F45" s="12">
        <v>35.32</v>
      </c>
      <c r="G45" s="17">
        <f>'Profit and Loss Statement'!G3*Assumptions!C23</f>
        <v>397.2463600000001</v>
      </c>
      <c r="H45" s="18">
        <f>'Profit and Loss Statement'!H3*Assumptions!D23</f>
        <v>444.91592320000012</v>
      </c>
      <c r="I45" s="18">
        <f>'Profit and Loss Statement'!I3*Assumptions!E23</f>
        <v>516.10247091200006</v>
      </c>
      <c r="J45" s="18">
        <f>'Profit and Loss Statement'!J3*Assumptions!F23</f>
        <v>609.00091567616005</v>
      </c>
    </row>
    <row r="46" spans="1:10" ht="16.8" x14ac:dyDescent="0.3">
      <c r="A46" s="10" t="s">
        <v>43</v>
      </c>
      <c r="B46" s="12">
        <v>3509.58</v>
      </c>
      <c r="C46" s="12">
        <v>3629.83</v>
      </c>
      <c r="D46" s="12">
        <v>4318.7299999999996</v>
      </c>
      <c r="E46" s="12">
        <v>4417.26</v>
      </c>
      <c r="F46" s="12">
        <f>4658.99+284</f>
        <v>4942.99</v>
      </c>
      <c r="G46" s="17">
        <f>'Profit and Loss Statement'!G3/365*Assumptions!C17</f>
        <v>4353.3847671232879</v>
      </c>
      <c r="H46" s="18">
        <f>'Profit and Loss Statement'!H3/365*Assumptions!D17</f>
        <v>4875.7909391780831</v>
      </c>
      <c r="I46" s="18">
        <f>'Profit and Loss Statement'!I3/365*Assumptions!E17</f>
        <v>5655.9174894465759</v>
      </c>
      <c r="J46" s="18">
        <f>'Profit and Loss Statement'!J3/365*Assumptions!F17</f>
        <v>6673.9826375469602</v>
      </c>
    </row>
    <row r="47" spans="1:10" ht="16.8" x14ac:dyDescent="0.3">
      <c r="A47" s="10" t="s">
        <v>44</v>
      </c>
      <c r="B47" s="12">
        <v>1187.1600000000001</v>
      </c>
      <c r="C47" s="12">
        <v>1394.88</v>
      </c>
      <c r="D47" s="12">
        <v>1491.85</v>
      </c>
      <c r="E47" s="12">
        <v>1812.85</v>
      </c>
      <c r="F47" s="12">
        <v>5824</v>
      </c>
      <c r="G47" s="17">
        <f t="shared" ref="G47:J47" si="28">F47</f>
        <v>5824</v>
      </c>
      <c r="H47" s="18">
        <f t="shared" si="28"/>
        <v>5824</v>
      </c>
      <c r="I47" s="18">
        <f t="shared" si="28"/>
        <v>5824</v>
      </c>
      <c r="J47" s="18">
        <f t="shared" si="28"/>
        <v>5824</v>
      </c>
    </row>
    <row r="48" spans="1:10" ht="16.8" x14ac:dyDescent="0.3">
      <c r="A48" s="10" t="s">
        <v>45</v>
      </c>
      <c r="B48" s="12">
        <v>423.69</v>
      </c>
      <c r="C48" s="12">
        <v>248.87</v>
      </c>
      <c r="D48" s="12">
        <v>332.75</v>
      </c>
      <c r="E48" s="12">
        <v>687.09</v>
      </c>
      <c r="F48" s="12">
        <v>927</v>
      </c>
      <c r="G48" s="17">
        <f t="shared" ref="G48:J48" si="29">F48</f>
        <v>927</v>
      </c>
      <c r="H48" s="18">
        <f t="shared" si="29"/>
        <v>927</v>
      </c>
      <c r="I48" s="18">
        <f t="shared" si="29"/>
        <v>927</v>
      </c>
      <c r="J48" s="18">
        <f t="shared" si="29"/>
        <v>927</v>
      </c>
    </row>
    <row r="49" spans="1:10" ht="16.8" x14ac:dyDescent="0.3">
      <c r="A49" s="10" t="s">
        <v>46</v>
      </c>
      <c r="B49" s="12">
        <v>51.38</v>
      </c>
      <c r="C49" s="12">
        <v>148.18</v>
      </c>
      <c r="D49" s="12">
        <v>194.01</v>
      </c>
      <c r="E49" s="12">
        <v>79.56</v>
      </c>
      <c r="F49" s="12">
        <v>140</v>
      </c>
      <c r="G49" s="17">
        <f t="shared" ref="G49:J49" si="30">F49</f>
        <v>140</v>
      </c>
      <c r="H49" s="18">
        <f t="shared" si="30"/>
        <v>140</v>
      </c>
      <c r="I49" s="18">
        <f t="shared" si="30"/>
        <v>140</v>
      </c>
      <c r="J49" s="18">
        <f t="shared" si="30"/>
        <v>140</v>
      </c>
    </row>
    <row r="50" spans="1:10" ht="16.8" x14ac:dyDescent="0.3">
      <c r="A50" s="10" t="s">
        <v>47</v>
      </c>
      <c r="B50" s="12">
        <v>4838.32</v>
      </c>
      <c r="C50" s="12">
        <v>4072.72</v>
      </c>
      <c r="D50" s="12">
        <v>4294.3999999999996</v>
      </c>
      <c r="E50" s="12">
        <v>5116.03</v>
      </c>
      <c r="F50" s="12">
        <v>6572</v>
      </c>
      <c r="G50" s="17">
        <f>'Profit and Loss Statement'!G3*Assumptions!C16</f>
        <v>3177.9708800000008</v>
      </c>
      <c r="H50" s="18">
        <f>'Profit and Loss Statement'!H3*Assumptions!D16</f>
        <v>3559.327385600001</v>
      </c>
      <c r="I50" s="18">
        <f>'Profit and Loss Statement'!I3*Assumptions!E16</f>
        <v>4128.8197672960005</v>
      </c>
      <c r="J50" s="18">
        <f>'Profit and Loss Statement'!J3*Assumptions!F16</f>
        <v>4872.0073254092804</v>
      </c>
    </row>
    <row r="51" spans="1:10" ht="16.8" x14ac:dyDescent="0.3">
      <c r="A51" s="6" t="s">
        <v>48</v>
      </c>
      <c r="B51" s="27">
        <f t="shared" ref="B51:J51" si="31">SUM(B45:B50)</f>
        <v>10011.99</v>
      </c>
      <c r="C51" s="27">
        <f t="shared" si="31"/>
        <v>9495.9</v>
      </c>
      <c r="D51" s="27">
        <f t="shared" si="31"/>
        <v>10635.619999999999</v>
      </c>
      <c r="E51" s="27">
        <f t="shared" si="31"/>
        <v>12113.53</v>
      </c>
      <c r="F51" s="27">
        <f t="shared" si="31"/>
        <v>18441.309999999998</v>
      </c>
      <c r="G51" s="28">
        <f t="shared" si="31"/>
        <v>14819.602007123289</v>
      </c>
      <c r="H51" s="29">
        <f t="shared" si="31"/>
        <v>15771.034247978085</v>
      </c>
      <c r="I51" s="29">
        <f t="shared" si="31"/>
        <v>17191.839727654577</v>
      </c>
      <c r="J51" s="29">
        <f t="shared" si="31"/>
        <v>19045.990878632401</v>
      </c>
    </row>
    <row r="52" spans="1:10" ht="16.8" x14ac:dyDescent="0.3">
      <c r="A52" s="13" t="s">
        <v>49</v>
      </c>
      <c r="B52" s="30">
        <f t="shared" ref="B52:J52" si="32">B36+B43+B51</f>
        <v>71798.41</v>
      </c>
      <c r="C52" s="30">
        <f t="shared" si="32"/>
        <v>77099.169999999984</v>
      </c>
      <c r="D52" s="30">
        <f t="shared" si="32"/>
        <v>73558.28</v>
      </c>
      <c r="E52" s="30">
        <f t="shared" si="32"/>
        <v>77015.700000000012</v>
      </c>
      <c r="F52" s="30">
        <f t="shared" si="32"/>
        <v>89918.13</v>
      </c>
      <c r="G52" s="31">
        <f t="shared" si="32"/>
        <v>106881.84089442089</v>
      </c>
      <c r="H52" s="32">
        <f t="shared" si="32"/>
        <v>127154.49423740352</v>
      </c>
      <c r="I52" s="32">
        <f t="shared" si="32"/>
        <v>149016.73802047304</v>
      </c>
      <c r="J52" s="32">
        <f t="shared" si="32"/>
        <v>174490.03319463629</v>
      </c>
    </row>
    <row r="53" spans="1:10" ht="16.8" x14ac:dyDescent="0.3">
      <c r="A53" s="33"/>
      <c r="B53" s="33"/>
      <c r="C53" s="33"/>
      <c r="D53" s="33"/>
      <c r="E53" s="33"/>
      <c r="F53" s="33"/>
      <c r="G53" s="8">
        <f t="shared" ref="G53:J53" si="33">G30-G52</f>
        <v>-0.23999999999068677</v>
      </c>
      <c r="H53" s="9">
        <f t="shared" si="33"/>
        <v>-0.23999999997613486</v>
      </c>
      <c r="I53" s="9">
        <f t="shared" si="33"/>
        <v>-0.23999999996158294</v>
      </c>
      <c r="J53" s="9">
        <f t="shared" si="33"/>
        <v>-0.23999999999068677</v>
      </c>
    </row>
    <row r="54" spans="1:10" ht="15.75" customHeight="1" x14ac:dyDescent="0.3">
      <c r="A54" s="33"/>
      <c r="B54" s="33"/>
      <c r="C54" s="33"/>
      <c r="D54" s="33"/>
      <c r="E54" s="33"/>
      <c r="F54" s="33"/>
      <c r="G54" s="34"/>
      <c r="H54" s="33"/>
      <c r="I54" s="33"/>
      <c r="J54" s="33"/>
    </row>
    <row r="55" spans="1:10" ht="15.75" customHeight="1" x14ac:dyDescent="0.3">
      <c r="A55" s="33"/>
      <c r="B55" s="33"/>
      <c r="C55" s="33"/>
      <c r="D55" s="33"/>
      <c r="E55" s="33"/>
      <c r="F55" s="33"/>
      <c r="G55" s="34"/>
      <c r="H55" s="33"/>
      <c r="I55" s="33"/>
      <c r="J55" s="33"/>
    </row>
    <row r="56" spans="1:10" ht="16.8" x14ac:dyDescent="0.3">
      <c r="A56" s="35" t="s">
        <v>50</v>
      </c>
      <c r="B56" s="19">
        <f t="shared" ref="B56:F56" si="34">B29-B24</f>
        <v>31345.050000000003</v>
      </c>
      <c r="C56" s="19">
        <f t="shared" si="34"/>
        <v>38768.80000000001</v>
      </c>
      <c r="D56" s="19">
        <f t="shared" si="34"/>
        <v>34591.51</v>
      </c>
      <c r="E56" s="19">
        <f t="shared" si="34"/>
        <v>33851.64</v>
      </c>
      <c r="F56" s="19">
        <f t="shared" si="34"/>
        <v>43621.920000000006</v>
      </c>
      <c r="G56" s="17">
        <f t="shared" ref="G56:J56" si="35">G20+G22+G23+G25+G26+G27+G28</f>
        <v>41601.356550136989</v>
      </c>
      <c r="H56" s="18">
        <f t="shared" si="35"/>
        <v>42782.131861567133</v>
      </c>
      <c r="I56" s="18">
        <f t="shared" si="35"/>
        <v>45622.906971044817</v>
      </c>
      <c r="J56" s="18">
        <f t="shared" si="35"/>
        <v>48868.311432816787</v>
      </c>
    </row>
    <row r="57" spans="1:10" ht="16.8" x14ac:dyDescent="0.3">
      <c r="A57" s="35" t="s">
        <v>51</v>
      </c>
      <c r="B57" s="19">
        <f t="shared" ref="B57:J57" si="36">B51</f>
        <v>10011.99</v>
      </c>
      <c r="C57" s="19">
        <f t="shared" si="36"/>
        <v>9495.9</v>
      </c>
      <c r="D57" s="19">
        <f t="shared" si="36"/>
        <v>10635.619999999999</v>
      </c>
      <c r="E57" s="19">
        <f t="shared" si="36"/>
        <v>12113.53</v>
      </c>
      <c r="F57" s="19">
        <f t="shared" si="36"/>
        <v>18441.309999999998</v>
      </c>
      <c r="G57" s="17">
        <f t="shared" si="36"/>
        <v>14819.602007123289</v>
      </c>
      <c r="H57" s="18">
        <f t="shared" si="36"/>
        <v>15771.034247978085</v>
      </c>
      <c r="I57" s="18">
        <f t="shared" si="36"/>
        <v>17191.839727654577</v>
      </c>
      <c r="J57" s="18">
        <f t="shared" si="36"/>
        <v>19045.990878632401</v>
      </c>
    </row>
    <row r="58" spans="1:10" ht="16.8" x14ac:dyDescent="0.3">
      <c r="A58" s="35" t="s">
        <v>52</v>
      </c>
      <c r="B58" s="19">
        <f t="shared" ref="B58:J58" si="37">B56-B57</f>
        <v>21333.060000000005</v>
      </c>
      <c r="C58" s="19">
        <f t="shared" si="37"/>
        <v>29272.900000000009</v>
      </c>
      <c r="D58" s="19">
        <f t="shared" si="37"/>
        <v>23955.890000000003</v>
      </c>
      <c r="E58" s="19">
        <f t="shared" si="37"/>
        <v>21738.11</v>
      </c>
      <c r="F58" s="19">
        <f t="shared" si="37"/>
        <v>25180.610000000008</v>
      </c>
      <c r="G58" s="17">
        <f t="shared" si="37"/>
        <v>26781.7545430137</v>
      </c>
      <c r="H58" s="18">
        <f t="shared" si="37"/>
        <v>27011.097613589049</v>
      </c>
      <c r="I58" s="18">
        <f t="shared" si="37"/>
        <v>28431.06724339024</v>
      </c>
      <c r="J58" s="18">
        <f t="shared" si="37"/>
        <v>29822.320554184385</v>
      </c>
    </row>
  </sheetData>
  <mergeCells count="2">
    <mergeCell ref="A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9"/>
  <sheetViews>
    <sheetView workbookViewId="0">
      <selection activeCell="A26" sqref="A26"/>
    </sheetView>
  </sheetViews>
  <sheetFormatPr defaultColWidth="12.6640625" defaultRowHeight="15.75" customHeight="1" x14ac:dyDescent="0.3"/>
  <cols>
    <col min="1" max="1" width="81.33203125" style="1" bestFit="1" customWidth="1"/>
    <col min="2" max="10" width="8.6640625" style="1" bestFit="1" customWidth="1"/>
    <col min="11" max="16384" width="12.6640625" style="1"/>
  </cols>
  <sheetData>
    <row r="1" spans="1:10" ht="15.75" customHeight="1" x14ac:dyDescent="0.3">
      <c r="A1" s="74" t="s">
        <v>153</v>
      </c>
      <c r="B1" s="75"/>
      <c r="C1" s="75"/>
      <c r="D1" s="75"/>
      <c r="E1" s="75"/>
      <c r="F1" s="75"/>
      <c r="G1" s="78" t="s">
        <v>155</v>
      </c>
      <c r="H1" s="79"/>
      <c r="I1" s="79"/>
      <c r="J1" s="80"/>
    </row>
    <row r="2" spans="1:10" ht="15.75" customHeight="1" x14ac:dyDescent="0.3">
      <c r="A2" s="2" t="s">
        <v>0</v>
      </c>
      <c r="B2" s="3">
        <v>45370</v>
      </c>
      <c r="C2" s="3">
        <v>45371</v>
      </c>
      <c r="D2" s="3">
        <v>45372</v>
      </c>
      <c r="E2" s="3">
        <v>45373</v>
      </c>
      <c r="F2" s="3">
        <v>45374</v>
      </c>
      <c r="G2" s="5">
        <v>45375</v>
      </c>
      <c r="H2" s="5">
        <v>45376</v>
      </c>
      <c r="I2" s="5">
        <v>45377</v>
      </c>
      <c r="J2" s="5">
        <v>45378</v>
      </c>
    </row>
    <row r="3" spans="1:10" ht="15.75" customHeight="1" x14ac:dyDescent="0.3">
      <c r="A3" s="6" t="s">
        <v>53</v>
      </c>
      <c r="B3" s="42">
        <v>48352.68</v>
      </c>
      <c r="C3" s="42">
        <v>49404.05</v>
      </c>
      <c r="D3" s="42">
        <v>49272.78</v>
      </c>
      <c r="E3" s="42">
        <v>60668.09</v>
      </c>
      <c r="F3" s="42">
        <v>70936.850000000006</v>
      </c>
      <c r="G3" s="37">
        <f>F3*(1+Assumptions!C2)</f>
        <v>79449.272000000012</v>
      </c>
      <c r="H3" s="37">
        <f>G3*(1+Assumptions!D2)</f>
        <v>88983.184640000021</v>
      </c>
      <c r="I3" s="37">
        <f>H3*(1+Assumptions!E2)</f>
        <v>103220.49418240001</v>
      </c>
      <c r="J3" s="37">
        <f>I3*(1+Assumptions!F2)</f>
        <v>121800.18313523202</v>
      </c>
    </row>
    <row r="4" spans="1:10" ht="15.75" customHeight="1" x14ac:dyDescent="0.3">
      <c r="A4" s="6" t="s">
        <v>54</v>
      </c>
      <c r="B4" s="43"/>
      <c r="C4" s="43"/>
      <c r="D4" s="43"/>
      <c r="E4" s="43"/>
      <c r="F4" s="43"/>
      <c r="G4" s="37"/>
      <c r="H4" s="37"/>
      <c r="I4" s="37"/>
      <c r="J4" s="37"/>
    </row>
    <row r="5" spans="1:10" ht="15.75" customHeight="1" x14ac:dyDescent="0.3">
      <c r="A5" s="10" t="s">
        <v>55</v>
      </c>
      <c r="B5" s="44">
        <v>13403.01</v>
      </c>
      <c r="C5" s="44">
        <v>13810.7</v>
      </c>
      <c r="D5" s="44">
        <v>13939.84</v>
      </c>
      <c r="E5" s="44">
        <v>16399.939999999999</v>
      </c>
      <c r="F5" s="44">
        <v>20275.990000000002</v>
      </c>
      <c r="G5" s="37">
        <f>G3*Assumptions!C3</f>
        <v>26218.259760000004</v>
      </c>
      <c r="H5" s="37">
        <f>H3*Assumptions!D3</f>
        <v>27584.787238400007</v>
      </c>
      <c r="I5" s="37">
        <f>I3*Assumptions!E3</f>
        <v>34062.763080192002</v>
      </c>
      <c r="J5" s="37">
        <f>J3*Assumptions!F3</f>
        <v>40194.060434626568</v>
      </c>
    </row>
    <row r="6" spans="1:10" ht="15.75" customHeight="1" x14ac:dyDescent="0.3">
      <c r="A6" s="10" t="s">
        <v>56</v>
      </c>
      <c r="B6" s="44">
        <v>4220.51</v>
      </c>
      <c r="C6" s="44">
        <v>4237.8999999999996</v>
      </c>
      <c r="D6" s="44">
        <v>6836.87</v>
      </c>
      <c r="E6" s="44">
        <v>10671.13</v>
      </c>
      <c r="F6" s="44">
        <v>9088.3700000000008</v>
      </c>
      <c r="G6" s="37">
        <f>G3*Assumptions!C4</f>
        <v>9533.9126400000005</v>
      </c>
      <c r="H6" s="37">
        <f>H3*Assumptions!D4</f>
        <v>10677.982156800002</v>
      </c>
      <c r="I6" s="37">
        <f>I3*Assumptions!E4</f>
        <v>12386.459301888</v>
      </c>
      <c r="J6" s="37">
        <f>J3*Assumptions!F4</f>
        <v>14616.021976227841</v>
      </c>
    </row>
    <row r="7" spans="1:10" ht="15.75" customHeight="1" x14ac:dyDescent="0.3">
      <c r="A7" s="10" t="s">
        <v>57</v>
      </c>
      <c r="B7" s="44">
        <v>-203.19</v>
      </c>
      <c r="C7" s="44">
        <v>-703.13</v>
      </c>
      <c r="D7" s="44">
        <v>-645.27</v>
      </c>
      <c r="E7" s="44">
        <v>-686</v>
      </c>
      <c r="F7" s="44">
        <v>-358.59</v>
      </c>
      <c r="G7" s="37">
        <v>0</v>
      </c>
      <c r="H7" s="37">
        <v>0</v>
      </c>
      <c r="I7" s="37">
        <v>0</v>
      </c>
      <c r="J7" s="37">
        <v>0</v>
      </c>
    </row>
    <row r="8" spans="1:10" ht="15.75" customHeight="1" x14ac:dyDescent="0.3">
      <c r="A8" s="10" t="s">
        <v>58</v>
      </c>
      <c r="B8" s="44">
        <v>4177.88</v>
      </c>
      <c r="C8" s="44">
        <v>4295.79</v>
      </c>
      <c r="D8" s="44">
        <v>4463.33</v>
      </c>
      <c r="E8" s="44">
        <v>4890.55</v>
      </c>
      <c r="F8" s="44">
        <v>5736.22</v>
      </c>
      <c r="G8" s="37">
        <f>G3*Assumptions!C5</f>
        <v>6403.6113232000016</v>
      </c>
      <c r="H8" s="37">
        <f>H3*Assumptions!D5</f>
        <v>7172.0446819840017</v>
      </c>
      <c r="I8" s="37">
        <f>I3*Assumptions!E5</f>
        <v>8319.5718311014407</v>
      </c>
      <c r="J8" s="37">
        <f>J3*Assumptions!F5</f>
        <v>9817.0947606997015</v>
      </c>
    </row>
    <row r="9" spans="1:10" ht="15.75" customHeight="1" x14ac:dyDescent="0.3">
      <c r="A9" s="10" t="s">
        <v>59</v>
      </c>
      <c r="B9" s="44">
        <v>8348.11</v>
      </c>
      <c r="C9" s="44">
        <v>8502.6299999999992</v>
      </c>
      <c r="D9" s="44">
        <v>7675.31</v>
      </c>
      <c r="E9" s="44">
        <v>8734.06</v>
      </c>
      <c r="F9" s="44">
        <v>10529.93</v>
      </c>
      <c r="G9" s="37">
        <f>G3*Assumptions!C6</f>
        <v>7944.9272000000019</v>
      </c>
      <c r="H9" s="37">
        <f>H3*Assumptions!D6</f>
        <v>13347.477696000004</v>
      </c>
      <c r="I9" s="37">
        <f>I3*Assumptions!E6</f>
        <v>15483.074127360002</v>
      </c>
      <c r="J9" s="37">
        <f>J3*Assumptions!F6</f>
        <v>18270.0274702848</v>
      </c>
    </row>
    <row r="10" spans="1:10" ht="16.8" x14ac:dyDescent="0.3">
      <c r="A10" s="45" t="s">
        <v>60</v>
      </c>
      <c r="B10" s="42">
        <f t="shared" ref="B10:J10" si="0">SUM(B5:B9)</f>
        <v>29946.320000000003</v>
      </c>
      <c r="C10" s="42">
        <f t="shared" si="0"/>
        <v>30143.89</v>
      </c>
      <c r="D10" s="42">
        <f t="shared" si="0"/>
        <v>32270.079999999998</v>
      </c>
      <c r="E10" s="42">
        <f t="shared" si="0"/>
        <v>40009.68</v>
      </c>
      <c r="F10" s="42">
        <f t="shared" si="0"/>
        <v>45271.92</v>
      </c>
      <c r="G10" s="46">
        <f t="shared" si="0"/>
        <v>50100.710923200008</v>
      </c>
      <c r="H10" s="46">
        <f t="shared" si="0"/>
        <v>58782.291773184013</v>
      </c>
      <c r="I10" s="46">
        <f t="shared" si="0"/>
        <v>70251.868340541449</v>
      </c>
      <c r="J10" s="46">
        <f t="shared" si="0"/>
        <v>82897.204641838907</v>
      </c>
    </row>
    <row r="11" spans="1:10" ht="16.8" x14ac:dyDescent="0.3">
      <c r="A11" s="45" t="s">
        <v>61</v>
      </c>
      <c r="B11" s="42">
        <f t="shared" ref="B11:J11" si="1">B3-B10</f>
        <v>18406.359999999997</v>
      </c>
      <c r="C11" s="42">
        <f t="shared" si="1"/>
        <v>19260.160000000003</v>
      </c>
      <c r="D11" s="42">
        <f t="shared" si="1"/>
        <v>17002.7</v>
      </c>
      <c r="E11" s="42">
        <f t="shared" si="1"/>
        <v>20658.409999999996</v>
      </c>
      <c r="F11" s="42">
        <f t="shared" si="1"/>
        <v>25664.930000000008</v>
      </c>
      <c r="G11" s="46">
        <f t="shared" si="1"/>
        <v>29348.561076800004</v>
      </c>
      <c r="H11" s="46">
        <f t="shared" si="1"/>
        <v>30200.892866816008</v>
      </c>
      <c r="I11" s="46">
        <f t="shared" si="1"/>
        <v>32968.625841858564</v>
      </c>
      <c r="J11" s="46">
        <f t="shared" si="1"/>
        <v>38902.978493393108</v>
      </c>
    </row>
    <row r="12" spans="1:10" ht="15.75" customHeight="1" x14ac:dyDescent="0.3">
      <c r="A12" s="10" t="s">
        <v>62</v>
      </c>
      <c r="B12" s="44">
        <v>1396.61</v>
      </c>
      <c r="C12" s="44">
        <v>1644.91</v>
      </c>
      <c r="D12" s="44">
        <v>1645.59</v>
      </c>
      <c r="E12" s="44">
        <v>1732.41</v>
      </c>
      <c r="F12" s="44">
        <v>1809.01</v>
      </c>
      <c r="G12" s="37">
        <f>'Balance Sheet'!F4*Assumptions!C7</f>
        <v>3167.5620000000004</v>
      </c>
      <c r="H12" s="37">
        <f>'Balance Sheet'!G4*Assumptions!D7</f>
        <v>3959.4525000000003</v>
      </c>
      <c r="I12" s="37">
        <f>'Balance Sheet'!H4*Assumptions!E7</f>
        <v>4949.3156250000002</v>
      </c>
      <c r="J12" s="37">
        <f>'Balance Sheet'!I4*Assumptions!F7</f>
        <v>6186.64453125</v>
      </c>
    </row>
    <row r="13" spans="1:10" ht="16.8" x14ac:dyDescent="0.3">
      <c r="A13" s="47" t="s">
        <v>63</v>
      </c>
      <c r="B13" s="48">
        <f t="shared" ref="B13:J13" si="2">B11-B12</f>
        <v>17009.749999999996</v>
      </c>
      <c r="C13" s="48">
        <f t="shared" si="2"/>
        <v>17615.250000000004</v>
      </c>
      <c r="D13" s="48">
        <f t="shared" si="2"/>
        <v>15357.11</v>
      </c>
      <c r="E13" s="48">
        <f t="shared" si="2"/>
        <v>18925.999999999996</v>
      </c>
      <c r="F13" s="48">
        <f t="shared" si="2"/>
        <v>23855.920000000009</v>
      </c>
      <c r="G13" s="37">
        <f t="shared" si="2"/>
        <v>26180.999076800003</v>
      </c>
      <c r="H13" s="37">
        <f t="shared" si="2"/>
        <v>26241.440366816008</v>
      </c>
      <c r="I13" s="37">
        <f t="shared" si="2"/>
        <v>28019.310216858565</v>
      </c>
      <c r="J13" s="37">
        <f t="shared" si="2"/>
        <v>32716.333962143108</v>
      </c>
    </row>
    <row r="14" spans="1:10" ht="15.75" customHeight="1" x14ac:dyDescent="0.3">
      <c r="A14" s="10" t="s">
        <v>64</v>
      </c>
      <c r="B14" s="44">
        <v>45.42</v>
      </c>
      <c r="C14" s="44">
        <v>54.68</v>
      </c>
      <c r="D14" s="44">
        <v>44.58</v>
      </c>
      <c r="E14" s="44">
        <v>39.36</v>
      </c>
      <c r="F14" s="44">
        <v>43.2</v>
      </c>
      <c r="G14" s="37">
        <f>'Balance Sheet'!F38+'Balance Sheet'!F39*Assumptions!C8</f>
        <v>37.17</v>
      </c>
      <c r="H14" s="37">
        <f>'Balance Sheet'!G38+'Balance Sheet'!G39*Assumptions!D8</f>
        <v>919.47053353759998</v>
      </c>
      <c r="I14" s="37">
        <f>'Balance Sheet'!H38+'Balance Sheet'!H39*Assumptions!E8</f>
        <v>1112.874752370549</v>
      </c>
      <c r="J14" s="37">
        <f>'Balance Sheet'!I38+'Balance Sheet'!I39*Assumptions!F8</f>
        <v>1315.265230621965</v>
      </c>
    </row>
    <row r="15" spans="1:10" ht="15.75" customHeight="1" x14ac:dyDescent="0.3">
      <c r="A15" s="10" t="s">
        <v>65</v>
      </c>
      <c r="B15" s="44">
        <v>11.7</v>
      </c>
      <c r="C15" s="44">
        <v>8.2200000000000006</v>
      </c>
      <c r="D15" s="44">
        <v>-6.92</v>
      </c>
      <c r="E15" s="44">
        <v>17.48</v>
      </c>
      <c r="F15" s="44">
        <v>26</v>
      </c>
      <c r="G15" s="37">
        <f t="shared" ref="G15:J15" si="3">F15</f>
        <v>26</v>
      </c>
      <c r="H15" s="37">
        <f t="shared" si="3"/>
        <v>26</v>
      </c>
      <c r="I15" s="37">
        <f t="shared" si="3"/>
        <v>26</v>
      </c>
      <c r="J15" s="37">
        <f t="shared" si="3"/>
        <v>26</v>
      </c>
    </row>
    <row r="16" spans="1:10" ht="15.75" customHeight="1" x14ac:dyDescent="0.3">
      <c r="A16" s="10" t="s">
        <v>66</v>
      </c>
      <c r="B16" s="44">
        <v>2173.79</v>
      </c>
      <c r="C16" s="44">
        <v>2597.89</v>
      </c>
      <c r="D16" s="44">
        <v>2632.56</v>
      </c>
      <c r="E16" s="44">
        <v>1836.35</v>
      </c>
      <c r="F16" s="44">
        <v>1980.49</v>
      </c>
      <c r="G16" s="37">
        <f t="shared" ref="G16:J16" si="4">F16</f>
        <v>1980.49</v>
      </c>
      <c r="H16" s="37">
        <f t="shared" si="4"/>
        <v>1980.49</v>
      </c>
      <c r="I16" s="37">
        <f t="shared" si="4"/>
        <v>1980.49</v>
      </c>
      <c r="J16" s="37">
        <f t="shared" si="4"/>
        <v>1980.49</v>
      </c>
    </row>
    <row r="17" spans="1:10" ht="16.8" x14ac:dyDescent="0.3">
      <c r="A17" s="47" t="s">
        <v>67</v>
      </c>
      <c r="B17" s="48">
        <f t="shared" ref="B17:J17" si="5">B13-B14+B15+B16</f>
        <v>19149.82</v>
      </c>
      <c r="C17" s="48">
        <f t="shared" si="5"/>
        <v>20166.680000000004</v>
      </c>
      <c r="D17" s="48">
        <f t="shared" si="5"/>
        <v>17938.170000000002</v>
      </c>
      <c r="E17" s="48">
        <f t="shared" si="5"/>
        <v>20740.469999999994</v>
      </c>
      <c r="F17" s="48">
        <f t="shared" si="5"/>
        <v>25819.21000000001</v>
      </c>
      <c r="G17" s="37">
        <f t="shared" si="5"/>
        <v>28150.319076800006</v>
      </c>
      <c r="H17" s="37">
        <f t="shared" si="5"/>
        <v>27328.459833278412</v>
      </c>
      <c r="I17" s="37">
        <f t="shared" si="5"/>
        <v>28912.925464488017</v>
      </c>
      <c r="J17" s="37">
        <f t="shared" si="5"/>
        <v>33407.558731521145</v>
      </c>
    </row>
    <row r="18" spans="1:10" ht="15.75" customHeight="1" x14ac:dyDescent="0.3">
      <c r="A18" s="10" t="s">
        <v>68</v>
      </c>
      <c r="B18" s="48">
        <v>6413.22</v>
      </c>
      <c r="C18" s="48">
        <v>4545.57</v>
      </c>
      <c r="D18" s="48">
        <v>4559.16</v>
      </c>
      <c r="E18" s="48">
        <v>5247.16</v>
      </c>
      <c r="F18" s="48">
        <v>6451.11</v>
      </c>
      <c r="G18" s="37">
        <f>G17*Assumptions!C9</f>
        <v>8445.0957230400018</v>
      </c>
      <c r="H18" s="37">
        <f>H17*Assumptions!D9</f>
        <v>8198.5379499835235</v>
      </c>
      <c r="I18" s="37">
        <f>I17*Assumptions!E9</f>
        <v>8673.877639346405</v>
      </c>
      <c r="J18" s="37">
        <f>J17*Assumptions!F9</f>
        <v>10022.267619456343</v>
      </c>
    </row>
    <row r="19" spans="1:10" ht="15.75" customHeight="1" x14ac:dyDescent="0.3">
      <c r="A19" s="13" t="s">
        <v>69</v>
      </c>
      <c r="B19" s="49">
        <f t="shared" ref="B19:J19" si="6">B17-B18</f>
        <v>12736.599999999999</v>
      </c>
      <c r="C19" s="49">
        <f t="shared" si="6"/>
        <v>15621.110000000004</v>
      </c>
      <c r="D19" s="49">
        <f t="shared" si="6"/>
        <v>13379.010000000002</v>
      </c>
      <c r="E19" s="49">
        <f t="shared" si="6"/>
        <v>15493.309999999994</v>
      </c>
      <c r="F19" s="49">
        <f t="shared" si="6"/>
        <v>19368.100000000009</v>
      </c>
      <c r="G19" s="50">
        <f t="shared" si="6"/>
        <v>19705.223353760004</v>
      </c>
      <c r="H19" s="50">
        <f t="shared" si="6"/>
        <v>19129.92188329489</v>
      </c>
      <c r="I19" s="50">
        <f t="shared" si="6"/>
        <v>20239.047825141613</v>
      </c>
      <c r="J19" s="50">
        <f t="shared" si="6"/>
        <v>23385.291112064802</v>
      </c>
    </row>
  </sheetData>
  <mergeCells count="2">
    <mergeCell ref="A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1"/>
  <sheetViews>
    <sheetView workbookViewId="0">
      <selection activeCell="A2" sqref="A2"/>
    </sheetView>
  </sheetViews>
  <sheetFormatPr defaultColWidth="12.6640625" defaultRowHeight="15.75" customHeight="1" x14ac:dyDescent="0.3"/>
  <cols>
    <col min="1" max="1" width="30.5546875" style="1" bestFit="1" customWidth="1"/>
    <col min="2" max="16384" width="12.6640625" style="1"/>
  </cols>
  <sheetData>
    <row r="1" spans="1:5" ht="15.75" customHeight="1" x14ac:dyDescent="0.3">
      <c r="A1" s="81" t="s">
        <v>156</v>
      </c>
      <c r="B1" s="81"/>
      <c r="C1" s="81"/>
      <c r="D1" s="81"/>
      <c r="E1" s="81"/>
    </row>
    <row r="2" spans="1:5" ht="15.75" customHeight="1" x14ac:dyDescent="0.3">
      <c r="A2" s="51" t="s">
        <v>154</v>
      </c>
      <c r="B2" s="5">
        <v>45375</v>
      </c>
      <c r="C2" s="5">
        <v>45376</v>
      </c>
      <c r="D2" s="5">
        <v>45377</v>
      </c>
      <c r="E2" s="5">
        <v>45378</v>
      </c>
    </row>
    <row r="3" spans="1:5" ht="15.75" customHeight="1" x14ac:dyDescent="0.3">
      <c r="A3" s="52" t="s">
        <v>70</v>
      </c>
      <c r="B3" s="37">
        <f>'Profit and Loss Statement'!G19</f>
        <v>19705.223353760004</v>
      </c>
      <c r="C3" s="37">
        <f>'Profit and Loss Statement'!H19</f>
        <v>19129.92188329489</v>
      </c>
      <c r="D3" s="37">
        <f>'Profit and Loss Statement'!I19</f>
        <v>20239.047825141613</v>
      </c>
      <c r="E3" s="37">
        <f>'Profit and Loss Statement'!J19</f>
        <v>23385.291112064802</v>
      </c>
    </row>
    <row r="4" spans="1:5" ht="15.75" customHeight="1" x14ac:dyDescent="0.3">
      <c r="A4" s="52" t="s">
        <v>71</v>
      </c>
      <c r="B4" s="37">
        <f>'Profit and Loss Statement'!G12</f>
        <v>3167.5620000000004</v>
      </c>
      <c r="C4" s="37">
        <f>'Profit and Loss Statement'!H12</f>
        <v>3959.4525000000003</v>
      </c>
      <c r="D4" s="37">
        <f>'Profit and Loss Statement'!I12</f>
        <v>4949.3156250000002</v>
      </c>
      <c r="E4" s="37">
        <f>'Profit and Loss Statement'!J12</f>
        <v>6186.64453125</v>
      </c>
    </row>
    <row r="5" spans="1:5" ht="15.75" customHeight="1" x14ac:dyDescent="0.3">
      <c r="A5" s="52" t="s">
        <v>72</v>
      </c>
      <c r="B5" s="18">
        <f>'Balance Sheet'!G58-'Balance Sheet'!F58</f>
        <v>1601.1445430136919</v>
      </c>
      <c r="C5" s="18">
        <f>'Balance Sheet'!H58-'Balance Sheet'!G58</f>
        <v>229.34307057534897</v>
      </c>
      <c r="D5" s="18">
        <f>'Balance Sheet'!I58-'Balance Sheet'!H58</f>
        <v>1419.9696298011913</v>
      </c>
      <c r="E5" s="18">
        <f>'Balance Sheet'!J58-'Balance Sheet'!I58</f>
        <v>1391.2533107941454</v>
      </c>
    </row>
    <row r="6" spans="1:5" ht="15.75" customHeight="1" x14ac:dyDescent="0.3">
      <c r="A6" s="52" t="s">
        <v>73</v>
      </c>
      <c r="B6" s="18">
        <f>'Balance Sheet'!G4-'Balance Sheet'!F4+'Profit and Loss Statement'!G12</f>
        <v>8446.8320000000003</v>
      </c>
      <c r="C6" s="18">
        <f>'Balance Sheet'!H4-'Balance Sheet'!G4+'Profit and Loss Statement'!H12</f>
        <v>10558.539999999997</v>
      </c>
      <c r="D6" s="18">
        <f>'Balance Sheet'!I4-'Balance Sheet'!H4+'Profit and Loss Statement'!I12</f>
        <v>13198.174999999999</v>
      </c>
      <c r="E6" s="18">
        <f>'Balance Sheet'!J4-'Balance Sheet'!I4+'Profit and Loss Statement'!J12</f>
        <v>16497.71875</v>
      </c>
    </row>
    <row r="7" spans="1:5" ht="15.75" customHeight="1" x14ac:dyDescent="0.3">
      <c r="A7" s="52" t="s">
        <v>74</v>
      </c>
      <c r="B7" s="18">
        <f>'Balance Sheet'!G38-'Balance Sheet'!F38</f>
        <v>880.1955335376</v>
      </c>
      <c r="C7" s="18">
        <f>'Balance Sheet'!H38-'Balance Sheet'!G38</f>
        <v>191.2992188329489</v>
      </c>
      <c r="D7" s="18">
        <f>'Balance Sheet'!I38-'Balance Sheet'!H38</f>
        <v>202.39047825141597</v>
      </c>
      <c r="E7" s="18">
        <f>'Balance Sheet'!J38-'Balance Sheet'!I38</f>
        <v>233.85291112064783</v>
      </c>
    </row>
    <row r="8" spans="1:5" ht="15.75" customHeight="1" x14ac:dyDescent="0.3">
      <c r="A8" s="52"/>
      <c r="B8" s="38"/>
      <c r="C8" s="38"/>
      <c r="D8" s="38"/>
      <c r="E8" s="38"/>
    </row>
    <row r="9" spans="1:5" ht="15.75" customHeight="1" x14ac:dyDescent="0.3">
      <c r="A9" s="52" t="s">
        <v>75</v>
      </c>
      <c r="B9" s="37">
        <f t="shared" ref="B9:E9" si="0">B3+B4-B5-B6+B7</f>
        <v>13705.004344283914</v>
      </c>
      <c r="C9" s="37">
        <f t="shared" si="0"/>
        <v>12492.790531552491</v>
      </c>
      <c r="D9" s="37">
        <f t="shared" si="0"/>
        <v>10772.609298591839</v>
      </c>
      <c r="E9" s="37">
        <f t="shared" si="0"/>
        <v>11916.816493641305</v>
      </c>
    </row>
    <row r="10" spans="1:5" ht="15.75" customHeight="1" x14ac:dyDescent="0.3">
      <c r="A10" s="52" t="s">
        <v>76</v>
      </c>
      <c r="B10" s="18">
        <f>'Balance Sheet'!F24</f>
        <v>463.35</v>
      </c>
      <c r="C10" s="18">
        <f>'Balance Sheet'!G24</f>
        <v>14168.354344283915</v>
      </c>
      <c r="D10" s="18">
        <f>'Balance Sheet'!H24</f>
        <v>26661.144875836406</v>
      </c>
      <c r="E10" s="18">
        <f>'Balance Sheet'!I24</f>
        <v>37433.754174428243</v>
      </c>
    </row>
    <row r="11" spans="1:5" ht="15.75" customHeight="1" x14ac:dyDescent="0.3">
      <c r="A11" s="51" t="s">
        <v>77</v>
      </c>
      <c r="B11" s="50">
        <f t="shared" ref="B11:E11" si="1">B9+B10</f>
        <v>14168.354344283915</v>
      </c>
      <c r="C11" s="50">
        <f t="shared" si="1"/>
        <v>26661.144875836406</v>
      </c>
      <c r="D11" s="50">
        <f t="shared" si="1"/>
        <v>37433.754174428243</v>
      </c>
      <c r="E11" s="50">
        <f t="shared" si="1"/>
        <v>49350.570668069544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6"/>
  <sheetViews>
    <sheetView workbookViewId="0">
      <selection sqref="A1:H1"/>
    </sheetView>
  </sheetViews>
  <sheetFormatPr defaultColWidth="12.6640625" defaultRowHeight="15.75" customHeight="1" x14ac:dyDescent="0.3"/>
  <cols>
    <col min="1" max="1" width="9" style="1" bestFit="1" customWidth="1"/>
    <col min="2" max="2" width="31.77734375" style="1" bestFit="1" customWidth="1"/>
    <col min="3" max="3" width="56.88671875" style="1" bestFit="1" customWidth="1"/>
    <col min="4" max="8" width="9.21875" style="1" bestFit="1" customWidth="1"/>
    <col min="9" max="11" width="9.109375" style="1" bestFit="1" customWidth="1"/>
    <col min="12" max="16384" width="12.6640625" style="1"/>
  </cols>
  <sheetData>
    <row r="1" spans="1:11" ht="15.75" customHeight="1" x14ac:dyDescent="0.3">
      <c r="A1" s="85" t="s">
        <v>114</v>
      </c>
      <c r="B1" s="75"/>
      <c r="C1" s="75"/>
      <c r="D1" s="75"/>
      <c r="E1" s="75"/>
      <c r="F1" s="75"/>
      <c r="G1" s="75"/>
      <c r="H1" s="75"/>
      <c r="I1" s="33"/>
      <c r="J1" s="33"/>
      <c r="K1" s="33"/>
    </row>
    <row r="2" spans="1:11" ht="15.75" customHeight="1" x14ac:dyDescent="0.3">
      <c r="A2" s="2" t="s">
        <v>115</v>
      </c>
      <c r="B2" s="2" t="s">
        <v>116</v>
      </c>
      <c r="C2" s="2" t="s">
        <v>117</v>
      </c>
      <c r="D2" s="53" t="s">
        <v>118</v>
      </c>
      <c r="E2" s="53" t="s">
        <v>119</v>
      </c>
      <c r="F2" s="53" t="s">
        <v>120</v>
      </c>
      <c r="G2" s="53" t="s">
        <v>121</v>
      </c>
      <c r="H2" s="53" t="s">
        <v>122</v>
      </c>
      <c r="I2" s="5">
        <v>45375</v>
      </c>
      <c r="J2" s="5">
        <v>45376</v>
      </c>
      <c r="K2" s="5">
        <v>45377</v>
      </c>
    </row>
    <row r="3" spans="1:11" ht="15.75" customHeight="1" x14ac:dyDescent="0.3">
      <c r="A3" s="86" t="s">
        <v>123</v>
      </c>
      <c r="B3" s="87"/>
      <c r="C3" s="87"/>
      <c r="D3" s="87"/>
      <c r="E3" s="87"/>
      <c r="F3" s="87"/>
      <c r="G3" s="87"/>
      <c r="H3" s="87"/>
      <c r="I3" s="82"/>
      <c r="J3" s="83"/>
      <c r="K3" s="84"/>
    </row>
    <row r="4" spans="1:11" ht="15.75" customHeight="1" x14ac:dyDescent="0.3">
      <c r="A4" s="10"/>
      <c r="B4" s="54" t="s">
        <v>80</v>
      </c>
      <c r="C4" s="54" t="s">
        <v>124</v>
      </c>
      <c r="D4" s="55"/>
      <c r="E4" s="56">
        <f>'Profit and Loss Statement'!C3/'Profit and Loss Statement'!B3-1</f>
        <v>2.1743779248637463E-2</v>
      </c>
      <c r="F4" s="56">
        <f>'Profit and Loss Statement'!D3/'Profit and Loss Statement'!C3-1</f>
        <v>-2.6570696127140581E-3</v>
      </c>
      <c r="G4" s="56">
        <f>'Profit and Loss Statement'!E3/'Profit and Loss Statement'!D3-1</f>
        <v>0.23126988166691631</v>
      </c>
      <c r="H4" s="56">
        <f>'Profit and Loss Statement'!F3/'Profit and Loss Statement'!E3-1</f>
        <v>0.1692613035946906</v>
      </c>
      <c r="I4" s="57">
        <f>'Profit and Loss Statement'!G3/'Profit and Loss Statement'!F3-1</f>
        <v>0.12000000000000011</v>
      </c>
      <c r="J4" s="57">
        <f>'Profit and Loss Statement'!H3/'Profit and Loss Statement'!G3-1</f>
        <v>0.12000000000000011</v>
      </c>
      <c r="K4" s="57">
        <f>'Profit and Loss Statement'!I3/'Profit and Loss Statement'!H3-1</f>
        <v>0.15999999999999992</v>
      </c>
    </row>
    <row r="5" spans="1:11" ht="15.75" customHeight="1" x14ac:dyDescent="0.3">
      <c r="A5" s="58">
        <v>1</v>
      </c>
      <c r="B5" s="54" t="s">
        <v>125</v>
      </c>
      <c r="C5" s="54" t="s">
        <v>126</v>
      </c>
      <c r="D5" s="56">
        <f>('Profit and Loss Statement'!B19/'Profit and Loss Statement'!B3)</f>
        <v>0.26341042523392705</v>
      </c>
      <c r="E5" s="56">
        <f>('Profit and Loss Statement'!C19/'Profit and Loss Statement'!C3)</f>
        <v>0.31619087908784815</v>
      </c>
      <c r="F5" s="56">
        <f>('Profit and Loss Statement'!D19/'Profit and Loss Statement'!D3)</f>
        <v>0.27152943268068092</v>
      </c>
      <c r="G5" s="56">
        <f>('Profit and Loss Statement'!E19/'Profit and Loss Statement'!E3)</f>
        <v>0.25537823920284941</v>
      </c>
      <c r="H5" s="56">
        <f>('Profit and Loss Statement'!F19/'Profit and Loss Statement'!F3)</f>
        <v>0.27303298638154933</v>
      </c>
      <c r="I5" s="57">
        <f>('Profit and Loss Statement'!G19/'Profit and Loss Statement'!G3)</f>
        <v>0.2480227050256672</v>
      </c>
      <c r="J5" s="57">
        <f>('Profit and Loss Statement'!H19/'Profit and Loss Statement'!H3)</f>
        <v>0.21498356077824105</v>
      </c>
      <c r="K5" s="57">
        <f>('Profit and Loss Statement'!I19/'Profit and Loss Statement'!I3)</f>
        <v>0.1960758663815092</v>
      </c>
    </row>
    <row r="6" spans="1:11" ht="15.75" customHeight="1" x14ac:dyDescent="0.3">
      <c r="A6" s="58">
        <v>2</v>
      </c>
      <c r="B6" s="54" t="s">
        <v>127</v>
      </c>
      <c r="C6" s="54" t="s">
        <v>128</v>
      </c>
      <c r="D6" s="56">
        <f>'Profit and Loss Statement'!B13/'Profit and Loss Statement'!B3</f>
        <v>0.35178505100441165</v>
      </c>
      <c r="E6" s="56">
        <f>'Profit and Loss Statement'!C13/'Profit and Loss Statement'!C3</f>
        <v>0.35655477637966931</v>
      </c>
      <c r="F6" s="56">
        <f>'Profit and Loss Statement'!D13/'Profit and Loss Statement'!D3</f>
        <v>0.31167533067953546</v>
      </c>
      <c r="G6" s="56">
        <f>'Profit and Loss Statement'!E13/'Profit and Loss Statement'!E3</f>
        <v>0.3119597139122065</v>
      </c>
      <c r="H6" s="56">
        <f>'Profit and Loss Statement'!F13/'Profit and Loss Statement'!F3</f>
        <v>0.33629798898597846</v>
      </c>
      <c r="I6" s="57">
        <f>'Profit and Loss Statement'!G13/'Profit and Loss Statement'!G3</f>
        <v>0.32953101290594583</v>
      </c>
      <c r="J6" s="57">
        <f>'Profit and Loss Statement'!H13/'Profit and Loss Statement'!H3</f>
        <v>0.29490336261824313</v>
      </c>
      <c r="K6" s="57">
        <f>'Profit and Loss Statement'!I13/'Profit and Loss Statement'!I3</f>
        <v>0.27145103730414127</v>
      </c>
    </row>
    <row r="7" spans="1:11" ht="15.75" customHeight="1" x14ac:dyDescent="0.3">
      <c r="A7" s="58">
        <v>3</v>
      </c>
      <c r="B7" s="54" t="s">
        <v>129</v>
      </c>
      <c r="C7" s="54" t="s">
        <v>130</v>
      </c>
      <c r="D7" s="59">
        <f>'Profit and Loss Statement'!B3/'Balance Sheet'!B30</f>
        <v>0.67345056805575509</v>
      </c>
      <c r="E7" s="59">
        <f>'Profit and Loss Statement'!C3/'Balance Sheet'!C30</f>
        <v>0.64078575683758987</v>
      </c>
      <c r="F7" s="59">
        <f>'Profit and Loss Statement'!D3/'Balance Sheet'!D30</f>
        <v>0.66984682077938729</v>
      </c>
      <c r="G7" s="59">
        <f>'Profit and Loss Statement'!E3/'Balance Sheet'!E30</f>
        <v>0.7877366562921585</v>
      </c>
      <c r="H7" s="59">
        <f>'Profit and Loss Statement'!F3/'Balance Sheet'!F30</f>
        <v>0.78890696834634344</v>
      </c>
      <c r="I7" s="60">
        <f>'Profit and Loss Statement'!G3/'Balance Sheet'!G30</f>
        <v>0.74333909049959945</v>
      </c>
      <c r="J7" s="60">
        <f>'Profit and Loss Statement'!H3/'Balance Sheet'!H30</f>
        <v>0.699805013789502</v>
      </c>
      <c r="K7" s="60">
        <f>'Profit and Loss Statement'!I3/'Balance Sheet'!I30</f>
        <v>0.69267829772928069</v>
      </c>
    </row>
    <row r="8" spans="1:11" ht="15.75" customHeight="1" x14ac:dyDescent="0.3">
      <c r="A8" s="58">
        <v>4</v>
      </c>
      <c r="B8" s="54" t="s">
        <v>131</v>
      </c>
      <c r="C8" s="54" t="s">
        <v>132</v>
      </c>
      <c r="D8" s="56">
        <f>'Profit and Loss Statement'!B19/'Balance Sheet'!B30</f>
        <v>0.17739390050559617</v>
      </c>
      <c r="E8" s="56">
        <f>'Profit and Loss Statement'!C19/'Balance Sheet'!C30</f>
        <v>0.20261061176144962</v>
      </c>
      <c r="F8" s="56">
        <f>'Profit and Loss Statement'!D19/'Balance Sheet'!D30</f>
        <v>0.18188312722918479</v>
      </c>
      <c r="G8" s="56">
        <f>'Profit and Loss Statement'!E19/'Balance Sheet'!E30</f>
        <v>0.2011708002394316</v>
      </c>
      <c r="H8" s="56">
        <f>'Profit and Loss Statement'!F19/'Balance Sheet'!F30</f>
        <v>0.21539762554481656</v>
      </c>
      <c r="I8" s="57">
        <f>'Profit and Loss Statement'!G19/'Balance Sheet'!G30</f>
        <v>0.18436497197702992</v>
      </c>
      <c r="J8" s="57">
        <f>'Profit and Loss Statement'!H19/'Balance Sheet'!H30</f>
        <v>0.1504465737149332</v>
      </c>
      <c r="K8" s="57">
        <f>'Profit and Loss Statement'!I19/'Balance Sheet'!I30</f>
        <v>0.13581749735093768</v>
      </c>
    </row>
    <row r="9" spans="1:11" ht="15.75" customHeight="1" x14ac:dyDescent="0.3">
      <c r="A9" s="58">
        <v>5</v>
      </c>
      <c r="B9" s="54" t="s">
        <v>133</v>
      </c>
      <c r="C9" s="54" t="s">
        <v>134</v>
      </c>
      <c r="D9" s="56">
        <f>'Profit and Loss Statement'!B19/'Balance Sheet'!B36</f>
        <v>0.21411685831934923</v>
      </c>
      <c r="E9" s="56">
        <f>'Profit and Loss Statement'!C19/'Balance Sheet'!C36</f>
        <v>0.23794267024905899</v>
      </c>
      <c r="F9" s="56">
        <f>'Profit and Loss Statement'!D19/'Balance Sheet'!D36</f>
        <v>0.22043327075179409</v>
      </c>
      <c r="G9" s="56">
        <f>'Profit and Loss Statement'!E19/'Balance Sheet'!E36</f>
        <v>0.24662287193934204</v>
      </c>
      <c r="H9" s="56">
        <f>'Profit and Loss Statement'!F19/'Balance Sheet'!F36</f>
        <v>0.28207341531498703</v>
      </c>
      <c r="I9" s="57">
        <f>'Profit and Loss Statement'!G19/'Balance Sheet'!G36</f>
        <v>0.22298909064263375</v>
      </c>
      <c r="J9" s="57">
        <f>'Profit and Loss Statement'!H19/'Balance Sheet'!H36</f>
        <v>0.17795528579460984</v>
      </c>
      <c r="K9" s="57">
        <f>'Profit and Loss Statement'!I19/'Balance Sheet'!I36</f>
        <v>0.15844246341998544</v>
      </c>
    </row>
    <row r="10" spans="1:11" ht="15.75" customHeight="1" x14ac:dyDescent="0.3">
      <c r="A10" s="41"/>
      <c r="B10" s="61"/>
      <c r="C10" s="61"/>
      <c r="D10" s="41"/>
      <c r="E10" s="41"/>
      <c r="F10" s="41"/>
      <c r="G10" s="41"/>
      <c r="H10" s="41"/>
      <c r="I10" s="33"/>
      <c r="J10" s="33"/>
      <c r="K10" s="33"/>
    </row>
    <row r="11" spans="1:11" ht="16.8" x14ac:dyDescent="0.3">
      <c r="A11" s="86" t="s">
        <v>135</v>
      </c>
      <c r="B11" s="87"/>
      <c r="C11" s="87"/>
      <c r="D11" s="87"/>
      <c r="E11" s="87"/>
      <c r="F11" s="87"/>
      <c r="G11" s="87"/>
      <c r="H11" s="87"/>
      <c r="I11" s="82"/>
      <c r="J11" s="83"/>
      <c r="K11" s="84"/>
    </row>
    <row r="12" spans="1:11" ht="16.8" x14ac:dyDescent="0.3">
      <c r="A12" s="58">
        <v>1</v>
      </c>
      <c r="B12" s="54" t="s">
        <v>136</v>
      </c>
      <c r="C12" s="54" t="s">
        <v>137</v>
      </c>
      <c r="D12" s="59">
        <f>'Balance Sheet'!B29/'Balance Sheet'!B51</f>
        <v>3.1624941694907811</v>
      </c>
      <c r="E12" s="59">
        <f>'Balance Sheet'!C29/'Balance Sheet'!C51</f>
        <v>4.1511757705957315</v>
      </c>
      <c r="F12" s="59">
        <f>'Balance Sheet'!D29/'Balance Sheet'!D51</f>
        <v>3.2797269928786479</v>
      </c>
      <c r="G12" s="59">
        <f>'Balance Sheet'!E29/'Balance Sheet'!E51</f>
        <v>2.8169336271095213</v>
      </c>
      <c r="H12" s="59">
        <f>'Balance Sheet'!F29/'Balance Sheet'!F51</f>
        <v>2.3905714941075233</v>
      </c>
      <c r="I12" s="60">
        <f>'Balance Sheet'!G29/'Balance Sheet'!G51</f>
        <v>3.7632394491845504</v>
      </c>
      <c r="J12" s="60">
        <f>'Balance Sheet'!H29/'Balance Sheet'!H51</f>
        <v>4.4032164058172949</v>
      </c>
      <c r="K12" s="60">
        <f>'Balance Sheet'!I29/'Balance Sheet'!I51</f>
        <v>4.8311677203382244</v>
      </c>
    </row>
    <row r="13" spans="1:11" ht="15.75" customHeight="1" x14ac:dyDescent="0.3">
      <c r="A13" s="58">
        <v>2</v>
      </c>
      <c r="B13" s="54" t="s">
        <v>138</v>
      </c>
      <c r="C13" s="54" t="s">
        <v>139</v>
      </c>
      <c r="D13" s="59">
        <f>('Balance Sheet'!B29-'Balance Sheet'!B20)/'Balance Sheet'!B51</f>
        <v>2.3774794021967662</v>
      </c>
      <c r="E13" s="59">
        <f>('Balance Sheet'!C29-'Balance Sheet'!C20)/'Balance Sheet'!C51</f>
        <v>3.2161058983350719</v>
      </c>
      <c r="F13" s="59">
        <f>('Balance Sheet'!D29-'Balance Sheet'!D20)/'Balance Sheet'!D51</f>
        <v>2.3021478766635139</v>
      </c>
      <c r="G13" s="59">
        <f>('Balance Sheet'!E29-'Balance Sheet'!E20)/'Balance Sheet'!E51</f>
        <v>1.9200728441668118</v>
      </c>
      <c r="H13" s="59">
        <f>('Balance Sheet'!F29-'Balance Sheet'!F20)/'Balance Sheet'!F51</f>
        <v>1.7522675992106855</v>
      </c>
      <c r="I13" s="60">
        <f>('Balance Sheet'!G29-'Balance Sheet'!G20)/'Balance Sheet'!G51</f>
        <v>3.2410635232904239</v>
      </c>
      <c r="J13" s="60">
        <f>('Balance Sheet'!H29-'Balance Sheet'!H20)/'Balance Sheet'!H51</f>
        <v>3.8873589595091671</v>
      </c>
      <c r="K13" s="60">
        <f>('Balance Sheet'!I29-'Balance Sheet'!I20)/'Balance Sheet'!I51</f>
        <v>4.2607697354674805</v>
      </c>
    </row>
    <row r="14" spans="1:11" ht="15.75" customHeight="1" x14ac:dyDescent="0.3">
      <c r="A14" s="58">
        <v>3</v>
      </c>
      <c r="B14" s="54" t="s">
        <v>140</v>
      </c>
      <c r="C14" s="54" t="s">
        <v>141</v>
      </c>
      <c r="D14" s="59">
        <f>'Profit and Loss Statement'!B3/'Balance Sheet'!B23</f>
        <v>11.982484486826193</v>
      </c>
      <c r="E14" s="59">
        <f>'Profit and Loss Statement'!C3/'Balance Sheet'!C23</f>
        <v>19.279779744622399</v>
      </c>
      <c r="F14" s="59">
        <f>'Profit and Loss Statement'!D3/'Balance Sheet'!D23</f>
        <v>19.695718911140425</v>
      </c>
      <c r="G14" s="59">
        <f>'Profit and Loss Statement'!E3/'Balance Sheet'!E23</f>
        <v>24.642792152402613</v>
      </c>
      <c r="H14" s="59">
        <f>'Profit and Loss Statement'!F3/'Balance Sheet'!F23</f>
        <v>23.99620116569751</v>
      </c>
      <c r="I14" s="60">
        <f>'Profit and Loss Statement'!G3/'Balance Sheet'!G23</f>
        <v>24.333333333333332</v>
      </c>
      <c r="J14" s="60">
        <f>'Profit and Loss Statement'!H3/'Balance Sheet'!H23</f>
        <v>24.333333333333336</v>
      </c>
      <c r="K14" s="60">
        <f>'Profit and Loss Statement'!I3/'Balance Sheet'!I23</f>
        <v>24.333333333333332</v>
      </c>
    </row>
    <row r="15" spans="1:11" ht="15.75" customHeight="1" x14ac:dyDescent="0.3">
      <c r="A15" s="61"/>
      <c r="B15" s="61"/>
      <c r="C15" s="61"/>
      <c r="D15" s="62"/>
      <c r="E15" s="62"/>
      <c r="F15" s="62"/>
      <c r="G15" s="62"/>
      <c r="H15" s="62"/>
      <c r="I15" s="33"/>
      <c r="J15" s="33"/>
      <c r="K15" s="33"/>
    </row>
    <row r="16" spans="1:11" ht="15.75" customHeight="1" x14ac:dyDescent="0.3">
      <c r="A16" s="86" t="s">
        <v>142</v>
      </c>
      <c r="B16" s="87"/>
      <c r="C16" s="87"/>
      <c r="D16" s="87"/>
      <c r="E16" s="87"/>
      <c r="F16" s="87"/>
      <c r="G16" s="87"/>
      <c r="H16" s="87"/>
      <c r="I16" s="82"/>
      <c r="J16" s="83"/>
      <c r="K16" s="84"/>
    </row>
    <row r="17" spans="1:11" ht="16.8" x14ac:dyDescent="0.3">
      <c r="A17" s="58">
        <v>1</v>
      </c>
      <c r="B17" s="6" t="s">
        <v>143</v>
      </c>
      <c r="C17" s="54" t="s">
        <v>144</v>
      </c>
      <c r="D17" s="59">
        <f>'Balance Sheet'!B43/'Balance Sheet'!B34</f>
        <v>3.8925365825697181E-2</v>
      </c>
      <c r="E17" s="59">
        <f>'Balance Sheet'!C43/'Balance Sheet'!C34</f>
        <v>2.9913321320246607E-2</v>
      </c>
      <c r="F17" s="59">
        <f>'Balance Sheet'!D43/'Balance Sheet'!D34</f>
        <v>3.692805681244609E-2</v>
      </c>
      <c r="G17" s="59">
        <f>'Balance Sheet'!E43/'Balance Sheet'!E34</f>
        <v>3.3308478331075989E-2</v>
      </c>
      <c r="H17" s="59">
        <f>'Balance Sheet'!F43/'Balance Sheet'!F34</f>
        <v>4.1205305229365045E-2</v>
      </c>
      <c r="I17" s="60">
        <f>'Balance Sheet'!G43/'Balance Sheet'!G34</f>
        <v>4.1980843929386218E-2</v>
      </c>
      <c r="J17" s="60">
        <f>'Balance Sheet'!H43/'Balance Sheet'!H34</f>
        <v>3.6269306246413446E-2</v>
      </c>
      <c r="K17" s="60">
        <f>'Balance Sheet'!I43/'Balance Sheet'!I34</f>
        <v>3.2094598153870162E-2</v>
      </c>
    </row>
    <row r="18" spans="1:11" ht="15.75" customHeight="1" x14ac:dyDescent="0.3">
      <c r="A18" s="58">
        <v>2</v>
      </c>
      <c r="B18" s="6" t="s">
        <v>145</v>
      </c>
      <c r="C18" s="6" t="s">
        <v>146</v>
      </c>
      <c r="D18" s="59">
        <f>('Profit and Loss Statement'!B14-'Profit and Loss Statement'!B9)/'Profit and Loss Statement'!B9</f>
        <v>-0.99455924754225811</v>
      </c>
      <c r="E18" s="59">
        <f>('Profit and Loss Statement'!C14-'Profit and Loss Statement'!C9)/'Profit and Loss Statement'!C9</f>
        <v>-0.99356904863553974</v>
      </c>
      <c r="F18" s="59">
        <f>('Profit and Loss Statement'!D14-'Profit and Loss Statement'!D9)/'Profit and Loss Statement'!D9</f>
        <v>-0.99419176554432331</v>
      </c>
      <c r="G18" s="59">
        <f>('Profit and Loss Statement'!E14-'Profit and Loss Statement'!E9)/'Profit and Loss Statement'!E9</f>
        <v>-0.99549350473891862</v>
      </c>
      <c r="H18" s="59">
        <f>('Profit and Loss Statement'!F14-'Profit and Loss Statement'!F9)/'Profit and Loss Statement'!F9</f>
        <v>-0.99589740862474863</v>
      </c>
      <c r="I18" s="60">
        <f>('Profit and Loss Statement'!G14-'Profit and Loss Statement'!G9)/'Profit and Loss Statement'!G9</f>
        <v>-0.99532154303440312</v>
      </c>
      <c r="J18" s="60">
        <f>('Profit and Loss Statement'!H14-'Profit and Loss Statement'!H9)/'Profit and Loss Statement'!H9</f>
        <v>-0.93111278741352388</v>
      </c>
      <c r="K18" s="60">
        <f>('Profit and Loss Statement'!I14-'Profit and Loss Statement'!I9)/'Profit and Loss Statement'!I9</f>
        <v>-0.92812313993872841</v>
      </c>
    </row>
    <row r="19" spans="1:11" ht="15.75" customHeight="1" x14ac:dyDescent="0.3">
      <c r="A19" s="41"/>
      <c r="B19" s="61"/>
      <c r="C19" s="61"/>
      <c r="D19" s="41"/>
      <c r="E19" s="41"/>
      <c r="F19" s="41"/>
      <c r="G19" s="41"/>
      <c r="H19" s="41"/>
      <c r="I19" s="33"/>
      <c r="J19" s="33"/>
      <c r="K19" s="33"/>
    </row>
    <row r="20" spans="1:11" ht="15.75" customHeight="1" x14ac:dyDescent="0.3">
      <c r="A20" s="86" t="s">
        <v>147</v>
      </c>
      <c r="B20" s="87"/>
      <c r="C20" s="87"/>
      <c r="D20" s="87"/>
      <c r="E20" s="87"/>
      <c r="F20" s="87"/>
      <c r="G20" s="87"/>
      <c r="H20" s="87"/>
      <c r="I20" s="82"/>
      <c r="J20" s="83"/>
      <c r="K20" s="84"/>
    </row>
    <row r="21" spans="1:11" ht="16.8" x14ac:dyDescent="0.3">
      <c r="A21" s="58">
        <v>1</v>
      </c>
      <c r="B21" s="54" t="s">
        <v>148</v>
      </c>
      <c r="C21" s="54" t="s">
        <v>149</v>
      </c>
      <c r="D21" s="59">
        <f>'Profit and Loss Statement'!B3/'Balance Sheet'!B20</f>
        <v>6.1520848495335612</v>
      </c>
      <c r="E21" s="59">
        <f>'Profit and Loss Statement'!C3/'Balance Sheet'!C20</f>
        <v>5.563938945843887</v>
      </c>
      <c r="F21" s="59">
        <f>'Profit and Loss Statement'!D3/'Balance Sheet'!D20</f>
        <v>4.7390614360075247</v>
      </c>
      <c r="G21" s="59">
        <f>'Profit and Loss Statement'!E3/'Balance Sheet'!E20</f>
        <v>5.5842463515323333</v>
      </c>
      <c r="H21" s="59">
        <f>'Profit and Loss Statement'!F3/'Balance Sheet'!F20</f>
        <v>6.0263262074425974</v>
      </c>
      <c r="I21" s="60">
        <f>'Profit and Loss Statement'!G3/'Balance Sheet'!G20</f>
        <v>10.266833905247829</v>
      </c>
      <c r="J21" s="60">
        <f>'Profit and Loss Statement'!H3/'Balance Sheet'!H20</f>
        <v>10.9375</v>
      </c>
      <c r="K21" s="60">
        <f>'Profit and Loss Statement'!I3/'Balance Sheet'!I20</f>
        <v>10.526054097056484</v>
      </c>
    </row>
    <row r="22" spans="1:11" ht="16.8" x14ac:dyDescent="0.3">
      <c r="A22" s="58">
        <v>2</v>
      </c>
      <c r="B22" s="54" t="s">
        <v>150</v>
      </c>
      <c r="C22" s="54" t="s">
        <v>151</v>
      </c>
      <c r="D22" s="59">
        <f t="shared" ref="D22:K22" si="0">365/D21</f>
        <v>59.329480806441346</v>
      </c>
      <c r="E22" s="59">
        <f t="shared" si="0"/>
        <v>65.601007407287454</v>
      </c>
      <c r="F22" s="59">
        <f t="shared" si="0"/>
        <v>77.019469979164967</v>
      </c>
      <c r="G22" s="59">
        <f t="shared" si="0"/>
        <v>65.362445892066162</v>
      </c>
      <c r="H22" s="59">
        <f t="shared" si="0"/>
        <v>60.567580883560517</v>
      </c>
      <c r="I22" s="60">
        <f t="shared" si="0"/>
        <v>35.551368938912368</v>
      </c>
      <c r="J22" s="60">
        <f t="shared" si="0"/>
        <v>33.371428571428574</v>
      </c>
      <c r="K22" s="60">
        <f t="shared" si="0"/>
        <v>34.675862068965515</v>
      </c>
    </row>
    <row r="23" spans="1:11" ht="15.75" customHeight="1" x14ac:dyDescent="0.3">
      <c r="A23" s="63"/>
      <c r="B23" s="63"/>
      <c r="C23" s="63"/>
      <c r="D23" s="63"/>
      <c r="E23" s="63"/>
      <c r="F23" s="63"/>
      <c r="G23" s="63"/>
      <c r="H23" s="63"/>
    </row>
    <row r="26" spans="1:11" ht="16.8" x14ac:dyDescent="0.3"/>
  </sheetData>
  <mergeCells count="9">
    <mergeCell ref="I3:K3"/>
    <mergeCell ref="I11:K11"/>
    <mergeCell ref="I16:K16"/>
    <mergeCell ref="I20:K20"/>
    <mergeCell ref="A1:H1"/>
    <mergeCell ref="A3:H3"/>
    <mergeCell ref="A11:H11"/>
    <mergeCell ref="A16:H16"/>
    <mergeCell ref="A20:H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7"/>
  <sheetViews>
    <sheetView tabSelected="1" zoomScale="68" zoomScaleNormal="105" workbookViewId="0">
      <selection activeCell="A27" sqref="A27"/>
    </sheetView>
  </sheetViews>
  <sheetFormatPr defaultColWidth="9.77734375" defaultRowHeight="15.75" customHeight="1" x14ac:dyDescent="0.3"/>
  <cols>
    <col min="1" max="1" width="69" style="1" bestFit="1" customWidth="1"/>
    <col min="2" max="2" width="32.33203125" style="1" bestFit="1" customWidth="1"/>
    <col min="3" max="16384" width="9.77734375" style="1"/>
  </cols>
  <sheetData>
    <row r="1" spans="1:8" ht="15.75" customHeight="1" x14ac:dyDescent="0.3">
      <c r="A1" s="64" t="s">
        <v>78</v>
      </c>
      <c r="B1" s="65" t="s">
        <v>79</v>
      </c>
      <c r="C1" s="66">
        <v>2024</v>
      </c>
      <c r="D1" s="66">
        <v>2025</v>
      </c>
      <c r="E1" s="66">
        <v>2026</v>
      </c>
      <c r="F1" s="66">
        <v>2027</v>
      </c>
      <c r="H1" s="71"/>
    </row>
    <row r="2" spans="1:8" ht="15.75" customHeight="1" x14ac:dyDescent="0.3">
      <c r="A2" s="67" t="s">
        <v>80</v>
      </c>
      <c r="B2" s="35" t="s">
        <v>81</v>
      </c>
      <c r="C2" s="68">
        <v>0.12</v>
      </c>
      <c r="D2" s="68">
        <v>0.12</v>
      </c>
      <c r="E2" s="68">
        <v>0.16</v>
      </c>
      <c r="F2" s="68">
        <v>0.18</v>
      </c>
    </row>
    <row r="3" spans="1:8" ht="15.75" customHeight="1" x14ac:dyDescent="0.3">
      <c r="A3" s="67" t="s">
        <v>82</v>
      </c>
      <c r="B3" s="35" t="s">
        <v>83</v>
      </c>
      <c r="C3" s="68">
        <v>0.33</v>
      </c>
      <c r="D3" s="68">
        <v>0.31</v>
      </c>
      <c r="E3" s="68">
        <v>0.33</v>
      </c>
      <c r="F3" s="68">
        <v>0.33</v>
      </c>
    </row>
    <row r="4" spans="1:8" ht="15.75" customHeight="1" x14ac:dyDescent="0.3">
      <c r="A4" s="67" t="s">
        <v>84</v>
      </c>
      <c r="B4" s="35" t="s">
        <v>83</v>
      </c>
      <c r="C4" s="68">
        <v>0.12</v>
      </c>
      <c r="D4" s="68">
        <v>0.12</v>
      </c>
      <c r="E4" s="68">
        <v>0.12</v>
      </c>
      <c r="F4" s="68">
        <v>0.12</v>
      </c>
    </row>
    <row r="5" spans="1:8" ht="15.75" customHeight="1" x14ac:dyDescent="0.3">
      <c r="A5" s="67" t="s">
        <v>85</v>
      </c>
      <c r="B5" s="35" t="s">
        <v>83</v>
      </c>
      <c r="C5" s="68">
        <v>8.0600000000000005E-2</v>
      </c>
      <c r="D5" s="68">
        <v>8.0600000000000005E-2</v>
      </c>
      <c r="E5" s="68">
        <v>8.0600000000000005E-2</v>
      </c>
      <c r="F5" s="68">
        <v>8.0600000000000005E-2</v>
      </c>
    </row>
    <row r="6" spans="1:8" ht="15.75" customHeight="1" x14ac:dyDescent="0.3">
      <c r="A6" s="67" t="s">
        <v>86</v>
      </c>
      <c r="B6" s="35" t="s">
        <v>83</v>
      </c>
      <c r="C6" s="68">
        <v>0.1</v>
      </c>
      <c r="D6" s="68">
        <v>0.15</v>
      </c>
      <c r="E6" s="68">
        <v>0.15</v>
      </c>
      <c r="F6" s="68">
        <v>0.15</v>
      </c>
    </row>
    <row r="7" spans="1:8" ht="15.75" customHeight="1" x14ac:dyDescent="0.3">
      <c r="A7" s="67" t="s">
        <v>87</v>
      </c>
      <c r="B7" s="35" t="s">
        <v>88</v>
      </c>
      <c r="C7" s="68">
        <v>0.15</v>
      </c>
      <c r="D7" s="68">
        <v>0.15</v>
      </c>
      <c r="E7" s="68">
        <v>0.15</v>
      </c>
      <c r="F7" s="68">
        <v>0.15</v>
      </c>
    </row>
    <row r="8" spans="1:8" ht="15.75" customHeight="1" x14ac:dyDescent="0.3">
      <c r="A8" s="67" t="s">
        <v>89</v>
      </c>
      <c r="B8" s="35" t="s">
        <v>90</v>
      </c>
      <c r="C8" s="68">
        <v>0.08</v>
      </c>
      <c r="D8" s="68">
        <v>8.5000000000000006E-2</v>
      </c>
      <c r="E8" s="68">
        <v>0.09</v>
      </c>
      <c r="F8" s="68">
        <v>0.09</v>
      </c>
    </row>
    <row r="9" spans="1:8" ht="15.75" customHeight="1" x14ac:dyDescent="0.3">
      <c r="A9" s="67" t="s">
        <v>91</v>
      </c>
      <c r="B9" s="35" t="s">
        <v>92</v>
      </c>
      <c r="C9" s="68">
        <v>0.3</v>
      </c>
      <c r="D9" s="68">
        <v>0.3</v>
      </c>
      <c r="E9" s="68">
        <v>0.3</v>
      </c>
      <c r="F9" s="68">
        <v>0.3</v>
      </c>
    </row>
    <row r="10" spans="1:8" ht="15.75" customHeight="1" x14ac:dyDescent="0.3">
      <c r="A10" s="67" t="s">
        <v>93</v>
      </c>
      <c r="B10" s="35" t="s">
        <v>81</v>
      </c>
      <c r="C10" s="68">
        <v>0.12</v>
      </c>
      <c r="D10" s="68">
        <v>0.12</v>
      </c>
      <c r="E10" s="68">
        <v>0.12</v>
      </c>
      <c r="F10" s="68">
        <v>0.12</v>
      </c>
    </row>
    <row r="11" spans="1:8" ht="15.75" customHeight="1" x14ac:dyDescent="0.3">
      <c r="A11" s="67" t="s">
        <v>94</v>
      </c>
      <c r="B11" s="35" t="s">
        <v>95</v>
      </c>
      <c r="C11" s="69">
        <v>15</v>
      </c>
      <c r="D11" s="69">
        <v>15</v>
      </c>
      <c r="E11" s="69">
        <v>15</v>
      </c>
      <c r="F11" s="69">
        <v>15</v>
      </c>
    </row>
    <row r="12" spans="1:8" ht="15.75" customHeight="1" x14ac:dyDescent="0.3">
      <c r="A12" s="67" t="s">
        <v>96</v>
      </c>
      <c r="B12" s="35" t="s">
        <v>97</v>
      </c>
      <c r="C12" s="69">
        <v>80</v>
      </c>
      <c r="D12" s="69">
        <v>80</v>
      </c>
      <c r="E12" s="69">
        <v>80</v>
      </c>
      <c r="F12" s="69">
        <v>80</v>
      </c>
    </row>
    <row r="13" spans="1:8" ht="15.75" customHeight="1" x14ac:dyDescent="0.3">
      <c r="A13" s="67" t="s">
        <v>98</v>
      </c>
      <c r="B13" s="35" t="s">
        <v>95</v>
      </c>
      <c r="C13" s="69">
        <v>15</v>
      </c>
      <c r="D13" s="69">
        <v>15</v>
      </c>
      <c r="E13" s="69">
        <v>15</v>
      </c>
      <c r="F13" s="69">
        <v>15</v>
      </c>
    </row>
    <row r="14" spans="1:8" ht="15.75" customHeight="1" x14ac:dyDescent="0.3">
      <c r="A14" s="67" t="s">
        <v>99</v>
      </c>
      <c r="B14" s="35" t="s">
        <v>100</v>
      </c>
      <c r="C14" s="68">
        <v>0.01</v>
      </c>
      <c r="D14" s="68">
        <v>0.02</v>
      </c>
      <c r="E14" s="68">
        <v>0.03</v>
      </c>
      <c r="F14" s="68">
        <v>0.04</v>
      </c>
    </row>
    <row r="15" spans="1:8" ht="15.75" customHeight="1" x14ac:dyDescent="0.3">
      <c r="A15" s="67" t="s">
        <v>101</v>
      </c>
      <c r="B15" s="35" t="s">
        <v>102</v>
      </c>
      <c r="C15" s="69">
        <v>0.8</v>
      </c>
      <c r="D15" s="69">
        <v>0.8</v>
      </c>
      <c r="E15" s="69">
        <v>0.8</v>
      </c>
      <c r="F15" s="69">
        <v>0.8</v>
      </c>
    </row>
    <row r="16" spans="1:8" ht="15.75" customHeight="1" x14ac:dyDescent="0.3">
      <c r="A16" s="67" t="s">
        <v>103</v>
      </c>
      <c r="B16" s="35" t="s">
        <v>83</v>
      </c>
      <c r="C16" s="68">
        <v>0.04</v>
      </c>
      <c r="D16" s="68">
        <v>0.04</v>
      </c>
      <c r="E16" s="68">
        <v>0.04</v>
      </c>
      <c r="F16" s="68">
        <v>0.04</v>
      </c>
    </row>
    <row r="17" spans="1:6" ht="15.75" customHeight="1" x14ac:dyDescent="0.3">
      <c r="A17" s="67" t="s">
        <v>104</v>
      </c>
      <c r="B17" s="35" t="s">
        <v>105</v>
      </c>
      <c r="C17" s="69">
        <v>20</v>
      </c>
      <c r="D17" s="69">
        <v>20</v>
      </c>
      <c r="E17" s="69">
        <v>20</v>
      </c>
      <c r="F17" s="69">
        <v>20</v>
      </c>
    </row>
    <row r="18" spans="1:6" ht="15.75" customHeight="1" x14ac:dyDescent="0.3">
      <c r="A18" s="67" t="s">
        <v>106</v>
      </c>
      <c r="B18" s="35" t="s">
        <v>107</v>
      </c>
      <c r="C18" s="69">
        <v>0.01</v>
      </c>
      <c r="D18" s="69">
        <v>0.01</v>
      </c>
      <c r="E18" s="69">
        <v>0.01</v>
      </c>
      <c r="F18" s="69">
        <v>0.01</v>
      </c>
    </row>
    <row r="19" spans="1:6" ht="15.75" customHeight="1" x14ac:dyDescent="0.3">
      <c r="A19" s="67" t="s">
        <v>108</v>
      </c>
      <c r="B19" s="35" t="s">
        <v>109</v>
      </c>
      <c r="C19" s="88" t="s">
        <v>109</v>
      </c>
      <c r="D19" s="73"/>
      <c r="E19" s="73"/>
      <c r="F19" s="73"/>
    </row>
    <row r="20" spans="1:6" ht="15.75" customHeight="1" x14ac:dyDescent="0.3">
      <c r="A20" s="67" t="s">
        <v>110</v>
      </c>
      <c r="B20" s="35" t="s">
        <v>109</v>
      </c>
      <c r="C20" s="73"/>
      <c r="D20" s="73"/>
      <c r="E20" s="73"/>
      <c r="F20" s="73"/>
    </row>
    <row r="21" spans="1:6" ht="15.75" customHeight="1" x14ac:dyDescent="0.3">
      <c r="A21" s="67" t="s">
        <v>111</v>
      </c>
      <c r="B21" s="35" t="s">
        <v>109</v>
      </c>
      <c r="C21" s="73"/>
      <c r="D21" s="73"/>
      <c r="E21" s="73"/>
      <c r="F21" s="73"/>
    </row>
    <row r="22" spans="1:6" ht="15.75" customHeight="1" x14ac:dyDescent="0.3">
      <c r="A22" s="67" t="s">
        <v>112</v>
      </c>
      <c r="B22" s="35" t="s">
        <v>109</v>
      </c>
      <c r="C22" s="73"/>
      <c r="D22" s="73"/>
      <c r="E22" s="73"/>
      <c r="F22" s="73"/>
    </row>
    <row r="23" spans="1:6" ht="15.75" customHeight="1" x14ac:dyDescent="0.3">
      <c r="A23" s="67" t="s">
        <v>113</v>
      </c>
      <c r="B23" s="35" t="s">
        <v>83</v>
      </c>
      <c r="C23" s="70">
        <v>5.0000000000000001E-3</v>
      </c>
      <c r="D23" s="70">
        <v>5.0000000000000001E-3</v>
      </c>
      <c r="E23" s="70">
        <v>5.0000000000000001E-3</v>
      </c>
      <c r="F23" s="70">
        <v>5.0000000000000001E-3</v>
      </c>
    </row>
    <row r="27" spans="1:6" ht="15.75" customHeight="1" x14ac:dyDescent="0.3">
      <c r="A27" s="72" t="s">
        <v>157</v>
      </c>
    </row>
  </sheetData>
  <mergeCells count="1">
    <mergeCell ref="C19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Group_12_Details</vt:lpstr>
      <vt:lpstr>Balance Sheet</vt:lpstr>
      <vt:lpstr>Profit and Loss Statement</vt:lpstr>
      <vt:lpstr>Cash Flow Statement</vt:lpstr>
      <vt:lpstr>Ratio Analysis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</dc:creator>
  <cp:lastModifiedBy>suryasuresh2217@outlook.com</cp:lastModifiedBy>
  <dcterms:created xsi:type="dcterms:W3CDTF">2024-04-04T02:26:06Z</dcterms:created>
  <dcterms:modified xsi:type="dcterms:W3CDTF">2024-11-23T20:20:02Z</dcterms:modified>
</cp:coreProperties>
</file>